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workbookProtection workbookPassword="FF15" lockStructure="1"/>
  <bookViews>
    <workbookView xWindow="240" yWindow="675" windowWidth="13815" windowHeight="10965" tabRatio="905" firstSheet="1" activeTab="1"/>
  </bookViews>
  <sheets>
    <sheet name="Paramètres" sheetId="40" state="hidden" r:id="rId1"/>
    <sheet name="Recherche" sheetId="48" r:id="rId2"/>
    <sheet name="A) Base RI" sheetId="42" state="hidden" r:id="rId3"/>
    <sheet name="B) D RI" sheetId="19" r:id="rId4"/>
    <sheet name="C) Prél. conj." sheetId="32" r:id="rId5"/>
    <sheet name="D) Ecrêtage" sheetId="33" r:id="rId6"/>
    <sheet name="E) Fact soc" sheetId="9" r:id="rId7"/>
    <sheet name="F) Population" sheetId="36" r:id="rId8"/>
    <sheet name="G) Solidarité" sheetId="37" r:id="rId9"/>
    <sheet name="H) Péréquation directe" sheetId="34" r:id="rId10"/>
    <sheet name="I) Dépenses thématiques" sheetId="11" r:id="rId11"/>
    <sheet name="J) Plafonnement effort" sheetId="12" r:id="rId12"/>
    <sheet name="K) Plafonnement aide" sheetId="39" r:id="rId13"/>
    <sheet name="L) Plafonnement taux" sheetId="13" r:id="rId14"/>
    <sheet name="M) Police" sheetId="49" r:id="rId15"/>
    <sheet name="Synthèse" sheetId="25" r:id="rId16"/>
  </sheets>
  <definedNames>
    <definedName name="_xlnm._FilterDatabase" localSheetId="4" hidden="1">'C) Prél. conj.'!$A$3:$H$323</definedName>
    <definedName name="_xlnm._FilterDatabase" localSheetId="6" hidden="1">'E) Fact soc'!$A$9:$G$329</definedName>
    <definedName name="_xlnm._FilterDatabase" localSheetId="9" hidden="1">'H) Péréquation directe'!$A$14:$I$334</definedName>
    <definedName name="_xlnm._FilterDatabase" localSheetId="15" hidden="1">Synthèse!$A$4:$L$326</definedName>
    <definedName name="_xlnm.Database">#REF!</definedName>
    <definedName name="_xlnm.Print_Titles" localSheetId="4">'C) Prél. conj.'!$3:$4</definedName>
    <definedName name="_xlnm.Print_Titles" localSheetId="6">'E) Fact soc'!$9:$10</definedName>
    <definedName name="_xlnm.Print_Titles" localSheetId="10">'I) Dépenses thématiques'!$3:$4</definedName>
    <definedName name="_xlnm.Print_Titles" localSheetId="11">'J) Plafonnement effort'!$3:$4</definedName>
    <definedName name="_xlnm.Print_Titles" localSheetId="13">'L) Plafonnement taux'!$4:$5</definedName>
    <definedName name="_xlnm.Print_Titles" localSheetId="14">'M) Police'!$4:$4</definedName>
    <definedName name="_xlnm.Print_Titles" localSheetId="15">Synthèse!$4:$5</definedName>
    <definedName name="ind">2</definedName>
    <definedName name="_xlnm.Print_Area" localSheetId="2">'A) Base RI'!$A:$AM</definedName>
    <definedName name="_xlnm.Print_Area" localSheetId="9">'H) Péréquation directe'!$325:$356</definedName>
    <definedName name="_xlnm.Print_Area" localSheetId="13">'L) Plafonnement taux'!$A$1:$R$325</definedName>
    <definedName name="_xlnm.Print_Area" localSheetId="14">'M) Police'!$A$1:$O$324</definedName>
    <definedName name="_xlnm.Print_Area" localSheetId="1">Recherche!$B$6:$F$53</definedName>
    <definedName name="_xlnm.Print_Area" localSheetId="15">Synthèse!$A$1:$N$324</definedName>
  </definedNames>
  <calcPr calcId="145621"/>
</workbook>
</file>

<file path=xl/calcChain.xml><?xml version="1.0" encoding="utf-8"?>
<calcChain xmlns="http://schemas.openxmlformats.org/spreadsheetml/2006/main">
  <c r="F32" i="48" l="1"/>
  <c r="C3" i="13" l="1"/>
  <c r="I5" i="13"/>
  <c r="Q14" i="19" l="1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Q70" i="19"/>
  <c r="Q71" i="19"/>
  <c r="Q72" i="19"/>
  <c r="Q73" i="19"/>
  <c r="Q74" i="19"/>
  <c r="Q75" i="19"/>
  <c r="Q76" i="19"/>
  <c r="Q77" i="19"/>
  <c r="Q78" i="19"/>
  <c r="Q79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1" i="19"/>
  <c r="Q102" i="19"/>
  <c r="Q103" i="19"/>
  <c r="Q104" i="19"/>
  <c r="Q105" i="19"/>
  <c r="Q106" i="19"/>
  <c r="Q107" i="19"/>
  <c r="Q108" i="19"/>
  <c r="Q109" i="19"/>
  <c r="Q110" i="19"/>
  <c r="Q111" i="19"/>
  <c r="Q112" i="19"/>
  <c r="Q113" i="19"/>
  <c r="Q114" i="19"/>
  <c r="Q115" i="19"/>
  <c r="Q116" i="19"/>
  <c r="Q117" i="19"/>
  <c r="Q118" i="19"/>
  <c r="Q119" i="19"/>
  <c r="Q120" i="19"/>
  <c r="Q121" i="19"/>
  <c r="Q122" i="19"/>
  <c r="Q123" i="19"/>
  <c r="Q124" i="19"/>
  <c r="Q125" i="19"/>
  <c r="Q126" i="19"/>
  <c r="Q127" i="19"/>
  <c r="Q128" i="19"/>
  <c r="Q129" i="19"/>
  <c r="Q130" i="19"/>
  <c r="Q131" i="19"/>
  <c r="Q132" i="19"/>
  <c r="Q133" i="19"/>
  <c r="Q134" i="19"/>
  <c r="Q135" i="19"/>
  <c r="Q136" i="19"/>
  <c r="Q137" i="19"/>
  <c r="Q138" i="19"/>
  <c r="Q139" i="19"/>
  <c r="Q140" i="19"/>
  <c r="Q141" i="19"/>
  <c r="Q142" i="19"/>
  <c r="Q143" i="19"/>
  <c r="Q144" i="19"/>
  <c r="Q145" i="19"/>
  <c r="Q146" i="19"/>
  <c r="Q147" i="19"/>
  <c r="Q148" i="19"/>
  <c r="Q149" i="19"/>
  <c r="Q150" i="19"/>
  <c r="Q151" i="19"/>
  <c r="Q152" i="19"/>
  <c r="Q153" i="19"/>
  <c r="Q154" i="19"/>
  <c r="Q155" i="19"/>
  <c r="Q156" i="19"/>
  <c r="Q157" i="19"/>
  <c r="Q158" i="19"/>
  <c r="Q159" i="19"/>
  <c r="Q160" i="19"/>
  <c r="Q161" i="19"/>
  <c r="Q162" i="19"/>
  <c r="Q163" i="19"/>
  <c r="Q164" i="19"/>
  <c r="Q165" i="19"/>
  <c r="Q166" i="19"/>
  <c r="Q167" i="19"/>
  <c r="Q168" i="19"/>
  <c r="Q169" i="19"/>
  <c r="Q170" i="19"/>
  <c r="Q171" i="19"/>
  <c r="Q172" i="19"/>
  <c r="Q173" i="19"/>
  <c r="Q174" i="19"/>
  <c r="Q175" i="19"/>
  <c r="Q176" i="19"/>
  <c r="Q177" i="19"/>
  <c r="Q178" i="19"/>
  <c r="Q179" i="19"/>
  <c r="Q180" i="19"/>
  <c r="Q181" i="19"/>
  <c r="Q182" i="19"/>
  <c r="Q183" i="19"/>
  <c r="Q184" i="19"/>
  <c r="Q185" i="19"/>
  <c r="Q186" i="19"/>
  <c r="Q187" i="19"/>
  <c r="Q188" i="19"/>
  <c r="Q189" i="19"/>
  <c r="Q190" i="19"/>
  <c r="Q191" i="19"/>
  <c r="Q192" i="19"/>
  <c r="Q193" i="19"/>
  <c r="Q194" i="19"/>
  <c r="Q195" i="19"/>
  <c r="Q196" i="19"/>
  <c r="Q197" i="19"/>
  <c r="Q198" i="19"/>
  <c r="Q199" i="19"/>
  <c r="Q200" i="19"/>
  <c r="Q201" i="19"/>
  <c r="Q202" i="19"/>
  <c r="Q203" i="19"/>
  <c r="Q204" i="19"/>
  <c r="Q205" i="19"/>
  <c r="Q206" i="19"/>
  <c r="Q207" i="19"/>
  <c r="Q208" i="19"/>
  <c r="Q209" i="19"/>
  <c r="Q210" i="19"/>
  <c r="Q211" i="19"/>
  <c r="Q212" i="19"/>
  <c r="Q213" i="19"/>
  <c r="Q214" i="19"/>
  <c r="Q215" i="19"/>
  <c r="Q216" i="19"/>
  <c r="Q217" i="19"/>
  <c r="Q218" i="19"/>
  <c r="Q219" i="19"/>
  <c r="Q220" i="19"/>
  <c r="Q221" i="19"/>
  <c r="Q222" i="19"/>
  <c r="Q223" i="19"/>
  <c r="Q224" i="19"/>
  <c r="Q225" i="19"/>
  <c r="Q226" i="19"/>
  <c r="Q227" i="19"/>
  <c r="Q228" i="19"/>
  <c r="Q229" i="19"/>
  <c r="Q230" i="19"/>
  <c r="Q231" i="19"/>
  <c r="Q232" i="19"/>
  <c r="Q233" i="19"/>
  <c r="Q234" i="19"/>
  <c r="Q235" i="19"/>
  <c r="Q236" i="19"/>
  <c r="Q237" i="19"/>
  <c r="Q238" i="19"/>
  <c r="Q239" i="19"/>
  <c r="Q240" i="19"/>
  <c r="Q241" i="19"/>
  <c r="Q242" i="19"/>
  <c r="Q243" i="19"/>
  <c r="Q244" i="19"/>
  <c r="Q245" i="19"/>
  <c r="Q246" i="19"/>
  <c r="Q247" i="19"/>
  <c r="Q248" i="19"/>
  <c r="Q249" i="19"/>
  <c r="Q250" i="19"/>
  <c r="Q251" i="19"/>
  <c r="Q252" i="19"/>
  <c r="Q253" i="19"/>
  <c r="Q254" i="19"/>
  <c r="Q255" i="19"/>
  <c r="Q256" i="19"/>
  <c r="Q257" i="19"/>
  <c r="Q258" i="19"/>
  <c r="Q259" i="19"/>
  <c r="Q260" i="19"/>
  <c r="Q261" i="19"/>
  <c r="Q262" i="19"/>
  <c r="Q263" i="19"/>
  <c r="Q264" i="19"/>
  <c r="Q265" i="19"/>
  <c r="Q266" i="19"/>
  <c r="Q267" i="19"/>
  <c r="Q268" i="19"/>
  <c r="Q269" i="19"/>
  <c r="Q270" i="19"/>
  <c r="Q271" i="19"/>
  <c r="Q272" i="19"/>
  <c r="Q273" i="19"/>
  <c r="Q274" i="19"/>
  <c r="Q275" i="19"/>
  <c r="Q276" i="19"/>
  <c r="Q277" i="19"/>
  <c r="Q278" i="19"/>
  <c r="Q279" i="19"/>
  <c r="Q280" i="19"/>
  <c r="Q281" i="19"/>
  <c r="Q282" i="19"/>
  <c r="Q283" i="19"/>
  <c r="Q284" i="19"/>
  <c r="Q285" i="19"/>
  <c r="Q286" i="19"/>
  <c r="Q287" i="19"/>
  <c r="Q288" i="19"/>
  <c r="Q289" i="19"/>
  <c r="Q290" i="19"/>
  <c r="Q291" i="19"/>
  <c r="Q292" i="19"/>
  <c r="Q293" i="19"/>
  <c r="Q294" i="19"/>
  <c r="Q295" i="19"/>
  <c r="Q296" i="19"/>
  <c r="Q297" i="19"/>
  <c r="Q298" i="19"/>
  <c r="Q299" i="19"/>
  <c r="Q300" i="19"/>
  <c r="Q301" i="19"/>
  <c r="Q302" i="19"/>
  <c r="Q303" i="19"/>
  <c r="Q304" i="19"/>
  <c r="Q305" i="19"/>
  <c r="Q306" i="19"/>
  <c r="Q307" i="19"/>
  <c r="Q308" i="19"/>
  <c r="Q309" i="19"/>
  <c r="Q310" i="19"/>
  <c r="Q311" i="19"/>
  <c r="Q312" i="19"/>
  <c r="Q313" i="19"/>
  <c r="Q314" i="19"/>
  <c r="Q315" i="19"/>
  <c r="Q316" i="19"/>
  <c r="Q317" i="19"/>
  <c r="Q318" i="19"/>
  <c r="Q319" i="19"/>
  <c r="Q320" i="19"/>
  <c r="Q321" i="19"/>
  <c r="Q322" i="19"/>
  <c r="Q323" i="19"/>
  <c r="Q324" i="19"/>
  <c r="Q13" i="19"/>
  <c r="Q12" i="19"/>
  <c r="Q11" i="19"/>
  <c r="Q10" i="19"/>
  <c r="Q9" i="19"/>
  <c r="Q8" i="19"/>
  <c r="Q7" i="19"/>
  <c r="AN6" i="42"/>
  <c r="AR6" i="19"/>
  <c r="S6" i="19"/>
  <c r="AM6" i="42"/>
  <c r="X8" i="42" l="1"/>
  <c r="M7" i="42"/>
  <c r="B53" i="40"/>
  <c r="B25" i="40"/>
  <c r="K14" i="49" l="1"/>
  <c r="K112" i="49"/>
  <c r="K114" i="49"/>
  <c r="K117" i="49"/>
  <c r="K119" i="49"/>
  <c r="K120" i="49"/>
  <c r="K121" i="49"/>
  <c r="K122" i="49"/>
  <c r="K124" i="49"/>
  <c r="K126" i="49"/>
  <c r="K127" i="49"/>
  <c r="K128" i="49"/>
  <c r="K129" i="49"/>
  <c r="K130" i="49"/>
  <c r="K131" i="49"/>
  <c r="K134" i="49"/>
  <c r="K135" i="49"/>
  <c r="K137" i="49"/>
  <c r="K144" i="49"/>
  <c r="K149" i="49"/>
  <c r="K150" i="49"/>
  <c r="K151" i="49"/>
  <c r="K154" i="49"/>
  <c r="K155" i="49"/>
  <c r="K156" i="49"/>
  <c r="K158" i="49"/>
  <c r="K196" i="49"/>
  <c r="K207" i="49"/>
  <c r="K208" i="49"/>
  <c r="K226" i="49"/>
  <c r="K230" i="49"/>
  <c r="K231" i="49"/>
  <c r="K283" i="49"/>
  <c r="K284" i="49"/>
  <c r="K285" i="49"/>
  <c r="K286" i="49"/>
  <c r="K287" i="49"/>
  <c r="K288" i="49"/>
  <c r="K289" i="49"/>
  <c r="K290" i="49"/>
  <c r="K291" i="49"/>
  <c r="K292" i="49"/>
  <c r="K304" i="49"/>
  <c r="K305" i="49"/>
  <c r="K314" i="49"/>
  <c r="K322" i="49"/>
  <c r="K7" i="49"/>
  <c r="K6" i="49"/>
  <c r="I5" i="49"/>
  <c r="A2" i="4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03" i="19"/>
  <c r="N104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N126" i="19"/>
  <c r="N127" i="19"/>
  <c r="N128" i="19"/>
  <c r="N129" i="19"/>
  <c r="N130" i="19"/>
  <c r="N131" i="19"/>
  <c r="N132" i="19"/>
  <c r="N133" i="19"/>
  <c r="N134" i="19"/>
  <c r="N135" i="19"/>
  <c r="N136" i="19"/>
  <c r="N137" i="19"/>
  <c r="N138" i="19"/>
  <c r="N139" i="19"/>
  <c r="N140" i="19"/>
  <c r="N141" i="19"/>
  <c r="N142" i="19"/>
  <c r="N143" i="19"/>
  <c r="N144" i="19"/>
  <c r="N145" i="19"/>
  <c r="N146" i="19"/>
  <c r="N147" i="19"/>
  <c r="N148" i="19"/>
  <c r="N149" i="19"/>
  <c r="N150" i="19"/>
  <c r="N151" i="19"/>
  <c r="N152" i="19"/>
  <c r="N153" i="19"/>
  <c r="N154" i="19"/>
  <c r="N155" i="19"/>
  <c r="N156" i="19"/>
  <c r="N157" i="19"/>
  <c r="N158" i="19"/>
  <c r="N159" i="19"/>
  <c r="N160" i="19"/>
  <c r="N161" i="19"/>
  <c r="N162" i="19"/>
  <c r="N163" i="19"/>
  <c r="N164" i="19"/>
  <c r="N165" i="19"/>
  <c r="N166" i="19"/>
  <c r="N167" i="19"/>
  <c r="N168" i="19"/>
  <c r="N169" i="19"/>
  <c r="N170" i="19"/>
  <c r="N171" i="19"/>
  <c r="N172" i="19"/>
  <c r="N173" i="19"/>
  <c r="N174" i="19"/>
  <c r="N175" i="19"/>
  <c r="N176" i="19"/>
  <c r="N177" i="19"/>
  <c r="N178" i="19"/>
  <c r="N179" i="19"/>
  <c r="N180" i="19"/>
  <c r="N181" i="19"/>
  <c r="N182" i="19"/>
  <c r="N183" i="19"/>
  <c r="N184" i="19"/>
  <c r="N185" i="19"/>
  <c r="N186" i="19"/>
  <c r="N187" i="19"/>
  <c r="N188" i="19"/>
  <c r="N189" i="19"/>
  <c r="N190" i="19"/>
  <c r="N191" i="19"/>
  <c r="N192" i="19"/>
  <c r="N193" i="19"/>
  <c r="N194" i="19"/>
  <c r="N195" i="19"/>
  <c r="N196" i="19"/>
  <c r="N197" i="19"/>
  <c r="N198" i="19"/>
  <c r="N199" i="19"/>
  <c r="N200" i="19"/>
  <c r="N201" i="19"/>
  <c r="N202" i="19"/>
  <c r="N203" i="19"/>
  <c r="N204" i="19"/>
  <c r="N205" i="19"/>
  <c r="N206" i="19"/>
  <c r="N207" i="19"/>
  <c r="N208" i="19"/>
  <c r="N209" i="19"/>
  <c r="N210" i="19"/>
  <c r="N211" i="19"/>
  <c r="N212" i="19"/>
  <c r="N213" i="19"/>
  <c r="N214" i="19"/>
  <c r="N215" i="19"/>
  <c r="N216" i="19"/>
  <c r="N217" i="19"/>
  <c r="N218" i="19"/>
  <c r="N219" i="19"/>
  <c r="N220" i="19"/>
  <c r="N221" i="19"/>
  <c r="N222" i="19"/>
  <c r="N223" i="19"/>
  <c r="N224" i="19"/>
  <c r="N225" i="19"/>
  <c r="N226" i="19"/>
  <c r="N227" i="19"/>
  <c r="N228" i="19"/>
  <c r="N229" i="19"/>
  <c r="N230" i="19"/>
  <c r="N231" i="19"/>
  <c r="N232" i="19"/>
  <c r="N233" i="19"/>
  <c r="N234" i="19"/>
  <c r="N235" i="19"/>
  <c r="N236" i="19"/>
  <c r="N237" i="19"/>
  <c r="N238" i="19"/>
  <c r="N239" i="19"/>
  <c r="N240" i="19"/>
  <c r="N241" i="19"/>
  <c r="N242" i="19"/>
  <c r="N243" i="19"/>
  <c r="N244" i="19"/>
  <c r="N245" i="19"/>
  <c r="N246" i="19"/>
  <c r="N247" i="19"/>
  <c r="N248" i="19"/>
  <c r="N249" i="19"/>
  <c r="N250" i="19"/>
  <c r="N251" i="19"/>
  <c r="N252" i="19"/>
  <c r="N253" i="19"/>
  <c r="N254" i="19"/>
  <c r="N255" i="19"/>
  <c r="N256" i="19"/>
  <c r="N257" i="19"/>
  <c r="N258" i="19"/>
  <c r="N259" i="19"/>
  <c r="N260" i="19"/>
  <c r="N261" i="19"/>
  <c r="N262" i="19"/>
  <c r="N263" i="19"/>
  <c r="N264" i="19"/>
  <c r="N265" i="19"/>
  <c r="N266" i="19"/>
  <c r="N267" i="19"/>
  <c r="N268" i="19"/>
  <c r="N269" i="19"/>
  <c r="N270" i="19"/>
  <c r="N271" i="19"/>
  <c r="N272" i="19"/>
  <c r="N273" i="19"/>
  <c r="N274" i="19"/>
  <c r="N275" i="19"/>
  <c r="N276" i="19"/>
  <c r="N277" i="19"/>
  <c r="N278" i="19"/>
  <c r="N279" i="19"/>
  <c r="N280" i="19"/>
  <c r="N281" i="19"/>
  <c r="N282" i="19"/>
  <c r="N283" i="19"/>
  <c r="N284" i="19"/>
  <c r="N285" i="19"/>
  <c r="N286" i="19"/>
  <c r="N287" i="19"/>
  <c r="N288" i="19"/>
  <c r="N289" i="19"/>
  <c r="N290" i="19"/>
  <c r="N291" i="19"/>
  <c r="N292" i="19"/>
  <c r="N293" i="19"/>
  <c r="N294" i="19"/>
  <c r="N295" i="19"/>
  <c r="N296" i="19"/>
  <c r="N297" i="19"/>
  <c r="N298" i="19"/>
  <c r="N299" i="19"/>
  <c r="N300" i="19"/>
  <c r="N301" i="19"/>
  <c r="N302" i="19"/>
  <c r="N303" i="19"/>
  <c r="N304" i="19"/>
  <c r="N305" i="19"/>
  <c r="N306" i="19"/>
  <c r="N307" i="19"/>
  <c r="N308" i="19"/>
  <c r="N309" i="19"/>
  <c r="N310" i="19"/>
  <c r="N311" i="19"/>
  <c r="N312" i="19"/>
  <c r="N313" i="19"/>
  <c r="N314" i="19"/>
  <c r="N315" i="19"/>
  <c r="N316" i="19"/>
  <c r="N317" i="19"/>
  <c r="N318" i="19"/>
  <c r="N319" i="19"/>
  <c r="N320" i="19"/>
  <c r="N321" i="19"/>
  <c r="N322" i="19"/>
  <c r="N323" i="19"/>
  <c r="N324" i="19"/>
  <c r="C324" i="49"/>
  <c r="A7" i="49"/>
  <c r="B7" i="49"/>
  <c r="A8" i="49"/>
  <c r="B8" i="49"/>
  <c r="A9" i="49"/>
  <c r="B9" i="49"/>
  <c r="A10" i="49"/>
  <c r="B10" i="49"/>
  <c r="A11" i="49"/>
  <c r="B11" i="49"/>
  <c r="A12" i="49"/>
  <c r="B12" i="49"/>
  <c r="A13" i="49"/>
  <c r="B13" i="49"/>
  <c r="A14" i="49"/>
  <c r="B14" i="49"/>
  <c r="A15" i="49"/>
  <c r="B15" i="49"/>
  <c r="A16" i="49"/>
  <c r="B16" i="49"/>
  <c r="A17" i="49"/>
  <c r="B17" i="49"/>
  <c r="A18" i="49"/>
  <c r="B18" i="49"/>
  <c r="A19" i="49"/>
  <c r="B19" i="49"/>
  <c r="A20" i="49"/>
  <c r="B20" i="49"/>
  <c r="A21" i="49"/>
  <c r="B21" i="49"/>
  <c r="A22" i="49"/>
  <c r="B22" i="49"/>
  <c r="A23" i="49"/>
  <c r="B23" i="49"/>
  <c r="A24" i="49"/>
  <c r="B24" i="49"/>
  <c r="A25" i="49"/>
  <c r="B25" i="49"/>
  <c r="A26" i="49"/>
  <c r="B26" i="49"/>
  <c r="A27" i="49"/>
  <c r="B27" i="49"/>
  <c r="A28" i="49"/>
  <c r="B28" i="49"/>
  <c r="A29" i="49"/>
  <c r="B29" i="49"/>
  <c r="A30" i="49"/>
  <c r="B30" i="49"/>
  <c r="A31" i="49"/>
  <c r="B31" i="49"/>
  <c r="A32" i="49"/>
  <c r="B32" i="49"/>
  <c r="A33" i="49"/>
  <c r="B33" i="49"/>
  <c r="A34" i="49"/>
  <c r="B34" i="49"/>
  <c r="A35" i="49"/>
  <c r="B35" i="49"/>
  <c r="A36" i="49"/>
  <c r="B36" i="49"/>
  <c r="A37" i="49"/>
  <c r="B37" i="49"/>
  <c r="A38" i="49"/>
  <c r="B38" i="49"/>
  <c r="A39" i="49"/>
  <c r="B39" i="49"/>
  <c r="A40" i="49"/>
  <c r="B40" i="49"/>
  <c r="A41" i="49"/>
  <c r="B41" i="49"/>
  <c r="A42" i="49"/>
  <c r="B42" i="49"/>
  <c r="A43" i="49"/>
  <c r="B43" i="49"/>
  <c r="A44" i="49"/>
  <c r="B44" i="49"/>
  <c r="A45" i="49"/>
  <c r="B45" i="49"/>
  <c r="A46" i="49"/>
  <c r="B46" i="49"/>
  <c r="A47" i="49"/>
  <c r="B47" i="49"/>
  <c r="A48" i="49"/>
  <c r="B48" i="49"/>
  <c r="A49" i="49"/>
  <c r="B49" i="49"/>
  <c r="A50" i="49"/>
  <c r="B50" i="49"/>
  <c r="A51" i="49"/>
  <c r="B51" i="49"/>
  <c r="A52" i="49"/>
  <c r="B52" i="49"/>
  <c r="A53" i="49"/>
  <c r="B53" i="49"/>
  <c r="A54" i="49"/>
  <c r="B54" i="49"/>
  <c r="A55" i="49"/>
  <c r="B55" i="49"/>
  <c r="A56" i="49"/>
  <c r="B56" i="49"/>
  <c r="A57" i="49"/>
  <c r="B57" i="49"/>
  <c r="A58" i="49"/>
  <c r="B58" i="49"/>
  <c r="A59" i="49"/>
  <c r="B59" i="49"/>
  <c r="A60" i="49"/>
  <c r="B60" i="49"/>
  <c r="A61" i="49"/>
  <c r="B61" i="49"/>
  <c r="A62" i="49"/>
  <c r="B62" i="49"/>
  <c r="A63" i="49"/>
  <c r="B63" i="49"/>
  <c r="A64" i="49"/>
  <c r="B64" i="49"/>
  <c r="A65" i="49"/>
  <c r="B65" i="49"/>
  <c r="A66" i="49"/>
  <c r="B66" i="49"/>
  <c r="A67" i="49"/>
  <c r="B67" i="49"/>
  <c r="A68" i="49"/>
  <c r="B68" i="49"/>
  <c r="A69" i="49"/>
  <c r="B69" i="49"/>
  <c r="A70" i="49"/>
  <c r="B70" i="49"/>
  <c r="A71" i="49"/>
  <c r="B71" i="49"/>
  <c r="A72" i="49"/>
  <c r="B72" i="49"/>
  <c r="A73" i="49"/>
  <c r="B73" i="49"/>
  <c r="A74" i="49"/>
  <c r="B74" i="49"/>
  <c r="A75" i="49"/>
  <c r="B75" i="49"/>
  <c r="A76" i="49"/>
  <c r="B76" i="49"/>
  <c r="A77" i="49"/>
  <c r="B77" i="49"/>
  <c r="A78" i="49"/>
  <c r="B78" i="49"/>
  <c r="A79" i="49"/>
  <c r="B79" i="49"/>
  <c r="A80" i="49"/>
  <c r="B80" i="49"/>
  <c r="A81" i="49"/>
  <c r="B81" i="49"/>
  <c r="A82" i="49"/>
  <c r="B82" i="49"/>
  <c r="A83" i="49"/>
  <c r="B83" i="49"/>
  <c r="A84" i="49"/>
  <c r="B84" i="49"/>
  <c r="A85" i="49"/>
  <c r="B85" i="49"/>
  <c r="A86" i="49"/>
  <c r="B86" i="49"/>
  <c r="A87" i="49"/>
  <c r="B87" i="49"/>
  <c r="A88" i="49"/>
  <c r="B88" i="49"/>
  <c r="A89" i="49"/>
  <c r="B89" i="49"/>
  <c r="A90" i="49"/>
  <c r="B90" i="49"/>
  <c r="A91" i="49"/>
  <c r="B91" i="49"/>
  <c r="A92" i="49"/>
  <c r="B92" i="49"/>
  <c r="A93" i="49"/>
  <c r="B93" i="49"/>
  <c r="A94" i="49"/>
  <c r="B94" i="49"/>
  <c r="A95" i="49"/>
  <c r="B95" i="49"/>
  <c r="A96" i="49"/>
  <c r="B96" i="49"/>
  <c r="A97" i="49"/>
  <c r="B97" i="49"/>
  <c r="A98" i="49"/>
  <c r="B98" i="49"/>
  <c r="A99" i="49"/>
  <c r="B99" i="49"/>
  <c r="A100" i="49"/>
  <c r="B100" i="49"/>
  <c r="A101" i="49"/>
  <c r="B101" i="49"/>
  <c r="A102" i="49"/>
  <c r="B102" i="49"/>
  <c r="A103" i="49"/>
  <c r="B103" i="49"/>
  <c r="A104" i="49"/>
  <c r="B104" i="49"/>
  <c r="A105" i="49"/>
  <c r="B105" i="49"/>
  <c r="A106" i="49"/>
  <c r="B106" i="49"/>
  <c r="A107" i="49"/>
  <c r="B107" i="49"/>
  <c r="A108" i="49"/>
  <c r="B108" i="49"/>
  <c r="A109" i="49"/>
  <c r="B109" i="49"/>
  <c r="A110" i="49"/>
  <c r="B110" i="49"/>
  <c r="A111" i="49"/>
  <c r="B111" i="49"/>
  <c r="A112" i="49"/>
  <c r="B112" i="49"/>
  <c r="A113" i="49"/>
  <c r="B113" i="49"/>
  <c r="A114" i="49"/>
  <c r="B114" i="49"/>
  <c r="A115" i="49"/>
  <c r="B115" i="49"/>
  <c r="A116" i="49"/>
  <c r="B116" i="49"/>
  <c r="A117" i="49"/>
  <c r="B117" i="49"/>
  <c r="A118" i="49"/>
  <c r="B118" i="49"/>
  <c r="A119" i="49"/>
  <c r="B119" i="49"/>
  <c r="A120" i="49"/>
  <c r="B120" i="49"/>
  <c r="A121" i="49"/>
  <c r="B121" i="49"/>
  <c r="A122" i="49"/>
  <c r="B122" i="49"/>
  <c r="A123" i="49"/>
  <c r="B123" i="49"/>
  <c r="A124" i="49"/>
  <c r="B124" i="49"/>
  <c r="A125" i="49"/>
  <c r="B125" i="49"/>
  <c r="A126" i="49"/>
  <c r="B126" i="49"/>
  <c r="A127" i="49"/>
  <c r="B127" i="49"/>
  <c r="A128" i="49"/>
  <c r="B128" i="49"/>
  <c r="A129" i="49"/>
  <c r="B129" i="49"/>
  <c r="A130" i="49"/>
  <c r="B130" i="49"/>
  <c r="A131" i="49"/>
  <c r="B131" i="49"/>
  <c r="A132" i="49"/>
  <c r="B132" i="49"/>
  <c r="A133" i="49"/>
  <c r="B133" i="49"/>
  <c r="A134" i="49"/>
  <c r="B134" i="49"/>
  <c r="A135" i="49"/>
  <c r="B135" i="49"/>
  <c r="A136" i="49"/>
  <c r="B136" i="49"/>
  <c r="A137" i="49"/>
  <c r="B137" i="49"/>
  <c r="A138" i="49"/>
  <c r="B138" i="49"/>
  <c r="A139" i="49"/>
  <c r="B139" i="49"/>
  <c r="A140" i="49"/>
  <c r="B140" i="49"/>
  <c r="A141" i="49"/>
  <c r="B141" i="49"/>
  <c r="A142" i="49"/>
  <c r="B142" i="49"/>
  <c r="A143" i="49"/>
  <c r="B143" i="49"/>
  <c r="A144" i="49"/>
  <c r="B144" i="49"/>
  <c r="A145" i="49"/>
  <c r="B145" i="49"/>
  <c r="A146" i="49"/>
  <c r="B146" i="49"/>
  <c r="A147" i="49"/>
  <c r="B147" i="49"/>
  <c r="A148" i="49"/>
  <c r="B148" i="49"/>
  <c r="A149" i="49"/>
  <c r="B149" i="49"/>
  <c r="A150" i="49"/>
  <c r="B150" i="49"/>
  <c r="A151" i="49"/>
  <c r="B151" i="49"/>
  <c r="A152" i="49"/>
  <c r="B152" i="49"/>
  <c r="A153" i="49"/>
  <c r="B153" i="49"/>
  <c r="A154" i="49"/>
  <c r="B154" i="49"/>
  <c r="A155" i="49"/>
  <c r="B155" i="49"/>
  <c r="A156" i="49"/>
  <c r="B156" i="49"/>
  <c r="A157" i="49"/>
  <c r="B157" i="49"/>
  <c r="A158" i="49"/>
  <c r="B158" i="49"/>
  <c r="A159" i="49"/>
  <c r="B159" i="49"/>
  <c r="A160" i="49"/>
  <c r="B160" i="49"/>
  <c r="A161" i="49"/>
  <c r="B161" i="49"/>
  <c r="A162" i="49"/>
  <c r="B162" i="49"/>
  <c r="A163" i="49"/>
  <c r="B163" i="49"/>
  <c r="A164" i="49"/>
  <c r="B164" i="49"/>
  <c r="A165" i="49"/>
  <c r="B165" i="49"/>
  <c r="A166" i="49"/>
  <c r="B166" i="49"/>
  <c r="A167" i="49"/>
  <c r="B167" i="49"/>
  <c r="A168" i="49"/>
  <c r="B168" i="49"/>
  <c r="A169" i="49"/>
  <c r="B169" i="49"/>
  <c r="A170" i="49"/>
  <c r="B170" i="49"/>
  <c r="A171" i="49"/>
  <c r="B171" i="49"/>
  <c r="A172" i="49"/>
  <c r="B172" i="49"/>
  <c r="A173" i="49"/>
  <c r="B173" i="49"/>
  <c r="A174" i="49"/>
  <c r="B174" i="49"/>
  <c r="A175" i="49"/>
  <c r="B175" i="49"/>
  <c r="A176" i="49"/>
  <c r="B176" i="49"/>
  <c r="A177" i="49"/>
  <c r="B177" i="49"/>
  <c r="A178" i="49"/>
  <c r="B178" i="49"/>
  <c r="A179" i="49"/>
  <c r="B179" i="49"/>
  <c r="A180" i="49"/>
  <c r="B180" i="49"/>
  <c r="A181" i="49"/>
  <c r="B181" i="49"/>
  <c r="A182" i="49"/>
  <c r="B182" i="49"/>
  <c r="A183" i="49"/>
  <c r="B183" i="49"/>
  <c r="A184" i="49"/>
  <c r="B184" i="49"/>
  <c r="A185" i="49"/>
  <c r="B185" i="49"/>
  <c r="A186" i="49"/>
  <c r="B186" i="49"/>
  <c r="A187" i="49"/>
  <c r="B187" i="49"/>
  <c r="A188" i="49"/>
  <c r="B188" i="49"/>
  <c r="A189" i="49"/>
  <c r="B189" i="49"/>
  <c r="A190" i="49"/>
  <c r="B190" i="49"/>
  <c r="A191" i="49"/>
  <c r="B191" i="49"/>
  <c r="A192" i="49"/>
  <c r="B192" i="49"/>
  <c r="A193" i="49"/>
  <c r="B193" i="49"/>
  <c r="A194" i="49"/>
  <c r="B194" i="49"/>
  <c r="A195" i="49"/>
  <c r="B195" i="49"/>
  <c r="A196" i="49"/>
  <c r="B196" i="49"/>
  <c r="A197" i="49"/>
  <c r="B197" i="49"/>
  <c r="A198" i="49"/>
  <c r="B198" i="49"/>
  <c r="A199" i="49"/>
  <c r="B199" i="49"/>
  <c r="A200" i="49"/>
  <c r="B200" i="49"/>
  <c r="A201" i="49"/>
  <c r="B201" i="49"/>
  <c r="A202" i="49"/>
  <c r="B202" i="49"/>
  <c r="A203" i="49"/>
  <c r="B203" i="49"/>
  <c r="A204" i="49"/>
  <c r="B204" i="49"/>
  <c r="A205" i="49"/>
  <c r="B205" i="49"/>
  <c r="A206" i="49"/>
  <c r="B206" i="49"/>
  <c r="A207" i="49"/>
  <c r="B207" i="49"/>
  <c r="A208" i="49"/>
  <c r="B208" i="49"/>
  <c r="A209" i="49"/>
  <c r="B209" i="49"/>
  <c r="A210" i="49"/>
  <c r="B210" i="49"/>
  <c r="A211" i="49"/>
  <c r="B211" i="49"/>
  <c r="A212" i="49"/>
  <c r="B212" i="49"/>
  <c r="A213" i="49"/>
  <c r="B213" i="49"/>
  <c r="A214" i="49"/>
  <c r="B214" i="49"/>
  <c r="A215" i="49"/>
  <c r="B215" i="49"/>
  <c r="A216" i="49"/>
  <c r="B216" i="49"/>
  <c r="A217" i="49"/>
  <c r="B217" i="49"/>
  <c r="A218" i="49"/>
  <c r="B218" i="49"/>
  <c r="A219" i="49"/>
  <c r="B219" i="49"/>
  <c r="A220" i="49"/>
  <c r="B220" i="49"/>
  <c r="A221" i="49"/>
  <c r="B221" i="49"/>
  <c r="A222" i="49"/>
  <c r="B222" i="49"/>
  <c r="A223" i="49"/>
  <c r="B223" i="49"/>
  <c r="A224" i="49"/>
  <c r="B224" i="49"/>
  <c r="A225" i="49"/>
  <c r="B225" i="49"/>
  <c r="A226" i="49"/>
  <c r="B226" i="49"/>
  <c r="A227" i="49"/>
  <c r="B227" i="49"/>
  <c r="A228" i="49"/>
  <c r="B228" i="49"/>
  <c r="A229" i="49"/>
  <c r="B229" i="49"/>
  <c r="A230" i="49"/>
  <c r="B230" i="49"/>
  <c r="A231" i="49"/>
  <c r="B231" i="49"/>
  <c r="A232" i="49"/>
  <c r="B232" i="49"/>
  <c r="A233" i="49"/>
  <c r="B233" i="49"/>
  <c r="A234" i="49"/>
  <c r="B234" i="49"/>
  <c r="A235" i="49"/>
  <c r="B235" i="49"/>
  <c r="A236" i="49"/>
  <c r="B236" i="49"/>
  <c r="A237" i="49"/>
  <c r="B237" i="49"/>
  <c r="A238" i="49"/>
  <c r="B238" i="49"/>
  <c r="A239" i="49"/>
  <c r="B239" i="49"/>
  <c r="A240" i="49"/>
  <c r="B240" i="49"/>
  <c r="A241" i="49"/>
  <c r="B241" i="49"/>
  <c r="A242" i="49"/>
  <c r="B242" i="49"/>
  <c r="A243" i="49"/>
  <c r="B243" i="49"/>
  <c r="A244" i="49"/>
  <c r="B244" i="49"/>
  <c r="A245" i="49"/>
  <c r="B245" i="49"/>
  <c r="A246" i="49"/>
  <c r="B246" i="49"/>
  <c r="A247" i="49"/>
  <c r="B247" i="49"/>
  <c r="A248" i="49"/>
  <c r="B248" i="49"/>
  <c r="A249" i="49"/>
  <c r="B249" i="49"/>
  <c r="A250" i="49"/>
  <c r="B250" i="49"/>
  <c r="A251" i="49"/>
  <c r="B251" i="49"/>
  <c r="A252" i="49"/>
  <c r="B252" i="49"/>
  <c r="A253" i="49"/>
  <c r="B253" i="49"/>
  <c r="A254" i="49"/>
  <c r="B254" i="49"/>
  <c r="A255" i="49"/>
  <c r="B255" i="49"/>
  <c r="A256" i="49"/>
  <c r="B256" i="49"/>
  <c r="A257" i="49"/>
  <c r="B257" i="49"/>
  <c r="A258" i="49"/>
  <c r="B258" i="49"/>
  <c r="A259" i="49"/>
  <c r="B259" i="49"/>
  <c r="A260" i="49"/>
  <c r="B260" i="49"/>
  <c r="A261" i="49"/>
  <c r="B261" i="49"/>
  <c r="A262" i="49"/>
  <c r="B262" i="49"/>
  <c r="A263" i="49"/>
  <c r="B263" i="49"/>
  <c r="A264" i="49"/>
  <c r="B264" i="49"/>
  <c r="A265" i="49"/>
  <c r="B265" i="49"/>
  <c r="A266" i="49"/>
  <c r="B266" i="49"/>
  <c r="A267" i="49"/>
  <c r="B267" i="49"/>
  <c r="A268" i="49"/>
  <c r="B268" i="49"/>
  <c r="A269" i="49"/>
  <c r="B269" i="49"/>
  <c r="A270" i="49"/>
  <c r="B270" i="49"/>
  <c r="A271" i="49"/>
  <c r="B271" i="49"/>
  <c r="A272" i="49"/>
  <c r="B272" i="49"/>
  <c r="A273" i="49"/>
  <c r="B273" i="49"/>
  <c r="A274" i="49"/>
  <c r="B274" i="49"/>
  <c r="A275" i="49"/>
  <c r="B275" i="49"/>
  <c r="A276" i="49"/>
  <c r="B276" i="49"/>
  <c r="A277" i="49"/>
  <c r="B277" i="49"/>
  <c r="A278" i="49"/>
  <c r="B278" i="49"/>
  <c r="A279" i="49"/>
  <c r="B279" i="49"/>
  <c r="A280" i="49"/>
  <c r="B280" i="49"/>
  <c r="A281" i="49"/>
  <c r="B281" i="49"/>
  <c r="A282" i="49"/>
  <c r="B282" i="49"/>
  <c r="A283" i="49"/>
  <c r="B283" i="49"/>
  <c r="A284" i="49"/>
  <c r="B284" i="49"/>
  <c r="A285" i="49"/>
  <c r="B285" i="49"/>
  <c r="A286" i="49"/>
  <c r="B286" i="49"/>
  <c r="A287" i="49"/>
  <c r="B287" i="49"/>
  <c r="A288" i="49"/>
  <c r="B288" i="49"/>
  <c r="A289" i="49"/>
  <c r="B289" i="49"/>
  <c r="A290" i="49"/>
  <c r="B290" i="49"/>
  <c r="A291" i="49"/>
  <c r="B291" i="49"/>
  <c r="A292" i="49"/>
  <c r="B292" i="49"/>
  <c r="A293" i="49"/>
  <c r="B293" i="49"/>
  <c r="A294" i="49"/>
  <c r="B294" i="49"/>
  <c r="A295" i="49"/>
  <c r="B295" i="49"/>
  <c r="A296" i="49"/>
  <c r="B296" i="49"/>
  <c r="A297" i="49"/>
  <c r="B297" i="49"/>
  <c r="A298" i="49"/>
  <c r="B298" i="49"/>
  <c r="A299" i="49"/>
  <c r="B299" i="49"/>
  <c r="A300" i="49"/>
  <c r="B300" i="49"/>
  <c r="A301" i="49"/>
  <c r="B301" i="49"/>
  <c r="A302" i="49"/>
  <c r="B302" i="49"/>
  <c r="A303" i="49"/>
  <c r="B303" i="49"/>
  <c r="A304" i="49"/>
  <c r="B304" i="49"/>
  <c r="A305" i="49"/>
  <c r="B305" i="49"/>
  <c r="A306" i="49"/>
  <c r="B306" i="49"/>
  <c r="A307" i="49"/>
  <c r="B307" i="49"/>
  <c r="A308" i="49"/>
  <c r="B308" i="49"/>
  <c r="A309" i="49"/>
  <c r="B309" i="49"/>
  <c r="A310" i="49"/>
  <c r="B310" i="49"/>
  <c r="A311" i="49"/>
  <c r="B311" i="49"/>
  <c r="A312" i="49"/>
  <c r="B312" i="49"/>
  <c r="A313" i="49"/>
  <c r="B313" i="49"/>
  <c r="A314" i="49"/>
  <c r="B314" i="49"/>
  <c r="A315" i="49"/>
  <c r="B315" i="49"/>
  <c r="A316" i="49"/>
  <c r="B316" i="49"/>
  <c r="A317" i="49"/>
  <c r="B317" i="49"/>
  <c r="A318" i="49"/>
  <c r="B318" i="49"/>
  <c r="A319" i="49"/>
  <c r="B319" i="49"/>
  <c r="A320" i="49"/>
  <c r="B320" i="49"/>
  <c r="A321" i="49"/>
  <c r="B321" i="49"/>
  <c r="A322" i="49"/>
  <c r="B322" i="49"/>
  <c r="A323" i="49"/>
  <c r="B323" i="49"/>
  <c r="B6" i="49"/>
  <c r="A6" i="49"/>
  <c r="E45" i="48" l="1"/>
  <c r="B324" i="49"/>
  <c r="B7" i="48"/>
  <c r="B6" i="48"/>
  <c r="C8" i="34" l="1"/>
  <c r="U6" i="19" l="1"/>
  <c r="Y169" i="19"/>
  <c r="C167" i="32" s="1"/>
  <c r="Y308" i="19"/>
  <c r="C306" i="32" s="1"/>
  <c r="Y320" i="19"/>
  <c r="C318" i="32" s="1"/>
  <c r="C25" i="40" l="1"/>
  <c r="A2" i="25"/>
  <c r="K6" i="13"/>
  <c r="H6" i="13"/>
  <c r="J5" i="13"/>
  <c r="A7" i="13"/>
  <c r="B7" i="13"/>
  <c r="A8" i="13"/>
  <c r="B8" i="13"/>
  <c r="A9" i="13"/>
  <c r="B9" i="13"/>
  <c r="A10" i="13"/>
  <c r="B10" i="13"/>
  <c r="A11" i="13"/>
  <c r="B11" i="13"/>
  <c r="A12" i="13"/>
  <c r="B12" i="13"/>
  <c r="A13" i="13"/>
  <c r="B13" i="13"/>
  <c r="A14" i="13"/>
  <c r="B14" i="13"/>
  <c r="A15" i="13"/>
  <c r="B15" i="13"/>
  <c r="A16" i="13"/>
  <c r="B16" i="13"/>
  <c r="A17" i="13"/>
  <c r="B17" i="13"/>
  <c r="A18" i="13"/>
  <c r="B18" i="13"/>
  <c r="A19" i="13"/>
  <c r="B19" i="13"/>
  <c r="A20" i="13"/>
  <c r="B20" i="13"/>
  <c r="A21" i="13"/>
  <c r="B21" i="13"/>
  <c r="A22" i="13"/>
  <c r="B22" i="13"/>
  <c r="A23" i="13"/>
  <c r="B23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A40" i="13"/>
  <c r="B40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69" i="13"/>
  <c r="B169" i="13"/>
  <c r="A170" i="13"/>
  <c r="B170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8" i="13"/>
  <c r="B218" i="13"/>
  <c r="A219" i="13"/>
  <c r="B219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3" i="13"/>
  <c r="B243" i="13"/>
  <c r="A244" i="13"/>
  <c r="B244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A314" i="13"/>
  <c r="B314" i="13"/>
  <c r="A315" i="13"/>
  <c r="B315" i="13"/>
  <c r="A316" i="13"/>
  <c r="B316" i="13"/>
  <c r="A317" i="13"/>
  <c r="B317" i="13"/>
  <c r="A318" i="13"/>
  <c r="B318" i="13"/>
  <c r="A319" i="13"/>
  <c r="B319" i="13"/>
  <c r="A320" i="13"/>
  <c r="B320" i="13"/>
  <c r="A321" i="13"/>
  <c r="B321" i="13"/>
  <c r="A322" i="13"/>
  <c r="B322" i="13"/>
  <c r="A323" i="13"/>
  <c r="B323" i="13"/>
  <c r="B6" i="13"/>
  <c r="A6" i="13"/>
  <c r="H8" i="13"/>
  <c r="A6" i="39"/>
  <c r="B6" i="39"/>
  <c r="A7" i="39"/>
  <c r="B7" i="39"/>
  <c r="A8" i="39"/>
  <c r="B8" i="39"/>
  <c r="A9" i="39"/>
  <c r="B9" i="39"/>
  <c r="A10" i="39"/>
  <c r="B10" i="39"/>
  <c r="A11" i="39"/>
  <c r="B11" i="39"/>
  <c r="A12" i="39"/>
  <c r="B12" i="39"/>
  <c r="A13" i="39"/>
  <c r="B13" i="39"/>
  <c r="A14" i="39"/>
  <c r="B14" i="39"/>
  <c r="A15" i="39"/>
  <c r="B15" i="39"/>
  <c r="A16" i="39"/>
  <c r="B16" i="39"/>
  <c r="A17" i="39"/>
  <c r="B17" i="39"/>
  <c r="A18" i="39"/>
  <c r="B18" i="39"/>
  <c r="A19" i="39"/>
  <c r="B19" i="39"/>
  <c r="A20" i="39"/>
  <c r="B20" i="39"/>
  <c r="A21" i="39"/>
  <c r="B21" i="39"/>
  <c r="A22" i="39"/>
  <c r="B22" i="39"/>
  <c r="A23" i="39"/>
  <c r="B23" i="39"/>
  <c r="A24" i="39"/>
  <c r="B24" i="39"/>
  <c r="A25" i="39"/>
  <c r="B25" i="39"/>
  <c r="A26" i="39"/>
  <c r="B26" i="39"/>
  <c r="A27" i="39"/>
  <c r="B27" i="39"/>
  <c r="A28" i="39"/>
  <c r="B28" i="39"/>
  <c r="A29" i="39"/>
  <c r="B29" i="39"/>
  <c r="A30" i="39"/>
  <c r="B30" i="39"/>
  <c r="A31" i="39"/>
  <c r="B31" i="39"/>
  <c r="A32" i="39"/>
  <c r="B32" i="39"/>
  <c r="A33" i="39"/>
  <c r="B33" i="39"/>
  <c r="A34" i="39"/>
  <c r="B34" i="39"/>
  <c r="A35" i="39"/>
  <c r="B35" i="39"/>
  <c r="A36" i="39"/>
  <c r="B36" i="39"/>
  <c r="A37" i="39"/>
  <c r="B37" i="39"/>
  <c r="A38" i="39"/>
  <c r="B38" i="39"/>
  <c r="A39" i="39"/>
  <c r="B39" i="39"/>
  <c r="A40" i="39"/>
  <c r="B40" i="39"/>
  <c r="A41" i="39"/>
  <c r="B41" i="39"/>
  <c r="A42" i="39"/>
  <c r="B42" i="39"/>
  <c r="A43" i="39"/>
  <c r="B43" i="39"/>
  <c r="A44" i="39"/>
  <c r="B44" i="39"/>
  <c r="A45" i="39"/>
  <c r="B45" i="39"/>
  <c r="A46" i="39"/>
  <c r="B46" i="39"/>
  <c r="A47" i="39"/>
  <c r="B47" i="39"/>
  <c r="A48" i="39"/>
  <c r="B48" i="39"/>
  <c r="A49" i="39"/>
  <c r="B49" i="39"/>
  <c r="A50" i="39"/>
  <c r="B50" i="39"/>
  <c r="A51" i="39"/>
  <c r="B51" i="39"/>
  <c r="A52" i="39"/>
  <c r="B52" i="39"/>
  <c r="A53" i="39"/>
  <c r="B53" i="39"/>
  <c r="A54" i="39"/>
  <c r="B54" i="39"/>
  <c r="A55" i="39"/>
  <c r="B55" i="39"/>
  <c r="A56" i="39"/>
  <c r="B56" i="39"/>
  <c r="A57" i="39"/>
  <c r="B57" i="39"/>
  <c r="A58" i="39"/>
  <c r="B58" i="39"/>
  <c r="A59" i="39"/>
  <c r="B59" i="39"/>
  <c r="A60" i="39"/>
  <c r="B60" i="39"/>
  <c r="A61" i="39"/>
  <c r="B61" i="39"/>
  <c r="A62" i="39"/>
  <c r="B62" i="39"/>
  <c r="A63" i="39"/>
  <c r="B63" i="39"/>
  <c r="A64" i="39"/>
  <c r="B64" i="39"/>
  <c r="A65" i="39"/>
  <c r="B65" i="39"/>
  <c r="A66" i="39"/>
  <c r="B66" i="39"/>
  <c r="A67" i="39"/>
  <c r="B67" i="39"/>
  <c r="A68" i="39"/>
  <c r="B68" i="39"/>
  <c r="A69" i="39"/>
  <c r="B69" i="39"/>
  <c r="A70" i="39"/>
  <c r="B70" i="39"/>
  <c r="A71" i="39"/>
  <c r="B71" i="39"/>
  <c r="A72" i="39"/>
  <c r="B72" i="39"/>
  <c r="A73" i="39"/>
  <c r="B73" i="39"/>
  <c r="A74" i="39"/>
  <c r="B74" i="39"/>
  <c r="A75" i="39"/>
  <c r="B75" i="39"/>
  <c r="A76" i="39"/>
  <c r="B76" i="39"/>
  <c r="A77" i="39"/>
  <c r="B77" i="39"/>
  <c r="A78" i="39"/>
  <c r="B78" i="39"/>
  <c r="A79" i="39"/>
  <c r="B79" i="39"/>
  <c r="A80" i="39"/>
  <c r="B80" i="39"/>
  <c r="A81" i="39"/>
  <c r="B81" i="39"/>
  <c r="A82" i="39"/>
  <c r="B82" i="39"/>
  <c r="A83" i="39"/>
  <c r="B83" i="39"/>
  <c r="A84" i="39"/>
  <c r="B84" i="39"/>
  <c r="A85" i="39"/>
  <c r="B85" i="39"/>
  <c r="A86" i="39"/>
  <c r="B86" i="39"/>
  <c r="A87" i="39"/>
  <c r="B87" i="39"/>
  <c r="A88" i="39"/>
  <c r="B88" i="39"/>
  <c r="A89" i="39"/>
  <c r="B89" i="39"/>
  <c r="A90" i="39"/>
  <c r="B90" i="39"/>
  <c r="A91" i="39"/>
  <c r="B91" i="39"/>
  <c r="A92" i="39"/>
  <c r="B92" i="39"/>
  <c r="A93" i="39"/>
  <c r="B93" i="39"/>
  <c r="A94" i="39"/>
  <c r="B94" i="39"/>
  <c r="A95" i="39"/>
  <c r="B95" i="39"/>
  <c r="A96" i="39"/>
  <c r="B96" i="39"/>
  <c r="A97" i="39"/>
  <c r="B97" i="39"/>
  <c r="A98" i="39"/>
  <c r="B98" i="39"/>
  <c r="A99" i="39"/>
  <c r="B99" i="39"/>
  <c r="A100" i="39"/>
  <c r="B100" i="39"/>
  <c r="A101" i="39"/>
  <c r="B101" i="39"/>
  <c r="A102" i="39"/>
  <c r="B102" i="39"/>
  <c r="A103" i="39"/>
  <c r="B103" i="39"/>
  <c r="A104" i="39"/>
  <c r="B104" i="39"/>
  <c r="A105" i="39"/>
  <c r="B105" i="39"/>
  <c r="A106" i="39"/>
  <c r="B106" i="39"/>
  <c r="A107" i="39"/>
  <c r="B107" i="39"/>
  <c r="A108" i="39"/>
  <c r="B108" i="39"/>
  <c r="A109" i="39"/>
  <c r="B109" i="39"/>
  <c r="A110" i="39"/>
  <c r="B110" i="39"/>
  <c r="A111" i="39"/>
  <c r="B111" i="39"/>
  <c r="A112" i="39"/>
  <c r="B112" i="39"/>
  <c r="A113" i="39"/>
  <c r="B113" i="39"/>
  <c r="A114" i="39"/>
  <c r="B114" i="39"/>
  <c r="A115" i="39"/>
  <c r="B115" i="39"/>
  <c r="A116" i="39"/>
  <c r="B116" i="39"/>
  <c r="A117" i="39"/>
  <c r="B117" i="39"/>
  <c r="A118" i="39"/>
  <c r="B118" i="39"/>
  <c r="A119" i="39"/>
  <c r="B119" i="39"/>
  <c r="A120" i="39"/>
  <c r="B120" i="39"/>
  <c r="A121" i="39"/>
  <c r="B121" i="39"/>
  <c r="A122" i="39"/>
  <c r="B122" i="39"/>
  <c r="A123" i="39"/>
  <c r="B123" i="39"/>
  <c r="A124" i="39"/>
  <c r="B124" i="39"/>
  <c r="A125" i="39"/>
  <c r="B125" i="39"/>
  <c r="A126" i="39"/>
  <c r="B126" i="39"/>
  <c r="A127" i="39"/>
  <c r="B127" i="39"/>
  <c r="A128" i="39"/>
  <c r="B128" i="39"/>
  <c r="A129" i="39"/>
  <c r="B129" i="39"/>
  <c r="A130" i="39"/>
  <c r="B130" i="39"/>
  <c r="A131" i="39"/>
  <c r="B131" i="39"/>
  <c r="A132" i="39"/>
  <c r="B132" i="39"/>
  <c r="A133" i="39"/>
  <c r="B133" i="39"/>
  <c r="A134" i="39"/>
  <c r="B134" i="39"/>
  <c r="A135" i="39"/>
  <c r="B135" i="39"/>
  <c r="A136" i="39"/>
  <c r="B136" i="39"/>
  <c r="A137" i="39"/>
  <c r="B137" i="39"/>
  <c r="A138" i="39"/>
  <c r="B138" i="39"/>
  <c r="A139" i="39"/>
  <c r="B139" i="39"/>
  <c r="A140" i="39"/>
  <c r="B140" i="39"/>
  <c r="A141" i="39"/>
  <c r="B141" i="39"/>
  <c r="A142" i="39"/>
  <c r="B142" i="39"/>
  <c r="A143" i="39"/>
  <c r="B143" i="39"/>
  <c r="A144" i="39"/>
  <c r="B144" i="39"/>
  <c r="A145" i="39"/>
  <c r="B145" i="39"/>
  <c r="A146" i="39"/>
  <c r="B146" i="39"/>
  <c r="A147" i="39"/>
  <c r="B147" i="39"/>
  <c r="A148" i="39"/>
  <c r="B148" i="39"/>
  <c r="A149" i="39"/>
  <c r="B149" i="39"/>
  <c r="A150" i="39"/>
  <c r="B150" i="39"/>
  <c r="A151" i="39"/>
  <c r="B151" i="39"/>
  <c r="A152" i="39"/>
  <c r="B152" i="39"/>
  <c r="A153" i="39"/>
  <c r="B153" i="39"/>
  <c r="A154" i="39"/>
  <c r="B154" i="39"/>
  <c r="A155" i="39"/>
  <c r="B155" i="39"/>
  <c r="A156" i="39"/>
  <c r="B156" i="39"/>
  <c r="A157" i="39"/>
  <c r="B157" i="39"/>
  <c r="A158" i="39"/>
  <c r="B158" i="39"/>
  <c r="A159" i="39"/>
  <c r="B159" i="39"/>
  <c r="A160" i="39"/>
  <c r="B160" i="39"/>
  <c r="A161" i="39"/>
  <c r="B161" i="39"/>
  <c r="A162" i="39"/>
  <c r="B162" i="39"/>
  <c r="A163" i="39"/>
  <c r="B163" i="39"/>
  <c r="A164" i="39"/>
  <c r="B164" i="39"/>
  <c r="A165" i="39"/>
  <c r="B165" i="39"/>
  <c r="A166" i="39"/>
  <c r="B166" i="39"/>
  <c r="A167" i="39"/>
  <c r="B167" i="39"/>
  <c r="A168" i="39"/>
  <c r="B168" i="39"/>
  <c r="A169" i="39"/>
  <c r="B169" i="39"/>
  <c r="A170" i="39"/>
  <c r="B170" i="39"/>
  <c r="A171" i="39"/>
  <c r="B171" i="39"/>
  <c r="A172" i="39"/>
  <c r="B172" i="39"/>
  <c r="A173" i="39"/>
  <c r="B173" i="39"/>
  <c r="A174" i="39"/>
  <c r="B174" i="39"/>
  <c r="A175" i="39"/>
  <c r="B175" i="39"/>
  <c r="A176" i="39"/>
  <c r="B176" i="39"/>
  <c r="A177" i="39"/>
  <c r="B177" i="39"/>
  <c r="A178" i="39"/>
  <c r="B178" i="39"/>
  <c r="A179" i="39"/>
  <c r="B179" i="39"/>
  <c r="A180" i="39"/>
  <c r="B180" i="39"/>
  <c r="A181" i="39"/>
  <c r="B181" i="39"/>
  <c r="A182" i="39"/>
  <c r="B182" i="39"/>
  <c r="A183" i="39"/>
  <c r="B183" i="39"/>
  <c r="A184" i="39"/>
  <c r="B184" i="39"/>
  <c r="A185" i="39"/>
  <c r="B185" i="39"/>
  <c r="A186" i="39"/>
  <c r="B186" i="39"/>
  <c r="A187" i="39"/>
  <c r="B187" i="39"/>
  <c r="A188" i="39"/>
  <c r="B188" i="39"/>
  <c r="A189" i="39"/>
  <c r="B189" i="39"/>
  <c r="A190" i="39"/>
  <c r="B190" i="39"/>
  <c r="A191" i="39"/>
  <c r="B191" i="39"/>
  <c r="A192" i="39"/>
  <c r="B192" i="39"/>
  <c r="A193" i="39"/>
  <c r="B193" i="39"/>
  <c r="A194" i="39"/>
  <c r="B194" i="39"/>
  <c r="A195" i="39"/>
  <c r="B195" i="39"/>
  <c r="A196" i="39"/>
  <c r="B196" i="39"/>
  <c r="A197" i="39"/>
  <c r="B197" i="39"/>
  <c r="A198" i="39"/>
  <c r="B198" i="39"/>
  <c r="A199" i="39"/>
  <c r="B199" i="39"/>
  <c r="A200" i="39"/>
  <c r="B200" i="39"/>
  <c r="A201" i="39"/>
  <c r="B201" i="39"/>
  <c r="A202" i="39"/>
  <c r="B202" i="39"/>
  <c r="A203" i="39"/>
  <c r="B203" i="39"/>
  <c r="A204" i="39"/>
  <c r="B204" i="39"/>
  <c r="A205" i="39"/>
  <c r="B205" i="39"/>
  <c r="A206" i="39"/>
  <c r="B206" i="39"/>
  <c r="A207" i="39"/>
  <c r="B207" i="39"/>
  <c r="A208" i="39"/>
  <c r="B208" i="39"/>
  <c r="A209" i="39"/>
  <c r="B209" i="39"/>
  <c r="A210" i="39"/>
  <c r="B210" i="39"/>
  <c r="A211" i="39"/>
  <c r="B211" i="39"/>
  <c r="A212" i="39"/>
  <c r="B212" i="39"/>
  <c r="A213" i="39"/>
  <c r="B213" i="39"/>
  <c r="A214" i="39"/>
  <c r="B214" i="39"/>
  <c r="A215" i="39"/>
  <c r="B215" i="39"/>
  <c r="A216" i="39"/>
  <c r="B216" i="39"/>
  <c r="A217" i="39"/>
  <c r="B217" i="39"/>
  <c r="A218" i="39"/>
  <c r="B218" i="39"/>
  <c r="A219" i="39"/>
  <c r="B219" i="39"/>
  <c r="A220" i="39"/>
  <c r="B220" i="39"/>
  <c r="A221" i="39"/>
  <c r="B221" i="39"/>
  <c r="A222" i="39"/>
  <c r="B222" i="39"/>
  <c r="A223" i="39"/>
  <c r="B223" i="39"/>
  <c r="A224" i="39"/>
  <c r="B224" i="39"/>
  <c r="A225" i="39"/>
  <c r="B225" i="39"/>
  <c r="A226" i="39"/>
  <c r="B226" i="39"/>
  <c r="A227" i="39"/>
  <c r="B227" i="39"/>
  <c r="A228" i="39"/>
  <c r="B228" i="39"/>
  <c r="A229" i="39"/>
  <c r="B229" i="39"/>
  <c r="A230" i="39"/>
  <c r="B230" i="39"/>
  <c r="A231" i="39"/>
  <c r="B231" i="39"/>
  <c r="A232" i="39"/>
  <c r="B232" i="39"/>
  <c r="A233" i="39"/>
  <c r="B233" i="39"/>
  <c r="A234" i="39"/>
  <c r="B234" i="39"/>
  <c r="A235" i="39"/>
  <c r="B235" i="39"/>
  <c r="A236" i="39"/>
  <c r="B236" i="39"/>
  <c r="A237" i="39"/>
  <c r="B237" i="39"/>
  <c r="A238" i="39"/>
  <c r="B238" i="39"/>
  <c r="A239" i="39"/>
  <c r="B239" i="39"/>
  <c r="A240" i="39"/>
  <c r="B240" i="39"/>
  <c r="A241" i="39"/>
  <c r="B241" i="39"/>
  <c r="A242" i="39"/>
  <c r="B242" i="39"/>
  <c r="A243" i="39"/>
  <c r="B243" i="39"/>
  <c r="A244" i="39"/>
  <c r="B244" i="39"/>
  <c r="A245" i="39"/>
  <c r="B245" i="39"/>
  <c r="A246" i="39"/>
  <c r="B246" i="39"/>
  <c r="A247" i="39"/>
  <c r="B247" i="39"/>
  <c r="A248" i="39"/>
  <c r="B248" i="39"/>
  <c r="A249" i="39"/>
  <c r="B249" i="39"/>
  <c r="A250" i="39"/>
  <c r="B250" i="39"/>
  <c r="A251" i="39"/>
  <c r="B251" i="39"/>
  <c r="A252" i="39"/>
  <c r="B252" i="39"/>
  <c r="A253" i="39"/>
  <c r="B253" i="39"/>
  <c r="A254" i="39"/>
  <c r="B254" i="39"/>
  <c r="A255" i="39"/>
  <c r="B255" i="39"/>
  <c r="A256" i="39"/>
  <c r="B256" i="39"/>
  <c r="A257" i="39"/>
  <c r="B257" i="39"/>
  <c r="A258" i="39"/>
  <c r="B258" i="39"/>
  <c r="A259" i="39"/>
  <c r="B259" i="39"/>
  <c r="A260" i="39"/>
  <c r="B260" i="39"/>
  <c r="A261" i="39"/>
  <c r="B261" i="39"/>
  <c r="A262" i="39"/>
  <c r="B262" i="39"/>
  <c r="A263" i="39"/>
  <c r="B263" i="39"/>
  <c r="A264" i="39"/>
  <c r="B264" i="39"/>
  <c r="A265" i="39"/>
  <c r="B265" i="39"/>
  <c r="A266" i="39"/>
  <c r="B266" i="39"/>
  <c r="A267" i="39"/>
  <c r="B267" i="39"/>
  <c r="A268" i="39"/>
  <c r="B268" i="39"/>
  <c r="A269" i="39"/>
  <c r="B269" i="39"/>
  <c r="A270" i="39"/>
  <c r="B270" i="39"/>
  <c r="A271" i="39"/>
  <c r="B271" i="39"/>
  <c r="A272" i="39"/>
  <c r="B272" i="39"/>
  <c r="A273" i="39"/>
  <c r="B273" i="39"/>
  <c r="A274" i="39"/>
  <c r="B274" i="39"/>
  <c r="A275" i="39"/>
  <c r="B275" i="39"/>
  <c r="A276" i="39"/>
  <c r="B276" i="39"/>
  <c r="A277" i="39"/>
  <c r="B277" i="39"/>
  <c r="A278" i="39"/>
  <c r="B278" i="39"/>
  <c r="A279" i="39"/>
  <c r="B279" i="39"/>
  <c r="A280" i="39"/>
  <c r="B280" i="39"/>
  <c r="A281" i="39"/>
  <c r="B281" i="39"/>
  <c r="A282" i="39"/>
  <c r="B282" i="39"/>
  <c r="A283" i="39"/>
  <c r="B283" i="39"/>
  <c r="A284" i="39"/>
  <c r="B284" i="39"/>
  <c r="A285" i="39"/>
  <c r="B285" i="39"/>
  <c r="A286" i="39"/>
  <c r="B286" i="39"/>
  <c r="A287" i="39"/>
  <c r="B287" i="39"/>
  <c r="A288" i="39"/>
  <c r="B288" i="39"/>
  <c r="A289" i="39"/>
  <c r="B289" i="39"/>
  <c r="A290" i="39"/>
  <c r="B290" i="39"/>
  <c r="A291" i="39"/>
  <c r="B291" i="39"/>
  <c r="A292" i="39"/>
  <c r="B292" i="39"/>
  <c r="A293" i="39"/>
  <c r="B293" i="39"/>
  <c r="A294" i="39"/>
  <c r="B294" i="39"/>
  <c r="A295" i="39"/>
  <c r="B295" i="39"/>
  <c r="A296" i="39"/>
  <c r="B296" i="39"/>
  <c r="A297" i="39"/>
  <c r="B297" i="39"/>
  <c r="A298" i="39"/>
  <c r="B298" i="39"/>
  <c r="A299" i="39"/>
  <c r="B299" i="39"/>
  <c r="A300" i="39"/>
  <c r="B300" i="39"/>
  <c r="A301" i="39"/>
  <c r="B301" i="39"/>
  <c r="A302" i="39"/>
  <c r="B302" i="39"/>
  <c r="A303" i="39"/>
  <c r="B303" i="39"/>
  <c r="A304" i="39"/>
  <c r="B304" i="39"/>
  <c r="A305" i="39"/>
  <c r="B305" i="39"/>
  <c r="A306" i="39"/>
  <c r="B306" i="39"/>
  <c r="A307" i="39"/>
  <c r="B307" i="39"/>
  <c r="A308" i="39"/>
  <c r="B308" i="39"/>
  <c r="A309" i="39"/>
  <c r="B309" i="39"/>
  <c r="A310" i="39"/>
  <c r="B310" i="39"/>
  <c r="A311" i="39"/>
  <c r="B311" i="39"/>
  <c r="A312" i="39"/>
  <c r="B312" i="39"/>
  <c r="A313" i="39"/>
  <c r="B313" i="39"/>
  <c r="A314" i="39"/>
  <c r="B314" i="39"/>
  <c r="A315" i="39"/>
  <c r="B315" i="39"/>
  <c r="A316" i="39"/>
  <c r="B316" i="39"/>
  <c r="A317" i="39"/>
  <c r="B317" i="39"/>
  <c r="A318" i="39"/>
  <c r="B318" i="39"/>
  <c r="A319" i="39"/>
  <c r="B319" i="39"/>
  <c r="A320" i="39"/>
  <c r="B320" i="39"/>
  <c r="A321" i="39"/>
  <c r="B321" i="39"/>
  <c r="A322" i="39"/>
  <c r="B322" i="39"/>
  <c r="B5" i="39"/>
  <c r="A5" i="39"/>
  <c r="A6" i="12"/>
  <c r="B6" i="12"/>
  <c r="A7" i="12"/>
  <c r="B7" i="12"/>
  <c r="A8" i="12"/>
  <c r="B8" i="12"/>
  <c r="A9" i="12"/>
  <c r="B9" i="12"/>
  <c r="A10" i="12"/>
  <c r="B10" i="12"/>
  <c r="A11" i="12"/>
  <c r="B11" i="12"/>
  <c r="A12" i="12"/>
  <c r="B12" i="12"/>
  <c r="A13" i="12"/>
  <c r="B13" i="12"/>
  <c r="A14" i="12"/>
  <c r="B14" i="12"/>
  <c r="A15" i="12"/>
  <c r="B15" i="12"/>
  <c r="A16" i="12"/>
  <c r="B16" i="12"/>
  <c r="A17" i="12"/>
  <c r="B17" i="12"/>
  <c r="A18" i="12"/>
  <c r="B18" i="12"/>
  <c r="A19" i="12"/>
  <c r="B19" i="12"/>
  <c r="A20" i="12"/>
  <c r="B20" i="12"/>
  <c r="A21" i="12"/>
  <c r="B21" i="12"/>
  <c r="A22" i="12"/>
  <c r="B22" i="12"/>
  <c r="A23" i="12"/>
  <c r="B23" i="12"/>
  <c r="A24" i="12"/>
  <c r="B24" i="12"/>
  <c r="A25" i="12"/>
  <c r="B25" i="12"/>
  <c r="A26" i="12"/>
  <c r="B26" i="12"/>
  <c r="A27" i="12"/>
  <c r="B27" i="12"/>
  <c r="A28" i="12"/>
  <c r="B28" i="12"/>
  <c r="A29" i="12"/>
  <c r="B29" i="12"/>
  <c r="A30" i="12"/>
  <c r="B30" i="12"/>
  <c r="A31" i="12"/>
  <c r="B31" i="12"/>
  <c r="A32" i="12"/>
  <c r="B32" i="12"/>
  <c r="A33" i="12"/>
  <c r="B33" i="12"/>
  <c r="A34" i="12"/>
  <c r="B34" i="12"/>
  <c r="A35" i="12"/>
  <c r="B35" i="12"/>
  <c r="A36" i="12"/>
  <c r="B36" i="12"/>
  <c r="A37" i="12"/>
  <c r="B37" i="12"/>
  <c r="A38" i="12"/>
  <c r="B38" i="12"/>
  <c r="A39" i="12"/>
  <c r="B39" i="12"/>
  <c r="A40" i="12"/>
  <c r="B40" i="12"/>
  <c r="A41" i="12"/>
  <c r="B41" i="12"/>
  <c r="A42" i="12"/>
  <c r="B42" i="12"/>
  <c r="A43" i="12"/>
  <c r="B43" i="12"/>
  <c r="A44" i="12"/>
  <c r="B44" i="12"/>
  <c r="A45" i="12"/>
  <c r="B45" i="12"/>
  <c r="A46" i="12"/>
  <c r="B46" i="12"/>
  <c r="A47" i="12"/>
  <c r="B47" i="12"/>
  <c r="A48" i="12"/>
  <c r="B48" i="12"/>
  <c r="A49" i="12"/>
  <c r="B49" i="12"/>
  <c r="A50" i="12"/>
  <c r="B50" i="12"/>
  <c r="A51" i="12"/>
  <c r="B51" i="12"/>
  <c r="A52" i="12"/>
  <c r="B52" i="12"/>
  <c r="A53" i="12"/>
  <c r="B53" i="12"/>
  <c r="A54" i="12"/>
  <c r="B54" i="12"/>
  <c r="A55" i="12"/>
  <c r="B55" i="12"/>
  <c r="A56" i="12"/>
  <c r="B56" i="12"/>
  <c r="A57" i="12"/>
  <c r="B57" i="12"/>
  <c r="A58" i="12"/>
  <c r="B58" i="12"/>
  <c r="A59" i="12"/>
  <c r="B59" i="12"/>
  <c r="A60" i="12"/>
  <c r="B60" i="12"/>
  <c r="A61" i="12"/>
  <c r="B61" i="12"/>
  <c r="A62" i="12"/>
  <c r="B62" i="12"/>
  <c r="A63" i="12"/>
  <c r="B63" i="12"/>
  <c r="A64" i="12"/>
  <c r="B64" i="12"/>
  <c r="A65" i="12"/>
  <c r="B65" i="12"/>
  <c r="A66" i="12"/>
  <c r="B66" i="12"/>
  <c r="A67" i="12"/>
  <c r="B67" i="12"/>
  <c r="A68" i="12"/>
  <c r="B68" i="12"/>
  <c r="A69" i="12"/>
  <c r="B69" i="12"/>
  <c r="A70" i="12"/>
  <c r="B70" i="12"/>
  <c r="A71" i="12"/>
  <c r="B71" i="12"/>
  <c r="A72" i="12"/>
  <c r="B72" i="12"/>
  <c r="A73" i="12"/>
  <c r="B73" i="12"/>
  <c r="A74" i="12"/>
  <c r="B74" i="12"/>
  <c r="A75" i="12"/>
  <c r="B75" i="12"/>
  <c r="A76" i="12"/>
  <c r="B76" i="12"/>
  <c r="A77" i="12"/>
  <c r="B77" i="12"/>
  <c r="A78" i="12"/>
  <c r="B78" i="12"/>
  <c r="A79" i="12"/>
  <c r="B79" i="12"/>
  <c r="A80" i="12"/>
  <c r="B80" i="12"/>
  <c r="A81" i="12"/>
  <c r="B81" i="12"/>
  <c r="A82" i="12"/>
  <c r="B82" i="12"/>
  <c r="A83" i="12"/>
  <c r="B83" i="12"/>
  <c r="A84" i="12"/>
  <c r="B84" i="12"/>
  <c r="A85" i="12"/>
  <c r="B85" i="12"/>
  <c r="A86" i="12"/>
  <c r="B86" i="12"/>
  <c r="A87" i="12"/>
  <c r="B87" i="12"/>
  <c r="A88" i="12"/>
  <c r="B88" i="12"/>
  <c r="A89" i="12"/>
  <c r="B89" i="12"/>
  <c r="A90" i="12"/>
  <c r="B90" i="12"/>
  <c r="A91" i="12"/>
  <c r="B91" i="12"/>
  <c r="A92" i="12"/>
  <c r="B92" i="12"/>
  <c r="A93" i="12"/>
  <c r="B93" i="12"/>
  <c r="A94" i="12"/>
  <c r="B94" i="12"/>
  <c r="A95" i="12"/>
  <c r="B95" i="12"/>
  <c r="A96" i="12"/>
  <c r="B96" i="12"/>
  <c r="A97" i="12"/>
  <c r="B97" i="12"/>
  <c r="A98" i="12"/>
  <c r="B98" i="12"/>
  <c r="A99" i="12"/>
  <c r="B99" i="12"/>
  <c r="A100" i="12"/>
  <c r="B100" i="12"/>
  <c r="A101" i="12"/>
  <c r="B101" i="12"/>
  <c r="A102" i="12"/>
  <c r="B102" i="12"/>
  <c r="A103" i="12"/>
  <c r="B103" i="12"/>
  <c r="A104" i="12"/>
  <c r="B104" i="12"/>
  <c r="A105" i="12"/>
  <c r="B105" i="12"/>
  <c r="A106" i="12"/>
  <c r="B106" i="12"/>
  <c r="A107" i="12"/>
  <c r="B107" i="12"/>
  <c r="A108" i="12"/>
  <c r="B108" i="12"/>
  <c r="A109" i="12"/>
  <c r="B109" i="12"/>
  <c r="A110" i="12"/>
  <c r="B110" i="12"/>
  <c r="A111" i="12"/>
  <c r="B111" i="12"/>
  <c r="A112" i="12"/>
  <c r="B112" i="12"/>
  <c r="A113" i="12"/>
  <c r="B113" i="12"/>
  <c r="A114" i="12"/>
  <c r="B114" i="12"/>
  <c r="A115" i="12"/>
  <c r="B115" i="12"/>
  <c r="A116" i="12"/>
  <c r="B116" i="12"/>
  <c r="A117" i="12"/>
  <c r="B117" i="12"/>
  <c r="A118" i="12"/>
  <c r="B118" i="12"/>
  <c r="A119" i="12"/>
  <c r="B119" i="12"/>
  <c r="A120" i="12"/>
  <c r="B120" i="12"/>
  <c r="A121" i="12"/>
  <c r="B121" i="12"/>
  <c r="A122" i="12"/>
  <c r="B122" i="12"/>
  <c r="A123" i="12"/>
  <c r="B123" i="12"/>
  <c r="A124" i="12"/>
  <c r="B124" i="12"/>
  <c r="A125" i="12"/>
  <c r="B125" i="12"/>
  <c r="A126" i="12"/>
  <c r="B126" i="12"/>
  <c r="A127" i="12"/>
  <c r="B127" i="12"/>
  <c r="A128" i="12"/>
  <c r="B128" i="12"/>
  <c r="A129" i="12"/>
  <c r="B129" i="12"/>
  <c r="A130" i="12"/>
  <c r="B130" i="12"/>
  <c r="A131" i="12"/>
  <c r="B131" i="12"/>
  <c r="A132" i="12"/>
  <c r="B132" i="12"/>
  <c r="A133" i="12"/>
  <c r="B133" i="12"/>
  <c r="A134" i="12"/>
  <c r="B134" i="12"/>
  <c r="A135" i="12"/>
  <c r="B135" i="12"/>
  <c r="A136" i="12"/>
  <c r="B136" i="12"/>
  <c r="A137" i="12"/>
  <c r="B137" i="12"/>
  <c r="A138" i="12"/>
  <c r="B138" i="12"/>
  <c r="A139" i="12"/>
  <c r="B139" i="12"/>
  <c r="A140" i="12"/>
  <c r="B140" i="12"/>
  <c r="A141" i="12"/>
  <c r="B141" i="12"/>
  <c r="A142" i="12"/>
  <c r="B142" i="12"/>
  <c r="A143" i="12"/>
  <c r="B143" i="12"/>
  <c r="A144" i="12"/>
  <c r="B144" i="12"/>
  <c r="A145" i="12"/>
  <c r="B145" i="12"/>
  <c r="A146" i="12"/>
  <c r="B146" i="12"/>
  <c r="A147" i="12"/>
  <c r="B147" i="12"/>
  <c r="A148" i="12"/>
  <c r="B148" i="12"/>
  <c r="A149" i="12"/>
  <c r="B149" i="12"/>
  <c r="A150" i="12"/>
  <c r="B150" i="12"/>
  <c r="A151" i="12"/>
  <c r="B151" i="12"/>
  <c r="A152" i="12"/>
  <c r="B152" i="12"/>
  <c r="A153" i="12"/>
  <c r="B153" i="12"/>
  <c r="A154" i="12"/>
  <c r="B154" i="12"/>
  <c r="A155" i="12"/>
  <c r="B155" i="12"/>
  <c r="A156" i="12"/>
  <c r="B156" i="12"/>
  <c r="A157" i="12"/>
  <c r="B157" i="12"/>
  <c r="A158" i="12"/>
  <c r="B158" i="12"/>
  <c r="A159" i="12"/>
  <c r="B159" i="12"/>
  <c r="A160" i="12"/>
  <c r="B160" i="12"/>
  <c r="A161" i="12"/>
  <c r="B161" i="12"/>
  <c r="A162" i="12"/>
  <c r="B162" i="12"/>
  <c r="A163" i="12"/>
  <c r="B163" i="12"/>
  <c r="A164" i="12"/>
  <c r="B164" i="12"/>
  <c r="A165" i="12"/>
  <c r="B165" i="12"/>
  <c r="A166" i="12"/>
  <c r="B166" i="12"/>
  <c r="A167" i="12"/>
  <c r="B167" i="12"/>
  <c r="A168" i="12"/>
  <c r="B168" i="12"/>
  <c r="A169" i="12"/>
  <c r="B169" i="12"/>
  <c r="A170" i="12"/>
  <c r="B170" i="12"/>
  <c r="A171" i="12"/>
  <c r="B171" i="12"/>
  <c r="A172" i="12"/>
  <c r="B172" i="12"/>
  <c r="A173" i="12"/>
  <c r="B173" i="12"/>
  <c r="A174" i="12"/>
  <c r="B174" i="12"/>
  <c r="A175" i="12"/>
  <c r="B175" i="12"/>
  <c r="A176" i="12"/>
  <c r="B176" i="12"/>
  <c r="A177" i="12"/>
  <c r="B177" i="12"/>
  <c r="A178" i="12"/>
  <c r="B178" i="12"/>
  <c r="A179" i="12"/>
  <c r="B179" i="12"/>
  <c r="A180" i="12"/>
  <c r="B180" i="12"/>
  <c r="A181" i="12"/>
  <c r="B181" i="12"/>
  <c r="A182" i="12"/>
  <c r="B182" i="12"/>
  <c r="A183" i="12"/>
  <c r="B183" i="12"/>
  <c r="A184" i="12"/>
  <c r="B184" i="12"/>
  <c r="A185" i="12"/>
  <c r="B185" i="12"/>
  <c r="A186" i="12"/>
  <c r="B186" i="12"/>
  <c r="A187" i="12"/>
  <c r="B187" i="12"/>
  <c r="A188" i="12"/>
  <c r="B188" i="12"/>
  <c r="A189" i="12"/>
  <c r="B189" i="12"/>
  <c r="A190" i="12"/>
  <c r="B190" i="12"/>
  <c r="A191" i="12"/>
  <c r="B191" i="12"/>
  <c r="A192" i="12"/>
  <c r="B192" i="12"/>
  <c r="A193" i="12"/>
  <c r="B193" i="12"/>
  <c r="A194" i="12"/>
  <c r="B194" i="12"/>
  <c r="A195" i="12"/>
  <c r="B195" i="12"/>
  <c r="A196" i="12"/>
  <c r="B196" i="12"/>
  <c r="A197" i="12"/>
  <c r="B197" i="12"/>
  <c r="A198" i="12"/>
  <c r="B198" i="12"/>
  <c r="A199" i="12"/>
  <c r="B199" i="12"/>
  <c r="A200" i="12"/>
  <c r="B200" i="12"/>
  <c r="A201" i="12"/>
  <c r="B201" i="12"/>
  <c r="A202" i="12"/>
  <c r="B202" i="12"/>
  <c r="A203" i="12"/>
  <c r="B203" i="12"/>
  <c r="A204" i="12"/>
  <c r="B204" i="12"/>
  <c r="A205" i="12"/>
  <c r="B205" i="12"/>
  <c r="A206" i="12"/>
  <c r="B206" i="12"/>
  <c r="A207" i="12"/>
  <c r="B207" i="12"/>
  <c r="A208" i="12"/>
  <c r="B208" i="12"/>
  <c r="A209" i="12"/>
  <c r="B209" i="12"/>
  <c r="A210" i="12"/>
  <c r="B210" i="12"/>
  <c r="A211" i="12"/>
  <c r="B211" i="12"/>
  <c r="A212" i="12"/>
  <c r="B212" i="12"/>
  <c r="A213" i="12"/>
  <c r="B213" i="12"/>
  <c r="A214" i="12"/>
  <c r="B214" i="12"/>
  <c r="A215" i="12"/>
  <c r="B215" i="12"/>
  <c r="A216" i="12"/>
  <c r="B216" i="12"/>
  <c r="A217" i="12"/>
  <c r="B217" i="12"/>
  <c r="A218" i="12"/>
  <c r="B218" i="12"/>
  <c r="A219" i="12"/>
  <c r="B219" i="12"/>
  <c r="A220" i="12"/>
  <c r="B220" i="12"/>
  <c r="A221" i="12"/>
  <c r="B221" i="12"/>
  <c r="A222" i="12"/>
  <c r="B222" i="12"/>
  <c r="A223" i="12"/>
  <c r="B223" i="12"/>
  <c r="A224" i="12"/>
  <c r="B224" i="12"/>
  <c r="A225" i="12"/>
  <c r="B225" i="12"/>
  <c r="A226" i="12"/>
  <c r="B226" i="12"/>
  <c r="A227" i="12"/>
  <c r="B227" i="12"/>
  <c r="A228" i="12"/>
  <c r="B228" i="12"/>
  <c r="A229" i="12"/>
  <c r="B229" i="12"/>
  <c r="A230" i="12"/>
  <c r="B230" i="12"/>
  <c r="A231" i="12"/>
  <c r="B231" i="12"/>
  <c r="A232" i="12"/>
  <c r="B232" i="12"/>
  <c r="A233" i="12"/>
  <c r="B233" i="12"/>
  <c r="A234" i="12"/>
  <c r="B234" i="12"/>
  <c r="A235" i="12"/>
  <c r="B235" i="12"/>
  <c r="A236" i="12"/>
  <c r="B236" i="12"/>
  <c r="A237" i="12"/>
  <c r="B237" i="12"/>
  <c r="A238" i="12"/>
  <c r="B238" i="12"/>
  <c r="A239" i="12"/>
  <c r="B239" i="12"/>
  <c r="A240" i="12"/>
  <c r="B240" i="12"/>
  <c r="A241" i="12"/>
  <c r="B241" i="12"/>
  <c r="A242" i="12"/>
  <c r="B242" i="12"/>
  <c r="A243" i="12"/>
  <c r="B243" i="12"/>
  <c r="A244" i="12"/>
  <c r="B244" i="12"/>
  <c r="A245" i="12"/>
  <c r="B245" i="12"/>
  <c r="A246" i="12"/>
  <c r="B246" i="12"/>
  <c r="A247" i="12"/>
  <c r="B247" i="12"/>
  <c r="A248" i="12"/>
  <c r="B248" i="12"/>
  <c r="A249" i="12"/>
  <c r="B249" i="12"/>
  <c r="A250" i="12"/>
  <c r="B250" i="12"/>
  <c r="A251" i="12"/>
  <c r="B251" i="12"/>
  <c r="A252" i="12"/>
  <c r="B252" i="12"/>
  <c r="A253" i="12"/>
  <c r="B253" i="12"/>
  <c r="A254" i="12"/>
  <c r="B254" i="12"/>
  <c r="A255" i="12"/>
  <c r="B255" i="12"/>
  <c r="A256" i="12"/>
  <c r="B256" i="12"/>
  <c r="A257" i="12"/>
  <c r="B257" i="12"/>
  <c r="A258" i="12"/>
  <c r="B258" i="12"/>
  <c r="A259" i="12"/>
  <c r="B259" i="12"/>
  <c r="A260" i="12"/>
  <c r="B260" i="12"/>
  <c r="A261" i="12"/>
  <c r="B261" i="12"/>
  <c r="A262" i="12"/>
  <c r="B262" i="12"/>
  <c r="A263" i="12"/>
  <c r="B263" i="12"/>
  <c r="A264" i="12"/>
  <c r="B264" i="12"/>
  <c r="A265" i="12"/>
  <c r="B265" i="12"/>
  <c r="A266" i="12"/>
  <c r="B266" i="12"/>
  <c r="A267" i="12"/>
  <c r="B267" i="12"/>
  <c r="A268" i="12"/>
  <c r="B268" i="12"/>
  <c r="A269" i="12"/>
  <c r="B269" i="12"/>
  <c r="A270" i="12"/>
  <c r="B270" i="12"/>
  <c r="A271" i="12"/>
  <c r="B271" i="12"/>
  <c r="A272" i="12"/>
  <c r="B272" i="12"/>
  <c r="A273" i="12"/>
  <c r="B273" i="12"/>
  <c r="A274" i="12"/>
  <c r="B274" i="12"/>
  <c r="A275" i="12"/>
  <c r="B275" i="12"/>
  <c r="A276" i="12"/>
  <c r="B276" i="12"/>
  <c r="A277" i="12"/>
  <c r="B277" i="12"/>
  <c r="A278" i="12"/>
  <c r="B278" i="12"/>
  <c r="A279" i="12"/>
  <c r="B279" i="12"/>
  <c r="A280" i="12"/>
  <c r="B280" i="12"/>
  <c r="A281" i="12"/>
  <c r="B281" i="12"/>
  <c r="A282" i="12"/>
  <c r="B282" i="12"/>
  <c r="A283" i="12"/>
  <c r="B283" i="12"/>
  <c r="A284" i="12"/>
  <c r="B284" i="12"/>
  <c r="A285" i="12"/>
  <c r="B285" i="12"/>
  <c r="A286" i="12"/>
  <c r="B286" i="12"/>
  <c r="A287" i="12"/>
  <c r="B287" i="12"/>
  <c r="A288" i="12"/>
  <c r="B288" i="12"/>
  <c r="A289" i="12"/>
  <c r="B289" i="12"/>
  <c r="A290" i="12"/>
  <c r="B290" i="12"/>
  <c r="A291" i="12"/>
  <c r="B291" i="12"/>
  <c r="A292" i="12"/>
  <c r="B292" i="12"/>
  <c r="A293" i="12"/>
  <c r="B293" i="12"/>
  <c r="A294" i="12"/>
  <c r="B294" i="12"/>
  <c r="A295" i="12"/>
  <c r="B295" i="12"/>
  <c r="A296" i="12"/>
  <c r="B296" i="12"/>
  <c r="A297" i="12"/>
  <c r="B297" i="12"/>
  <c r="A298" i="12"/>
  <c r="B298" i="12"/>
  <c r="A299" i="12"/>
  <c r="B299" i="12"/>
  <c r="A300" i="12"/>
  <c r="B300" i="12"/>
  <c r="A301" i="12"/>
  <c r="B301" i="12"/>
  <c r="A302" i="12"/>
  <c r="B302" i="12"/>
  <c r="A303" i="12"/>
  <c r="B303" i="12"/>
  <c r="A304" i="12"/>
  <c r="B304" i="12"/>
  <c r="A305" i="12"/>
  <c r="B305" i="12"/>
  <c r="A306" i="12"/>
  <c r="B306" i="12"/>
  <c r="A307" i="12"/>
  <c r="B307" i="12"/>
  <c r="A308" i="12"/>
  <c r="B308" i="12"/>
  <c r="A309" i="12"/>
  <c r="B309" i="12"/>
  <c r="A310" i="12"/>
  <c r="B310" i="12"/>
  <c r="A311" i="12"/>
  <c r="B311" i="12"/>
  <c r="A312" i="12"/>
  <c r="B312" i="12"/>
  <c r="A313" i="12"/>
  <c r="B313" i="12"/>
  <c r="A314" i="12"/>
  <c r="B314" i="12"/>
  <c r="A315" i="12"/>
  <c r="B315" i="12"/>
  <c r="A316" i="12"/>
  <c r="B316" i="12"/>
  <c r="A317" i="12"/>
  <c r="B317" i="12"/>
  <c r="A318" i="12"/>
  <c r="B318" i="12"/>
  <c r="A319" i="12"/>
  <c r="B319" i="12"/>
  <c r="A320" i="12"/>
  <c r="B320" i="12"/>
  <c r="A321" i="12"/>
  <c r="B321" i="12"/>
  <c r="A322" i="12"/>
  <c r="B322" i="12"/>
  <c r="B5" i="12"/>
  <c r="A5" i="12"/>
  <c r="G5" i="11"/>
  <c r="K323" i="11"/>
  <c r="G323" i="11"/>
  <c r="F323" i="11"/>
  <c r="E323" i="11"/>
  <c r="D323" i="11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16" i="34"/>
  <c r="A17" i="34"/>
  <c r="B17" i="34"/>
  <c r="A18" i="34"/>
  <c r="B18" i="34"/>
  <c r="A19" i="34"/>
  <c r="B19" i="34"/>
  <c r="A20" i="34"/>
  <c r="B20" i="34"/>
  <c r="A21" i="34"/>
  <c r="B21" i="34"/>
  <c r="A22" i="34"/>
  <c r="B22" i="34"/>
  <c r="A23" i="34"/>
  <c r="B23" i="34"/>
  <c r="A24" i="34"/>
  <c r="B24" i="34"/>
  <c r="A25" i="34"/>
  <c r="B25" i="34"/>
  <c r="A26" i="34"/>
  <c r="B26" i="34"/>
  <c r="A27" i="34"/>
  <c r="B27" i="34"/>
  <c r="A28" i="34"/>
  <c r="B28" i="34"/>
  <c r="A29" i="34"/>
  <c r="B29" i="34"/>
  <c r="A30" i="34"/>
  <c r="B30" i="34"/>
  <c r="A31" i="34"/>
  <c r="B31" i="34"/>
  <c r="A32" i="34"/>
  <c r="B32" i="34"/>
  <c r="A33" i="34"/>
  <c r="B33" i="34"/>
  <c r="A34" i="34"/>
  <c r="B34" i="34"/>
  <c r="A35" i="34"/>
  <c r="B35" i="34"/>
  <c r="A36" i="34"/>
  <c r="B36" i="34"/>
  <c r="A37" i="34"/>
  <c r="B37" i="34"/>
  <c r="A38" i="34"/>
  <c r="B38" i="34"/>
  <c r="A39" i="34"/>
  <c r="B39" i="34"/>
  <c r="A40" i="34"/>
  <c r="B40" i="34"/>
  <c r="A41" i="34"/>
  <c r="B41" i="34"/>
  <c r="A42" i="34"/>
  <c r="B42" i="34"/>
  <c r="A43" i="34"/>
  <c r="B43" i="34"/>
  <c r="A44" i="34"/>
  <c r="B44" i="34"/>
  <c r="A45" i="34"/>
  <c r="B45" i="34"/>
  <c r="A46" i="34"/>
  <c r="B46" i="34"/>
  <c r="A47" i="34"/>
  <c r="B47" i="34"/>
  <c r="A48" i="34"/>
  <c r="B48" i="34"/>
  <c r="A49" i="34"/>
  <c r="B49" i="34"/>
  <c r="A50" i="34"/>
  <c r="B50" i="34"/>
  <c r="A51" i="34"/>
  <c r="B51" i="34"/>
  <c r="A52" i="34"/>
  <c r="B52" i="34"/>
  <c r="A53" i="34"/>
  <c r="B53" i="34"/>
  <c r="A54" i="34"/>
  <c r="B54" i="34"/>
  <c r="A55" i="34"/>
  <c r="B55" i="34"/>
  <c r="A56" i="34"/>
  <c r="B56" i="34"/>
  <c r="A57" i="34"/>
  <c r="B57" i="34"/>
  <c r="A58" i="34"/>
  <c r="B58" i="34"/>
  <c r="A59" i="34"/>
  <c r="B59" i="34"/>
  <c r="A60" i="34"/>
  <c r="B60" i="34"/>
  <c r="A61" i="34"/>
  <c r="B61" i="34"/>
  <c r="A62" i="34"/>
  <c r="B62" i="34"/>
  <c r="A63" i="34"/>
  <c r="B63" i="34"/>
  <c r="A64" i="34"/>
  <c r="B64" i="34"/>
  <c r="A65" i="34"/>
  <c r="B65" i="34"/>
  <c r="A66" i="34"/>
  <c r="B66" i="34"/>
  <c r="A67" i="34"/>
  <c r="B67" i="34"/>
  <c r="A68" i="34"/>
  <c r="B68" i="34"/>
  <c r="A69" i="34"/>
  <c r="B69" i="34"/>
  <c r="A70" i="34"/>
  <c r="B70" i="34"/>
  <c r="A71" i="34"/>
  <c r="B71" i="34"/>
  <c r="A72" i="34"/>
  <c r="B72" i="34"/>
  <c r="A73" i="34"/>
  <c r="B73" i="34"/>
  <c r="A74" i="34"/>
  <c r="B74" i="34"/>
  <c r="A75" i="34"/>
  <c r="B75" i="34"/>
  <c r="A76" i="34"/>
  <c r="B76" i="34"/>
  <c r="A77" i="34"/>
  <c r="B77" i="34"/>
  <c r="A78" i="34"/>
  <c r="B78" i="34"/>
  <c r="A79" i="34"/>
  <c r="B79" i="34"/>
  <c r="A80" i="34"/>
  <c r="B80" i="34"/>
  <c r="A81" i="34"/>
  <c r="B81" i="34"/>
  <c r="A82" i="34"/>
  <c r="B82" i="34"/>
  <c r="A83" i="34"/>
  <c r="B83" i="34"/>
  <c r="A84" i="34"/>
  <c r="B84" i="34"/>
  <c r="A85" i="34"/>
  <c r="B85" i="34"/>
  <c r="A86" i="34"/>
  <c r="B86" i="34"/>
  <c r="A87" i="34"/>
  <c r="B87" i="34"/>
  <c r="A88" i="34"/>
  <c r="B88" i="34"/>
  <c r="A89" i="34"/>
  <c r="B89" i="34"/>
  <c r="A90" i="34"/>
  <c r="B90" i="34"/>
  <c r="A91" i="34"/>
  <c r="B91" i="34"/>
  <c r="A92" i="34"/>
  <c r="B92" i="34"/>
  <c r="A93" i="34"/>
  <c r="B93" i="34"/>
  <c r="A94" i="34"/>
  <c r="B94" i="34"/>
  <c r="A95" i="34"/>
  <c r="B95" i="34"/>
  <c r="A96" i="34"/>
  <c r="B96" i="34"/>
  <c r="A97" i="34"/>
  <c r="B97" i="34"/>
  <c r="A98" i="34"/>
  <c r="B98" i="34"/>
  <c r="A99" i="34"/>
  <c r="B99" i="34"/>
  <c r="A100" i="34"/>
  <c r="B100" i="34"/>
  <c r="A101" i="34"/>
  <c r="B101" i="34"/>
  <c r="A102" i="34"/>
  <c r="B102" i="34"/>
  <c r="A103" i="34"/>
  <c r="B103" i="34"/>
  <c r="A104" i="34"/>
  <c r="B104" i="34"/>
  <c r="A105" i="34"/>
  <c r="B105" i="34"/>
  <c r="A106" i="34"/>
  <c r="B106" i="34"/>
  <c r="A107" i="34"/>
  <c r="B107" i="34"/>
  <c r="A108" i="34"/>
  <c r="B108" i="34"/>
  <c r="A109" i="34"/>
  <c r="B109" i="34"/>
  <c r="A110" i="34"/>
  <c r="B110" i="34"/>
  <c r="A111" i="34"/>
  <c r="B111" i="34"/>
  <c r="A112" i="34"/>
  <c r="B112" i="34"/>
  <c r="A113" i="34"/>
  <c r="B113" i="34"/>
  <c r="A114" i="34"/>
  <c r="B114" i="34"/>
  <c r="A115" i="34"/>
  <c r="B115" i="34"/>
  <c r="A116" i="34"/>
  <c r="B116" i="34"/>
  <c r="A117" i="34"/>
  <c r="B117" i="34"/>
  <c r="A118" i="34"/>
  <c r="B118" i="34"/>
  <c r="A119" i="34"/>
  <c r="B119" i="34"/>
  <c r="A120" i="34"/>
  <c r="B120" i="34"/>
  <c r="A121" i="34"/>
  <c r="B121" i="34"/>
  <c r="A122" i="34"/>
  <c r="B122" i="34"/>
  <c r="A123" i="34"/>
  <c r="B123" i="34"/>
  <c r="A124" i="34"/>
  <c r="B124" i="34"/>
  <c r="A125" i="34"/>
  <c r="B125" i="34"/>
  <c r="A126" i="34"/>
  <c r="B126" i="34"/>
  <c r="A127" i="34"/>
  <c r="B127" i="34"/>
  <c r="A128" i="34"/>
  <c r="B128" i="34"/>
  <c r="A129" i="34"/>
  <c r="B129" i="34"/>
  <c r="A130" i="34"/>
  <c r="B130" i="34"/>
  <c r="A131" i="34"/>
  <c r="B131" i="34"/>
  <c r="A132" i="34"/>
  <c r="B132" i="34"/>
  <c r="A133" i="34"/>
  <c r="B133" i="34"/>
  <c r="A134" i="34"/>
  <c r="B134" i="34"/>
  <c r="A135" i="34"/>
  <c r="B135" i="34"/>
  <c r="A136" i="34"/>
  <c r="B136" i="34"/>
  <c r="A137" i="34"/>
  <c r="B137" i="34"/>
  <c r="A138" i="34"/>
  <c r="B138" i="34"/>
  <c r="A139" i="34"/>
  <c r="B139" i="34"/>
  <c r="A140" i="34"/>
  <c r="B140" i="34"/>
  <c r="A141" i="34"/>
  <c r="B141" i="34"/>
  <c r="A142" i="34"/>
  <c r="B142" i="34"/>
  <c r="A143" i="34"/>
  <c r="B143" i="34"/>
  <c r="A144" i="34"/>
  <c r="B144" i="34"/>
  <c r="A145" i="34"/>
  <c r="B145" i="34"/>
  <c r="A146" i="34"/>
  <c r="B146" i="34"/>
  <c r="A147" i="34"/>
  <c r="B147" i="34"/>
  <c r="A148" i="34"/>
  <c r="B148" i="34"/>
  <c r="A149" i="34"/>
  <c r="B149" i="34"/>
  <c r="A150" i="34"/>
  <c r="B150" i="34"/>
  <c r="A151" i="34"/>
  <c r="B151" i="34"/>
  <c r="A152" i="34"/>
  <c r="B152" i="34"/>
  <c r="A153" i="34"/>
  <c r="B153" i="34"/>
  <c r="A154" i="34"/>
  <c r="B154" i="34"/>
  <c r="A155" i="34"/>
  <c r="B155" i="34"/>
  <c r="A156" i="34"/>
  <c r="B156" i="34"/>
  <c r="A157" i="34"/>
  <c r="B157" i="34"/>
  <c r="A158" i="34"/>
  <c r="B158" i="34"/>
  <c r="A159" i="34"/>
  <c r="B159" i="34"/>
  <c r="A160" i="34"/>
  <c r="B160" i="34"/>
  <c r="A161" i="34"/>
  <c r="B161" i="34"/>
  <c r="A162" i="34"/>
  <c r="B162" i="34"/>
  <c r="A163" i="34"/>
  <c r="B163" i="34"/>
  <c r="A164" i="34"/>
  <c r="B164" i="34"/>
  <c r="A165" i="34"/>
  <c r="B165" i="34"/>
  <c r="A166" i="34"/>
  <c r="B166" i="34"/>
  <c r="A167" i="34"/>
  <c r="B167" i="34"/>
  <c r="A168" i="34"/>
  <c r="B168" i="34"/>
  <c r="A169" i="34"/>
  <c r="B169" i="34"/>
  <c r="A170" i="34"/>
  <c r="B170" i="34"/>
  <c r="A171" i="34"/>
  <c r="B171" i="34"/>
  <c r="A172" i="34"/>
  <c r="B172" i="34"/>
  <c r="A173" i="34"/>
  <c r="B173" i="34"/>
  <c r="A174" i="34"/>
  <c r="B174" i="34"/>
  <c r="A175" i="34"/>
  <c r="B175" i="34"/>
  <c r="A176" i="34"/>
  <c r="B176" i="34"/>
  <c r="A177" i="34"/>
  <c r="B177" i="34"/>
  <c r="A178" i="34"/>
  <c r="B178" i="34"/>
  <c r="A179" i="34"/>
  <c r="B179" i="34"/>
  <c r="A180" i="34"/>
  <c r="B180" i="34"/>
  <c r="A181" i="34"/>
  <c r="B181" i="34"/>
  <c r="A182" i="34"/>
  <c r="B182" i="34"/>
  <c r="A183" i="34"/>
  <c r="B183" i="34"/>
  <c r="A184" i="34"/>
  <c r="B184" i="34"/>
  <c r="A185" i="34"/>
  <c r="B185" i="34"/>
  <c r="A186" i="34"/>
  <c r="B186" i="34"/>
  <c r="A187" i="34"/>
  <c r="B187" i="34"/>
  <c r="A188" i="34"/>
  <c r="B188" i="34"/>
  <c r="A189" i="34"/>
  <c r="B189" i="34"/>
  <c r="A190" i="34"/>
  <c r="B190" i="34"/>
  <c r="A191" i="34"/>
  <c r="B191" i="34"/>
  <c r="A192" i="34"/>
  <c r="B192" i="34"/>
  <c r="A193" i="34"/>
  <c r="B193" i="34"/>
  <c r="A194" i="34"/>
  <c r="B194" i="34"/>
  <c r="A195" i="34"/>
  <c r="B195" i="34"/>
  <c r="A196" i="34"/>
  <c r="B196" i="34"/>
  <c r="A197" i="34"/>
  <c r="B197" i="34"/>
  <c r="A198" i="34"/>
  <c r="B198" i="34"/>
  <c r="A199" i="34"/>
  <c r="B199" i="34"/>
  <c r="A200" i="34"/>
  <c r="B200" i="34"/>
  <c r="A201" i="34"/>
  <c r="B201" i="34"/>
  <c r="A202" i="34"/>
  <c r="B202" i="34"/>
  <c r="A203" i="34"/>
  <c r="B203" i="34"/>
  <c r="A204" i="34"/>
  <c r="B204" i="34"/>
  <c r="A205" i="34"/>
  <c r="B205" i="34"/>
  <c r="A206" i="34"/>
  <c r="B206" i="34"/>
  <c r="A207" i="34"/>
  <c r="B207" i="34"/>
  <c r="A208" i="34"/>
  <c r="B208" i="34"/>
  <c r="A209" i="34"/>
  <c r="B209" i="34"/>
  <c r="A210" i="34"/>
  <c r="B210" i="34"/>
  <c r="A211" i="34"/>
  <c r="B211" i="34"/>
  <c r="A212" i="34"/>
  <c r="B212" i="34"/>
  <c r="A213" i="34"/>
  <c r="B213" i="34"/>
  <c r="A214" i="34"/>
  <c r="B214" i="34"/>
  <c r="A215" i="34"/>
  <c r="B215" i="34"/>
  <c r="A216" i="34"/>
  <c r="B216" i="34"/>
  <c r="A217" i="34"/>
  <c r="B217" i="34"/>
  <c r="A218" i="34"/>
  <c r="B218" i="34"/>
  <c r="A219" i="34"/>
  <c r="B219" i="34"/>
  <c r="A220" i="34"/>
  <c r="B220" i="34"/>
  <c r="A221" i="34"/>
  <c r="B221" i="34"/>
  <c r="A222" i="34"/>
  <c r="B222" i="34"/>
  <c r="A223" i="34"/>
  <c r="B223" i="34"/>
  <c r="A224" i="34"/>
  <c r="B224" i="34"/>
  <c r="A225" i="34"/>
  <c r="B225" i="34"/>
  <c r="A226" i="34"/>
  <c r="B226" i="34"/>
  <c r="A227" i="34"/>
  <c r="B227" i="34"/>
  <c r="A228" i="34"/>
  <c r="B228" i="34"/>
  <c r="A229" i="34"/>
  <c r="B229" i="34"/>
  <c r="A230" i="34"/>
  <c r="B230" i="34"/>
  <c r="A231" i="34"/>
  <c r="B231" i="34"/>
  <c r="A232" i="34"/>
  <c r="B232" i="34"/>
  <c r="A233" i="34"/>
  <c r="B233" i="34"/>
  <c r="A234" i="34"/>
  <c r="B234" i="34"/>
  <c r="A235" i="34"/>
  <c r="B235" i="34"/>
  <c r="A236" i="34"/>
  <c r="B236" i="34"/>
  <c r="A237" i="34"/>
  <c r="B237" i="34"/>
  <c r="A238" i="34"/>
  <c r="B238" i="34"/>
  <c r="A239" i="34"/>
  <c r="B239" i="34"/>
  <c r="A240" i="34"/>
  <c r="B240" i="34"/>
  <c r="A241" i="34"/>
  <c r="B241" i="34"/>
  <c r="A242" i="34"/>
  <c r="B242" i="34"/>
  <c r="A243" i="34"/>
  <c r="B243" i="34"/>
  <c r="A244" i="34"/>
  <c r="B244" i="34"/>
  <c r="A245" i="34"/>
  <c r="B245" i="34"/>
  <c r="A246" i="34"/>
  <c r="B246" i="34"/>
  <c r="A247" i="34"/>
  <c r="B247" i="34"/>
  <c r="A248" i="34"/>
  <c r="B248" i="34"/>
  <c r="A249" i="34"/>
  <c r="B249" i="34"/>
  <c r="A250" i="34"/>
  <c r="B250" i="34"/>
  <c r="A251" i="34"/>
  <c r="B251" i="34"/>
  <c r="A252" i="34"/>
  <c r="B252" i="34"/>
  <c r="A253" i="34"/>
  <c r="B253" i="34"/>
  <c r="A254" i="34"/>
  <c r="B254" i="34"/>
  <c r="A255" i="34"/>
  <c r="B255" i="34"/>
  <c r="A256" i="34"/>
  <c r="B256" i="34"/>
  <c r="A257" i="34"/>
  <c r="B257" i="34"/>
  <c r="A258" i="34"/>
  <c r="B258" i="34"/>
  <c r="A259" i="34"/>
  <c r="B259" i="34"/>
  <c r="A260" i="34"/>
  <c r="B260" i="34"/>
  <c r="A261" i="34"/>
  <c r="B261" i="34"/>
  <c r="A262" i="34"/>
  <c r="B262" i="34"/>
  <c r="A263" i="34"/>
  <c r="B263" i="34"/>
  <c r="A264" i="34"/>
  <c r="B264" i="34"/>
  <c r="A265" i="34"/>
  <c r="B265" i="34"/>
  <c r="A266" i="34"/>
  <c r="B266" i="34"/>
  <c r="A267" i="34"/>
  <c r="B267" i="34"/>
  <c r="A268" i="34"/>
  <c r="B268" i="34"/>
  <c r="A269" i="34"/>
  <c r="B269" i="34"/>
  <c r="A270" i="34"/>
  <c r="B270" i="34"/>
  <c r="A271" i="34"/>
  <c r="B271" i="34"/>
  <c r="A272" i="34"/>
  <c r="B272" i="34"/>
  <c r="A273" i="34"/>
  <c r="B273" i="34"/>
  <c r="A274" i="34"/>
  <c r="B274" i="34"/>
  <c r="A275" i="34"/>
  <c r="B275" i="34"/>
  <c r="A276" i="34"/>
  <c r="B276" i="34"/>
  <c r="A277" i="34"/>
  <c r="B277" i="34"/>
  <c r="A278" i="34"/>
  <c r="B278" i="34"/>
  <c r="A279" i="34"/>
  <c r="B279" i="34"/>
  <c r="A280" i="34"/>
  <c r="B280" i="34"/>
  <c r="A281" i="34"/>
  <c r="B281" i="34"/>
  <c r="A282" i="34"/>
  <c r="B282" i="34"/>
  <c r="A283" i="34"/>
  <c r="B283" i="34"/>
  <c r="A284" i="34"/>
  <c r="B284" i="34"/>
  <c r="A285" i="34"/>
  <c r="B285" i="34"/>
  <c r="A286" i="34"/>
  <c r="B286" i="34"/>
  <c r="A287" i="34"/>
  <c r="B287" i="34"/>
  <c r="A288" i="34"/>
  <c r="B288" i="34"/>
  <c r="A289" i="34"/>
  <c r="B289" i="34"/>
  <c r="A290" i="34"/>
  <c r="B290" i="34"/>
  <c r="A291" i="34"/>
  <c r="B291" i="34"/>
  <c r="A292" i="34"/>
  <c r="B292" i="34"/>
  <c r="A293" i="34"/>
  <c r="B293" i="34"/>
  <c r="A294" i="34"/>
  <c r="B294" i="34"/>
  <c r="A295" i="34"/>
  <c r="B295" i="34"/>
  <c r="A296" i="34"/>
  <c r="B296" i="34"/>
  <c r="A297" i="34"/>
  <c r="B297" i="34"/>
  <c r="A298" i="34"/>
  <c r="B298" i="34"/>
  <c r="A299" i="34"/>
  <c r="B299" i="34"/>
  <c r="A300" i="34"/>
  <c r="B300" i="34"/>
  <c r="A301" i="34"/>
  <c r="B301" i="34"/>
  <c r="A302" i="34"/>
  <c r="B302" i="34"/>
  <c r="A303" i="34"/>
  <c r="B303" i="34"/>
  <c r="A304" i="34"/>
  <c r="B304" i="34"/>
  <c r="A305" i="34"/>
  <c r="B305" i="34"/>
  <c r="A306" i="34"/>
  <c r="B306" i="34"/>
  <c r="A307" i="34"/>
  <c r="B307" i="34"/>
  <c r="A308" i="34"/>
  <c r="B308" i="34"/>
  <c r="A309" i="34"/>
  <c r="B309" i="34"/>
  <c r="A310" i="34"/>
  <c r="B310" i="34"/>
  <c r="A311" i="34"/>
  <c r="B311" i="34"/>
  <c r="A312" i="34"/>
  <c r="B312" i="34"/>
  <c r="A313" i="34"/>
  <c r="B313" i="34"/>
  <c r="A314" i="34"/>
  <c r="B314" i="34"/>
  <c r="A315" i="34"/>
  <c r="B315" i="34"/>
  <c r="A316" i="34"/>
  <c r="B316" i="34"/>
  <c r="A317" i="34"/>
  <c r="B317" i="34"/>
  <c r="A318" i="34"/>
  <c r="B318" i="34"/>
  <c r="A319" i="34"/>
  <c r="B319" i="34"/>
  <c r="A320" i="34"/>
  <c r="B320" i="34"/>
  <c r="A321" i="34"/>
  <c r="B321" i="34"/>
  <c r="A322" i="34"/>
  <c r="B322" i="34"/>
  <c r="A323" i="34"/>
  <c r="B323" i="34"/>
  <c r="A324" i="34"/>
  <c r="B324" i="34"/>
  <c r="A325" i="34"/>
  <c r="B325" i="34"/>
  <c r="A326" i="34"/>
  <c r="B326" i="34"/>
  <c r="A327" i="34"/>
  <c r="B327" i="34"/>
  <c r="A328" i="34"/>
  <c r="B328" i="34"/>
  <c r="A329" i="34"/>
  <c r="B329" i="34"/>
  <c r="A330" i="34"/>
  <c r="B330" i="34"/>
  <c r="A331" i="34"/>
  <c r="B331" i="34"/>
  <c r="A332" i="34"/>
  <c r="B332" i="34"/>
  <c r="A333" i="34"/>
  <c r="B333" i="34"/>
  <c r="B16" i="34"/>
  <c r="A16" i="34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G104" i="37"/>
  <c r="G105" i="37"/>
  <c r="G106" i="37"/>
  <c r="G107" i="37"/>
  <c r="G108" i="37"/>
  <c r="G109" i="37"/>
  <c r="G110" i="37"/>
  <c r="G111" i="37"/>
  <c r="G112" i="37"/>
  <c r="G113" i="37"/>
  <c r="G114" i="37"/>
  <c r="G115" i="37"/>
  <c r="G116" i="37"/>
  <c r="G117" i="37"/>
  <c r="G118" i="37"/>
  <c r="G119" i="37"/>
  <c r="G120" i="37"/>
  <c r="G121" i="37"/>
  <c r="G122" i="37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94" i="37"/>
  <c r="G195" i="37"/>
  <c r="G196" i="37"/>
  <c r="G197" i="37"/>
  <c r="G198" i="37"/>
  <c r="G199" i="37"/>
  <c r="G200" i="37"/>
  <c r="G201" i="37"/>
  <c r="G202" i="37"/>
  <c r="G203" i="37"/>
  <c r="G204" i="37"/>
  <c r="G205" i="37"/>
  <c r="G206" i="37"/>
  <c r="G207" i="37"/>
  <c r="G208" i="37"/>
  <c r="G209" i="37"/>
  <c r="G210" i="37"/>
  <c r="G211" i="37"/>
  <c r="G212" i="37"/>
  <c r="G213" i="37"/>
  <c r="G214" i="37"/>
  <c r="G215" i="37"/>
  <c r="G216" i="37"/>
  <c r="G217" i="37"/>
  <c r="G218" i="37"/>
  <c r="G219" i="37"/>
  <c r="G220" i="37"/>
  <c r="G221" i="37"/>
  <c r="G222" i="37"/>
  <c r="G223" i="37"/>
  <c r="G224" i="37"/>
  <c r="G225" i="37"/>
  <c r="G226" i="37"/>
  <c r="G227" i="37"/>
  <c r="G228" i="37"/>
  <c r="G229" i="37"/>
  <c r="G230" i="37"/>
  <c r="G231" i="37"/>
  <c r="G232" i="37"/>
  <c r="G233" i="37"/>
  <c r="G234" i="37"/>
  <c r="G235" i="37"/>
  <c r="G236" i="37"/>
  <c r="G237" i="37"/>
  <c r="G238" i="37"/>
  <c r="G239" i="37"/>
  <c r="G240" i="37"/>
  <c r="G241" i="37"/>
  <c r="G242" i="37"/>
  <c r="G243" i="37"/>
  <c r="G244" i="37"/>
  <c r="G245" i="37"/>
  <c r="G246" i="37"/>
  <c r="G247" i="37"/>
  <c r="G248" i="37"/>
  <c r="G249" i="37"/>
  <c r="G250" i="37"/>
  <c r="G251" i="37"/>
  <c r="G252" i="37"/>
  <c r="G253" i="37"/>
  <c r="G254" i="37"/>
  <c r="G255" i="37"/>
  <c r="G256" i="37"/>
  <c r="G257" i="37"/>
  <c r="G258" i="37"/>
  <c r="G259" i="37"/>
  <c r="G260" i="37"/>
  <c r="G261" i="37"/>
  <c r="G262" i="37"/>
  <c r="G263" i="37"/>
  <c r="G264" i="37"/>
  <c r="G265" i="37"/>
  <c r="G266" i="37"/>
  <c r="G267" i="37"/>
  <c r="G268" i="37"/>
  <c r="G269" i="37"/>
  <c r="G270" i="37"/>
  <c r="G271" i="37"/>
  <c r="G272" i="37"/>
  <c r="G273" i="37"/>
  <c r="G274" i="37"/>
  <c r="G275" i="37"/>
  <c r="G276" i="37"/>
  <c r="G277" i="37"/>
  <c r="G278" i="37"/>
  <c r="G279" i="37"/>
  <c r="G280" i="37"/>
  <c r="G281" i="37"/>
  <c r="G282" i="37"/>
  <c r="G283" i="37"/>
  <c r="G284" i="37"/>
  <c r="G285" i="37"/>
  <c r="G286" i="37"/>
  <c r="G287" i="37"/>
  <c r="G288" i="37"/>
  <c r="G289" i="37"/>
  <c r="G290" i="37"/>
  <c r="G291" i="37"/>
  <c r="G292" i="37"/>
  <c r="G293" i="37"/>
  <c r="G294" i="37"/>
  <c r="G295" i="37"/>
  <c r="G296" i="37"/>
  <c r="G297" i="37"/>
  <c r="G298" i="37"/>
  <c r="G299" i="37"/>
  <c r="G300" i="37"/>
  <c r="G301" i="37"/>
  <c r="G302" i="37"/>
  <c r="G303" i="37"/>
  <c r="G304" i="37"/>
  <c r="G305" i="37"/>
  <c r="G306" i="37"/>
  <c r="G307" i="37"/>
  <c r="G308" i="37"/>
  <c r="G309" i="37"/>
  <c r="G310" i="37"/>
  <c r="G311" i="37"/>
  <c r="G312" i="37"/>
  <c r="G313" i="37"/>
  <c r="G314" i="37"/>
  <c r="G315" i="37"/>
  <c r="G316" i="37"/>
  <c r="G317" i="37"/>
  <c r="G318" i="37"/>
  <c r="G319" i="37"/>
  <c r="G320" i="37"/>
  <c r="G321" i="37"/>
  <c r="G322" i="37"/>
  <c r="G9" i="37"/>
  <c r="G10" i="37"/>
  <c r="G6" i="37"/>
  <c r="G7" i="37"/>
  <c r="G8" i="37"/>
  <c r="G5" i="37"/>
  <c r="C6" i="37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C115" i="37"/>
  <c r="C116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C216" i="37"/>
  <c r="C217" i="37"/>
  <c r="C218" i="37"/>
  <c r="C219" i="37"/>
  <c r="C220" i="37"/>
  <c r="C221" i="37"/>
  <c r="C222" i="37"/>
  <c r="C223" i="37"/>
  <c r="C224" i="37"/>
  <c r="C225" i="37"/>
  <c r="C226" i="37"/>
  <c r="C227" i="37"/>
  <c r="C228" i="37"/>
  <c r="C229" i="37"/>
  <c r="C230" i="37"/>
  <c r="C231" i="37"/>
  <c r="C232" i="37"/>
  <c r="C233" i="37"/>
  <c r="C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48" i="37"/>
  <c r="C249" i="37"/>
  <c r="C250" i="37"/>
  <c r="C251" i="37"/>
  <c r="C252" i="37"/>
  <c r="C253" i="37"/>
  <c r="C254" i="37"/>
  <c r="C255" i="37"/>
  <c r="C256" i="37"/>
  <c r="C257" i="37"/>
  <c r="C258" i="37"/>
  <c r="C259" i="37"/>
  <c r="C260" i="37"/>
  <c r="C261" i="37"/>
  <c r="C262" i="37"/>
  <c r="C263" i="37"/>
  <c r="C264" i="37"/>
  <c r="C265" i="37"/>
  <c r="C266" i="37"/>
  <c r="C267" i="37"/>
  <c r="C268" i="37"/>
  <c r="C269" i="37"/>
  <c r="C270" i="37"/>
  <c r="C271" i="37"/>
  <c r="C272" i="37"/>
  <c r="C273" i="37"/>
  <c r="C274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C295" i="37"/>
  <c r="C296" i="37"/>
  <c r="C297" i="37"/>
  <c r="C298" i="37"/>
  <c r="C299" i="37"/>
  <c r="C300" i="37"/>
  <c r="C301" i="37"/>
  <c r="C302" i="37"/>
  <c r="C303" i="37"/>
  <c r="C304" i="37"/>
  <c r="C305" i="37"/>
  <c r="C306" i="37"/>
  <c r="C307" i="37"/>
  <c r="C308" i="37"/>
  <c r="C309" i="37"/>
  <c r="C310" i="37"/>
  <c r="C311" i="37"/>
  <c r="C312" i="37"/>
  <c r="C313" i="37"/>
  <c r="C314" i="37"/>
  <c r="C315" i="37"/>
  <c r="C316" i="37"/>
  <c r="C317" i="37"/>
  <c r="C318" i="37"/>
  <c r="C319" i="37"/>
  <c r="C320" i="37"/>
  <c r="C321" i="37"/>
  <c r="C322" i="37"/>
  <c r="C5" i="37"/>
  <c r="A6" i="37"/>
  <c r="B6" i="37"/>
  <c r="A7" i="37"/>
  <c r="B7" i="37"/>
  <c r="A8" i="37"/>
  <c r="B8" i="37"/>
  <c r="A9" i="37"/>
  <c r="B9" i="37"/>
  <c r="A10" i="37"/>
  <c r="B10" i="37"/>
  <c r="A11" i="37"/>
  <c r="B11" i="37"/>
  <c r="A12" i="37"/>
  <c r="B12" i="37"/>
  <c r="A13" i="37"/>
  <c r="B13" i="37"/>
  <c r="A14" i="37"/>
  <c r="B14" i="37"/>
  <c r="A15" i="37"/>
  <c r="B15" i="37"/>
  <c r="A16" i="37"/>
  <c r="B16" i="37"/>
  <c r="A17" i="37"/>
  <c r="B17" i="37"/>
  <c r="A18" i="37"/>
  <c r="B18" i="37"/>
  <c r="A19" i="37"/>
  <c r="B19" i="37"/>
  <c r="A20" i="37"/>
  <c r="B20" i="37"/>
  <c r="A21" i="37"/>
  <c r="B21" i="37"/>
  <c r="A22" i="37"/>
  <c r="B22" i="37"/>
  <c r="A23" i="37"/>
  <c r="B23" i="37"/>
  <c r="A24" i="37"/>
  <c r="B24" i="37"/>
  <c r="A25" i="37"/>
  <c r="B25" i="37"/>
  <c r="A26" i="37"/>
  <c r="B26" i="37"/>
  <c r="A27" i="37"/>
  <c r="B27" i="37"/>
  <c r="A28" i="37"/>
  <c r="B28" i="37"/>
  <c r="A29" i="37"/>
  <c r="B29" i="37"/>
  <c r="A30" i="37"/>
  <c r="B30" i="37"/>
  <c r="A31" i="37"/>
  <c r="B31" i="37"/>
  <c r="A32" i="37"/>
  <c r="B32" i="37"/>
  <c r="A33" i="37"/>
  <c r="B33" i="37"/>
  <c r="A34" i="37"/>
  <c r="B34" i="37"/>
  <c r="A35" i="37"/>
  <c r="B35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6" i="37"/>
  <c r="B46" i="37"/>
  <c r="A47" i="37"/>
  <c r="B47" i="37"/>
  <c r="A48" i="37"/>
  <c r="B48" i="37"/>
  <c r="A49" i="37"/>
  <c r="B49" i="37"/>
  <c r="A50" i="37"/>
  <c r="B50" i="37"/>
  <c r="A51" i="37"/>
  <c r="B51" i="37"/>
  <c r="A52" i="37"/>
  <c r="B52" i="37"/>
  <c r="A53" i="37"/>
  <c r="B53" i="37"/>
  <c r="A54" i="37"/>
  <c r="B54" i="37"/>
  <c r="A55" i="37"/>
  <c r="B55" i="37"/>
  <c r="A56" i="37"/>
  <c r="B56" i="37"/>
  <c r="A57" i="37"/>
  <c r="B57" i="37"/>
  <c r="A58" i="37"/>
  <c r="B58" i="37"/>
  <c r="A59" i="37"/>
  <c r="B59" i="37"/>
  <c r="A60" i="37"/>
  <c r="B60" i="37"/>
  <c r="A61" i="37"/>
  <c r="B61" i="37"/>
  <c r="A62" i="37"/>
  <c r="B62" i="37"/>
  <c r="A63" i="37"/>
  <c r="B63" i="37"/>
  <c r="A64" i="37"/>
  <c r="B64" i="37"/>
  <c r="A65" i="37"/>
  <c r="B65" i="37"/>
  <c r="A66" i="37"/>
  <c r="B66" i="37"/>
  <c r="A67" i="37"/>
  <c r="B67" i="37"/>
  <c r="A68" i="37"/>
  <c r="B68" i="37"/>
  <c r="A69" i="37"/>
  <c r="B69" i="37"/>
  <c r="A70" i="37"/>
  <c r="B70" i="37"/>
  <c r="A71" i="37"/>
  <c r="B71" i="37"/>
  <c r="A72" i="37"/>
  <c r="B72" i="37"/>
  <c r="A73" i="37"/>
  <c r="B73" i="37"/>
  <c r="A74" i="37"/>
  <c r="B74" i="37"/>
  <c r="A75" i="37"/>
  <c r="B75" i="37"/>
  <c r="A76" i="37"/>
  <c r="B76" i="37"/>
  <c r="A77" i="37"/>
  <c r="B77" i="37"/>
  <c r="A78" i="37"/>
  <c r="B78" i="37"/>
  <c r="A79" i="37"/>
  <c r="B79" i="37"/>
  <c r="A80" i="37"/>
  <c r="B80" i="37"/>
  <c r="A81" i="37"/>
  <c r="B81" i="37"/>
  <c r="A82" i="37"/>
  <c r="B82" i="37"/>
  <c r="A83" i="37"/>
  <c r="B83" i="37"/>
  <c r="A84" i="37"/>
  <c r="B84" i="37"/>
  <c r="A85" i="37"/>
  <c r="B85" i="37"/>
  <c r="A86" i="37"/>
  <c r="B86" i="37"/>
  <c r="A87" i="37"/>
  <c r="B87" i="37"/>
  <c r="A88" i="37"/>
  <c r="B88" i="37"/>
  <c r="A89" i="37"/>
  <c r="B89" i="37"/>
  <c r="A90" i="37"/>
  <c r="B90" i="37"/>
  <c r="A91" i="37"/>
  <c r="B91" i="37"/>
  <c r="A92" i="37"/>
  <c r="B92" i="37"/>
  <c r="A93" i="37"/>
  <c r="B93" i="37"/>
  <c r="A94" i="37"/>
  <c r="B94" i="37"/>
  <c r="A95" i="37"/>
  <c r="B95" i="37"/>
  <c r="A96" i="37"/>
  <c r="B96" i="37"/>
  <c r="A97" i="37"/>
  <c r="B97" i="37"/>
  <c r="A98" i="37"/>
  <c r="B98" i="37"/>
  <c r="A99" i="37"/>
  <c r="B99" i="37"/>
  <c r="A100" i="37"/>
  <c r="B100" i="37"/>
  <c r="A101" i="37"/>
  <c r="B101" i="37"/>
  <c r="A102" i="37"/>
  <c r="B102" i="37"/>
  <c r="A103" i="37"/>
  <c r="B103" i="37"/>
  <c r="A104" i="37"/>
  <c r="B104" i="37"/>
  <c r="A105" i="37"/>
  <c r="B105" i="37"/>
  <c r="A106" i="37"/>
  <c r="B106" i="37"/>
  <c r="A107" i="37"/>
  <c r="B107" i="37"/>
  <c r="A108" i="37"/>
  <c r="B108" i="37"/>
  <c r="A109" i="37"/>
  <c r="B109" i="37"/>
  <c r="A110" i="37"/>
  <c r="B110" i="37"/>
  <c r="A111" i="37"/>
  <c r="B111" i="37"/>
  <c r="A112" i="37"/>
  <c r="B112" i="37"/>
  <c r="A113" i="37"/>
  <c r="B113" i="37"/>
  <c r="A114" i="37"/>
  <c r="B114" i="37"/>
  <c r="A115" i="37"/>
  <c r="B115" i="37"/>
  <c r="A116" i="37"/>
  <c r="B116" i="37"/>
  <c r="A117" i="37"/>
  <c r="B117" i="37"/>
  <c r="A118" i="37"/>
  <c r="B118" i="37"/>
  <c r="A119" i="37"/>
  <c r="B119" i="37"/>
  <c r="A120" i="37"/>
  <c r="B120" i="37"/>
  <c r="A121" i="37"/>
  <c r="B121" i="37"/>
  <c r="A122" i="37"/>
  <c r="B122" i="37"/>
  <c r="A123" i="37"/>
  <c r="B123" i="37"/>
  <c r="A124" i="37"/>
  <c r="B124" i="37"/>
  <c r="A125" i="37"/>
  <c r="B125" i="37"/>
  <c r="A126" i="37"/>
  <c r="B126" i="37"/>
  <c r="A127" i="37"/>
  <c r="B127" i="37"/>
  <c r="A128" i="37"/>
  <c r="B128" i="37"/>
  <c r="A129" i="37"/>
  <c r="B129" i="37"/>
  <c r="A130" i="37"/>
  <c r="B130" i="37"/>
  <c r="A131" i="37"/>
  <c r="B131" i="37"/>
  <c r="A132" i="37"/>
  <c r="B132" i="37"/>
  <c r="A133" i="37"/>
  <c r="B133" i="37"/>
  <c r="A134" i="37"/>
  <c r="B134" i="37"/>
  <c r="A135" i="37"/>
  <c r="B135" i="37"/>
  <c r="A136" i="37"/>
  <c r="B136" i="37"/>
  <c r="A137" i="37"/>
  <c r="B137" i="37"/>
  <c r="A138" i="37"/>
  <c r="B138" i="37"/>
  <c r="A139" i="37"/>
  <c r="B139" i="37"/>
  <c r="A140" i="37"/>
  <c r="B140" i="37"/>
  <c r="A141" i="37"/>
  <c r="B141" i="37"/>
  <c r="A142" i="37"/>
  <c r="B142" i="37"/>
  <c r="A143" i="37"/>
  <c r="B143" i="37"/>
  <c r="A144" i="37"/>
  <c r="B144" i="37"/>
  <c r="A145" i="37"/>
  <c r="B145" i="37"/>
  <c r="A146" i="37"/>
  <c r="B146" i="37"/>
  <c r="A147" i="37"/>
  <c r="B147" i="37"/>
  <c r="A148" i="37"/>
  <c r="B148" i="37"/>
  <c r="A149" i="37"/>
  <c r="B149" i="37"/>
  <c r="A150" i="37"/>
  <c r="B150" i="37"/>
  <c r="A151" i="37"/>
  <c r="B151" i="37"/>
  <c r="A152" i="37"/>
  <c r="B152" i="37"/>
  <c r="A153" i="37"/>
  <c r="B153" i="37"/>
  <c r="A154" i="37"/>
  <c r="B154" i="37"/>
  <c r="A155" i="37"/>
  <c r="B155" i="37"/>
  <c r="A156" i="37"/>
  <c r="B156" i="37"/>
  <c r="A157" i="37"/>
  <c r="B157" i="37"/>
  <c r="A158" i="37"/>
  <c r="B158" i="37"/>
  <c r="A159" i="37"/>
  <c r="B159" i="37"/>
  <c r="A160" i="37"/>
  <c r="B160" i="37"/>
  <c r="A161" i="37"/>
  <c r="B161" i="37"/>
  <c r="A162" i="37"/>
  <c r="B162" i="37"/>
  <c r="A163" i="37"/>
  <c r="B163" i="37"/>
  <c r="A164" i="37"/>
  <c r="B164" i="37"/>
  <c r="A165" i="37"/>
  <c r="B165" i="37"/>
  <c r="A166" i="37"/>
  <c r="B166" i="37"/>
  <c r="A167" i="37"/>
  <c r="B167" i="37"/>
  <c r="A168" i="37"/>
  <c r="B168" i="37"/>
  <c r="A169" i="37"/>
  <c r="B169" i="37"/>
  <c r="A170" i="37"/>
  <c r="B170" i="37"/>
  <c r="A171" i="37"/>
  <c r="B171" i="37"/>
  <c r="A172" i="37"/>
  <c r="B172" i="37"/>
  <c r="A173" i="37"/>
  <c r="B173" i="37"/>
  <c r="A174" i="37"/>
  <c r="B174" i="37"/>
  <c r="A175" i="37"/>
  <c r="B175" i="37"/>
  <c r="A176" i="37"/>
  <c r="B176" i="37"/>
  <c r="A177" i="37"/>
  <c r="B177" i="37"/>
  <c r="A178" i="37"/>
  <c r="B178" i="37"/>
  <c r="A179" i="37"/>
  <c r="B179" i="37"/>
  <c r="A180" i="37"/>
  <c r="B180" i="37"/>
  <c r="A181" i="37"/>
  <c r="B181" i="37"/>
  <c r="A182" i="37"/>
  <c r="B182" i="37"/>
  <c r="A183" i="37"/>
  <c r="B183" i="37"/>
  <c r="A184" i="37"/>
  <c r="B184" i="37"/>
  <c r="A185" i="37"/>
  <c r="B185" i="37"/>
  <c r="A186" i="37"/>
  <c r="B186" i="37"/>
  <c r="A187" i="37"/>
  <c r="B187" i="37"/>
  <c r="A188" i="37"/>
  <c r="B188" i="37"/>
  <c r="A189" i="37"/>
  <c r="B189" i="37"/>
  <c r="A190" i="37"/>
  <c r="B190" i="37"/>
  <c r="A191" i="37"/>
  <c r="B191" i="37"/>
  <c r="A192" i="37"/>
  <c r="B192" i="37"/>
  <c r="A193" i="37"/>
  <c r="B193" i="37"/>
  <c r="A194" i="37"/>
  <c r="B194" i="37"/>
  <c r="A195" i="37"/>
  <c r="B195" i="37"/>
  <c r="A196" i="37"/>
  <c r="B196" i="37"/>
  <c r="A197" i="37"/>
  <c r="B197" i="37"/>
  <c r="A198" i="37"/>
  <c r="B198" i="37"/>
  <c r="A199" i="37"/>
  <c r="B199" i="37"/>
  <c r="A200" i="37"/>
  <c r="B200" i="37"/>
  <c r="A201" i="37"/>
  <c r="B201" i="37"/>
  <c r="A202" i="37"/>
  <c r="B202" i="37"/>
  <c r="A203" i="37"/>
  <c r="B203" i="37"/>
  <c r="A204" i="37"/>
  <c r="B204" i="37"/>
  <c r="A205" i="37"/>
  <c r="B205" i="37"/>
  <c r="A206" i="37"/>
  <c r="B206" i="37"/>
  <c r="A207" i="37"/>
  <c r="B207" i="37"/>
  <c r="A208" i="37"/>
  <c r="B208" i="37"/>
  <c r="A209" i="37"/>
  <c r="B209" i="37"/>
  <c r="A210" i="37"/>
  <c r="B210" i="37"/>
  <c r="A211" i="37"/>
  <c r="B211" i="37"/>
  <c r="A212" i="37"/>
  <c r="B212" i="37"/>
  <c r="A213" i="37"/>
  <c r="B213" i="37"/>
  <c r="A214" i="37"/>
  <c r="B214" i="37"/>
  <c r="A215" i="37"/>
  <c r="B215" i="37"/>
  <c r="A216" i="37"/>
  <c r="B216" i="37"/>
  <c r="A217" i="37"/>
  <c r="B217" i="37"/>
  <c r="A218" i="37"/>
  <c r="B218" i="37"/>
  <c r="A219" i="37"/>
  <c r="B219" i="37"/>
  <c r="A220" i="37"/>
  <c r="B220" i="37"/>
  <c r="A221" i="37"/>
  <c r="B221" i="37"/>
  <c r="A222" i="37"/>
  <c r="B222" i="37"/>
  <c r="A223" i="37"/>
  <c r="B223" i="37"/>
  <c r="A224" i="37"/>
  <c r="B224" i="37"/>
  <c r="A225" i="37"/>
  <c r="B225" i="37"/>
  <c r="A226" i="37"/>
  <c r="B226" i="37"/>
  <c r="A227" i="37"/>
  <c r="B227" i="37"/>
  <c r="A228" i="37"/>
  <c r="B228" i="37"/>
  <c r="A229" i="37"/>
  <c r="B229" i="37"/>
  <c r="A230" i="37"/>
  <c r="B230" i="37"/>
  <c r="A231" i="37"/>
  <c r="B231" i="37"/>
  <c r="A232" i="37"/>
  <c r="B232" i="37"/>
  <c r="A233" i="37"/>
  <c r="B233" i="37"/>
  <c r="A234" i="37"/>
  <c r="B234" i="37"/>
  <c r="A235" i="37"/>
  <c r="B235" i="37"/>
  <c r="A236" i="37"/>
  <c r="B236" i="37"/>
  <c r="A237" i="37"/>
  <c r="B237" i="37"/>
  <c r="A238" i="37"/>
  <c r="B238" i="37"/>
  <c r="A239" i="37"/>
  <c r="B239" i="37"/>
  <c r="A240" i="37"/>
  <c r="B240" i="37"/>
  <c r="A241" i="37"/>
  <c r="B241" i="37"/>
  <c r="A242" i="37"/>
  <c r="B242" i="37"/>
  <c r="A243" i="37"/>
  <c r="B243" i="37"/>
  <c r="A244" i="37"/>
  <c r="B244" i="37"/>
  <c r="A245" i="37"/>
  <c r="B245" i="37"/>
  <c r="A246" i="37"/>
  <c r="B246" i="37"/>
  <c r="A247" i="37"/>
  <c r="B247" i="37"/>
  <c r="A248" i="37"/>
  <c r="B248" i="37"/>
  <c r="A249" i="37"/>
  <c r="B249" i="37"/>
  <c r="A250" i="37"/>
  <c r="B250" i="37"/>
  <c r="A251" i="37"/>
  <c r="B251" i="37"/>
  <c r="A252" i="37"/>
  <c r="B252" i="37"/>
  <c r="A253" i="37"/>
  <c r="B253" i="37"/>
  <c r="A254" i="37"/>
  <c r="B254" i="37"/>
  <c r="A255" i="37"/>
  <c r="B255" i="37"/>
  <c r="A256" i="37"/>
  <c r="B256" i="37"/>
  <c r="A257" i="37"/>
  <c r="B257" i="37"/>
  <c r="A258" i="37"/>
  <c r="B258" i="37"/>
  <c r="A259" i="37"/>
  <c r="B259" i="37"/>
  <c r="A260" i="37"/>
  <c r="B260" i="37"/>
  <c r="A261" i="37"/>
  <c r="B261" i="37"/>
  <c r="A262" i="37"/>
  <c r="B262" i="37"/>
  <c r="A263" i="37"/>
  <c r="B263" i="37"/>
  <c r="A264" i="37"/>
  <c r="B264" i="37"/>
  <c r="A265" i="37"/>
  <c r="B265" i="37"/>
  <c r="A266" i="37"/>
  <c r="B266" i="37"/>
  <c r="A267" i="37"/>
  <c r="B267" i="37"/>
  <c r="A268" i="37"/>
  <c r="B268" i="37"/>
  <c r="A269" i="37"/>
  <c r="B269" i="37"/>
  <c r="A270" i="37"/>
  <c r="B270" i="37"/>
  <c r="A271" i="37"/>
  <c r="B271" i="37"/>
  <c r="A272" i="37"/>
  <c r="B272" i="37"/>
  <c r="A273" i="37"/>
  <c r="B273" i="37"/>
  <c r="A274" i="37"/>
  <c r="B274" i="37"/>
  <c r="A275" i="37"/>
  <c r="B275" i="37"/>
  <c r="A276" i="37"/>
  <c r="B276" i="37"/>
  <c r="A277" i="37"/>
  <c r="B277" i="37"/>
  <c r="A278" i="37"/>
  <c r="B278" i="37"/>
  <c r="A279" i="37"/>
  <c r="B279" i="37"/>
  <c r="A280" i="37"/>
  <c r="B280" i="37"/>
  <c r="A281" i="37"/>
  <c r="B281" i="37"/>
  <c r="A282" i="37"/>
  <c r="B282" i="37"/>
  <c r="A283" i="37"/>
  <c r="B283" i="37"/>
  <c r="A284" i="37"/>
  <c r="B284" i="37"/>
  <c r="A285" i="37"/>
  <c r="B285" i="37"/>
  <c r="A286" i="37"/>
  <c r="B286" i="37"/>
  <c r="A287" i="37"/>
  <c r="B287" i="37"/>
  <c r="A288" i="37"/>
  <c r="B288" i="37"/>
  <c r="A289" i="37"/>
  <c r="B289" i="37"/>
  <c r="A290" i="37"/>
  <c r="B290" i="37"/>
  <c r="A291" i="37"/>
  <c r="B291" i="37"/>
  <c r="A292" i="37"/>
  <c r="B292" i="37"/>
  <c r="A293" i="37"/>
  <c r="B293" i="37"/>
  <c r="A294" i="37"/>
  <c r="B294" i="37"/>
  <c r="A295" i="37"/>
  <c r="B295" i="37"/>
  <c r="A296" i="37"/>
  <c r="B296" i="37"/>
  <c r="A297" i="37"/>
  <c r="B297" i="37"/>
  <c r="A298" i="37"/>
  <c r="B298" i="37"/>
  <c r="A299" i="37"/>
  <c r="B299" i="37"/>
  <c r="A300" i="37"/>
  <c r="B300" i="37"/>
  <c r="A301" i="37"/>
  <c r="B301" i="37"/>
  <c r="A302" i="37"/>
  <c r="B302" i="37"/>
  <c r="A303" i="37"/>
  <c r="B303" i="37"/>
  <c r="A304" i="37"/>
  <c r="B304" i="37"/>
  <c r="A305" i="37"/>
  <c r="B305" i="37"/>
  <c r="A306" i="37"/>
  <c r="B306" i="37"/>
  <c r="A307" i="37"/>
  <c r="B307" i="37"/>
  <c r="A308" i="37"/>
  <c r="B308" i="37"/>
  <c r="A309" i="37"/>
  <c r="B309" i="37"/>
  <c r="A310" i="37"/>
  <c r="B310" i="37"/>
  <c r="A311" i="37"/>
  <c r="B311" i="37"/>
  <c r="A312" i="37"/>
  <c r="B312" i="37"/>
  <c r="A313" i="37"/>
  <c r="B313" i="37"/>
  <c r="A314" i="37"/>
  <c r="B314" i="37"/>
  <c r="A315" i="37"/>
  <c r="B315" i="37"/>
  <c r="A316" i="37"/>
  <c r="B316" i="37"/>
  <c r="A317" i="37"/>
  <c r="B317" i="37"/>
  <c r="A318" i="37"/>
  <c r="B318" i="37"/>
  <c r="A319" i="37"/>
  <c r="B319" i="37"/>
  <c r="A320" i="37"/>
  <c r="B320" i="37"/>
  <c r="A321" i="37"/>
  <c r="B321" i="37"/>
  <c r="A322" i="37"/>
  <c r="B322" i="37"/>
  <c r="B5" i="37"/>
  <c r="A5" i="37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115" i="36"/>
  <c r="C116" i="36"/>
  <c r="C117" i="36"/>
  <c r="C118" i="36"/>
  <c r="C119" i="36"/>
  <c r="C120" i="36"/>
  <c r="C121" i="36"/>
  <c r="C122" i="36"/>
  <c r="C123" i="36"/>
  <c r="C124" i="36"/>
  <c r="C125" i="36"/>
  <c r="C126" i="36"/>
  <c r="C127" i="36"/>
  <c r="C128" i="36"/>
  <c r="C129" i="36"/>
  <c r="C130" i="36"/>
  <c r="C131" i="36"/>
  <c r="C132" i="36"/>
  <c r="C133" i="36"/>
  <c r="C134" i="36"/>
  <c r="C135" i="36"/>
  <c r="C136" i="36"/>
  <c r="C137" i="36"/>
  <c r="C138" i="36"/>
  <c r="C139" i="36"/>
  <c r="C140" i="36"/>
  <c r="C141" i="36"/>
  <c r="C142" i="36"/>
  <c r="C143" i="36"/>
  <c r="C144" i="36"/>
  <c r="C145" i="36"/>
  <c r="C146" i="36"/>
  <c r="C147" i="36"/>
  <c r="C148" i="36"/>
  <c r="C149" i="36"/>
  <c r="C150" i="36"/>
  <c r="C151" i="36"/>
  <c r="C152" i="36"/>
  <c r="C153" i="36"/>
  <c r="C154" i="36"/>
  <c r="C155" i="36"/>
  <c r="C156" i="36"/>
  <c r="C157" i="36"/>
  <c r="C158" i="36"/>
  <c r="C159" i="36"/>
  <c r="C160" i="36"/>
  <c r="C161" i="36"/>
  <c r="C162" i="36"/>
  <c r="C163" i="36"/>
  <c r="C164" i="36"/>
  <c r="C165" i="36"/>
  <c r="C166" i="36"/>
  <c r="C167" i="36"/>
  <c r="C168" i="36"/>
  <c r="C169" i="36"/>
  <c r="C170" i="36"/>
  <c r="C171" i="36"/>
  <c r="C172" i="36"/>
  <c r="C173" i="36"/>
  <c r="C174" i="36"/>
  <c r="C175" i="36"/>
  <c r="C176" i="36"/>
  <c r="C177" i="36"/>
  <c r="C178" i="36"/>
  <c r="C179" i="36"/>
  <c r="C180" i="36"/>
  <c r="C181" i="36"/>
  <c r="C182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202" i="36"/>
  <c r="C203" i="36"/>
  <c r="C204" i="36"/>
  <c r="C205" i="36"/>
  <c r="C206" i="36"/>
  <c r="C207" i="36"/>
  <c r="C208" i="36"/>
  <c r="C209" i="36"/>
  <c r="C210" i="36"/>
  <c r="C211" i="36"/>
  <c r="C212" i="36"/>
  <c r="C213" i="36"/>
  <c r="C214" i="36"/>
  <c r="C215" i="36"/>
  <c r="C216" i="36"/>
  <c r="C217" i="36"/>
  <c r="C218" i="36"/>
  <c r="C219" i="36"/>
  <c r="C220" i="36"/>
  <c r="C221" i="36"/>
  <c r="C222" i="36"/>
  <c r="C223" i="36"/>
  <c r="C224" i="36"/>
  <c r="C225" i="36"/>
  <c r="C226" i="36"/>
  <c r="C227" i="36"/>
  <c r="C228" i="36"/>
  <c r="C229" i="36"/>
  <c r="C230" i="36"/>
  <c r="C231" i="36"/>
  <c r="C232" i="36"/>
  <c r="C233" i="36"/>
  <c r="C234" i="36"/>
  <c r="C235" i="36"/>
  <c r="C236" i="36"/>
  <c r="C237" i="36"/>
  <c r="C238" i="36"/>
  <c r="C239" i="36"/>
  <c r="C240" i="36"/>
  <c r="C241" i="36"/>
  <c r="C242" i="36"/>
  <c r="C243" i="36"/>
  <c r="C244" i="36"/>
  <c r="C245" i="36"/>
  <c r="C246" i="36"/>
  <c r="C247" i="36"/>
  <c r="C248" i="36"/>
  <c r="C249" i="36"/>
  <c r="C250" i="36"/>
  <c r="C251" i="36"/>
  <c r="C252" i="36"/>
  <c r="C253" i="36"/>
  <c r="C254" i="36"/>
  <c r="C255" i="36"/>
  <c r="C256" i="36"/>
  <c r="C257" i="36"/>
  <c r="C258" i="36"/>
  <c r="C259" i="36"/>
  <c r="C260" i="36"/>
  <c r="C261" i="36"/>
  <c r="C262" i="36"/>
  <c r="C263" i="36"/>
  <c r="C264" i="36"/>
  <c r="C265" i="36"/>
  <c r="C266" i="36"/>
  <c r="C267" i="36"/>
  <c r="C268" i="36"/>
  <c r="C269" i="36"/>
  <c r="C270" i="36"/>
  <c r="C271" i="36"/>
  <c r="C272" i="36"/>
  <c r="C273" i="36"/>
  <c r="C274" i="36"/>
  <c r="C275" i="36"/>
  <c r="C276" i="36"/>
  <c r="C277" i="36"/>
  <c r="C278" i="36"/>
  <c r="C279" i="36"/>
  <c r="C280" i="36"/>
  <c r="C281" i="36"/>
  <c r="C282" i="36"/>
  <c r="C283" i="36"/>
  <c r="C284" i="36"/>
  <c r="C285" i="36"/>
  <c r="C286" i="36"/>
  <c r="C287" i="36"/>
  <c r="C288" i="36"/>
  <c r="C289" i="36"/>
  <c r="C290" i="36"/>
  <c r="C291" i="36"/>
  <c r="C292" i="36"/>
  <c r="C293" i="36"/>
  <c r="C294" i="36"/>
  <c r="C295" i="36"/>
  <c r="C296" i="36"/>
  <c r="C297" i="36"/>
  <c r="C298" i="36"/>
  <c r="C299" i="36"/>
  <c r="C300" i="36"/>
  <c r="C301" i="36"/>
  <c r="C302" i="36"/>
  <c r="C303" i="36"/>
  <c r="C304" i="36"/>
  <c r="C305" i="36"/>
  <c r="C306" i="36"/>
  <c r="C307" i="36"/>
  <c r="C308" i="36"/>
  <c r="C309" i="36"/>
  <c r="C310" i="36"/>
  <c r="C311" i="36"/>
  <c r="C312" i="36"/>
  <c r="C313" i="36"/>
  <c r="C314" i="36"/>
  <c r="C315" i="36"/>
  <c r="C316" i="36"/>
  <c r="C317" i="36"/>
  <c r="C318" i="36"/>
  <c r="C319" i="36"/>
  <c r="C320" i="36"/>
  <c r="C321" i="36"/>
  <c r="C322" i="36"/>
  <c r="C323" i="36"/>
  <c r="C324" i="36"/>
  <c r="C325" i="36"/>
  <c r="C8" i="36"/>
  <c r="A9" i="36"/>
  <c r="B9" i="36"/>
  <c r="A10" i="36"/>
  <c r="B10" i="36"/>
  <c r="A11" i="36"/>
  <c r="B11" i="36"/>
  <c r="A12" i="36"/>
  <c r="B12" i="36"/>
  <c r="A13" i="36"/>
  <c r="B13" i="36"/>
  <c r="A14" i="36"/>
  <c r="B14" i="36"/>
  <c r="A15" i="36"/>
  <c r="B15" i="36"/>
  <c r="A16" i="36"/>
  <c r="B16" i="36"/>
  <c r="A17" i="36"/>
  <c r="B17" i="36"/>
  <c r="A18" i="36"/>
  <c r="B18" i="36"/>
  <c r="A19" i="36"/>
  <c r="B19" i="36"/>
  <c r="A20" i="36"/>
  <c r="B20" i="36"/>
  <c r="A21" i="36"/>
  <c r="B21" i="36"/>
  <c r="A22" i="36"/>
  <c r="B22" i="36"/>
  <c r="A23" i="36"/>
  <c r="B23" i="36"/>
  <c r="A24" i="36"/>
  <c r="B24" i="36"/>
  <c r="A25" i="36"/>
  <c r="B25" i="36"/>
  <c r="A26" i="36"/>
  <c r="B26" i="36"/>
  <c r="A27" i="36"/>
  <c r="B27" i="36"/>
  <c r="A28" i="36"/>
  <c r="B28" i="36"/>
  <c r="A29" i="36"/>
  <c r="B29" i="36"/>
  <c r="A30" i="36"/>
  <c r="B30" i="36"/>
  <c r="A31" i="36"/>
  <c r="B31" i="36"/>
  <c r="A32" i="36"/>
  <c r="B32" i="36"/>
  <c r="A33" i="36"/>
  <c r="B33" i="36"/>
  <c r="A34" i="36"/>
  <c r="B34" i="36"/>
  <c r="A35" i="36"/>
  <c r="B35" i="36"/>
  <c r="A36" i="36"/>
  <c r="B36" i="36"/>
  <c r="A37" i="36"/>
  <c r="B37" i="36"/>
  <c r="A38" i="36"/>
  <c r="B38" i="36"/>
  <c r="A39" i="36"/>
  <c r="B39" i="36"/>
  <c r="A40" i="36"/>
  <c r="B40" i="36"/>
  <c r="A41" i="36"/>
  <c r="B41" i="36"/>
  <c r="A42" i="36"/>
  <c r="B42" i="36"/>
  <c r="A43" i="36"/>
  <c r="B43" i="36"/>
  <c r="A44" i="36"/>
  <c r="B44" i="36"/>
  <c r="A45" i="36"/>
  <c r="B45" i="36"/>
  <c r="A46" i="36"/>
  <c r="B46" i="36"/>
  <c r="A47" i="36"/>
  <c r="B47" i="36"/>
  <c r="A48" i="36"/>
  <c r="B48" i="36"/>
  <c r="A49" i="36"/>
  <c r="B49" i="36"/>
  <c r="A50" i="36"/>
  <c r="B50" i="36"/>
  <c r="A51" i="36"/>
  <c r="B51" i="36"/>
  <c r="A52" i="36"/>
  <c r="B52" i="36"/>
  <c r="A53" i="36"/>
  <c r="B53" i="36"/>
  <c r="A54" i="36"/>
  <c r="B54" i="36"/>
  <c r="A55" i="36"/>
  <c r="B55" i="36"/>
  <c r="A56" i="36"/>
  <c r="B56" i="36"/>
  <c r="A57" i="36"/>
  <c r="B57" i="36"/>
  <c r="A58" i="36"/>
  <c r="B58" i="36"/>
  <c r="A59" i="36"/>
  <c r="B59" i="36"/>
  <c r="A60" i="36"/>
  <c r="B60" i="36"/>
  <c r="A61" i="36"/>
  <c r="B61" i="36"/>
  <c r="A62" i="36"/>
  <c r="B62" i="36"/>
  <c r="A63" i="36"/>
  <c r="B63" i="36"/>
  <c r="A64" i="36"/>
  <c r="B64" i="36"/>
  <c r="A65" i="36"/>
  <c r="B65" i="36"/>
  <c r="A66" i="36"/>
  <c r="B66" i="36"/>
  <c r="A67" i="36"/>
  <c r="B67" i="36"/>
  <c r="A68" i="36"/>
  <c r="B68" i="36"/>
  <c r="A69" i="36"/>
  <c r="B69" i="36"/>
  <c r="A70" i="36"/>
  <c r="B70" i="36"/>
  <c r="A71" i="36"/>
  <c r="B71" i="36"/>
  <c r="A72" i="36"/>
  <c r="B72" i="36"/>
  <c r="A73" i="36"/>
  <c r="B73" i="36"/>
  <c r="A74" i="36"/>
  <c r="B74" i="36"/>
  <c r="A75" i="36"/>
  <c r="B75" i="36"/>
  <c r="A76" i="36"/>
  <c r="B76" i="36"/>
  <c r="A77" i="36"/>
  <c r="B77" i="36"/>
  <c r="A78" i="36"/>
  <c r="B78" i="36"/>
  <c r="A79" i="36"/>
  <c r="B79" i="36"/>
  <c r="A80" i="36"/>
  <c r="B80" i="36"/>
  <c r="A81" i="36"/>
  <c r="B81" i="36"/>
  <c r="A82" i="36"/>
  <c r="B82" i="36"/>
  <c r="A83" i="36"/>
  <c r="B83" i="36"/>
  <c r="A84" i="36"/>
  <c r="B84" i="36"/>
  <c r="A85" i="36"/>
  <c r="B85" i="36"/>
  <c r="A86" i="36"/>
  <c r="B86" i="36"/>
  <c r="A87" i="36"/>
  <c r="B87" i="36"/>
  <c r="A88" i="36"/>
  <c r="B88" i="36"/>
  <c r="A89" i="36"/>
  <c r="B89" i="36"/>
  <c r="A90" i="36"/>
  <c r="B90" i="36"/>
  <c r="A91" i="36"/>
  <c r="B91" i="36"/>
  <c r="A92" i="36"/>
  <c r="B92" i="36"/>
  <c r="A93" i="36"/>
  <c r="B93" i="36"/>
  <c r="A94" i="36"/>
  <c r="B94" i="36"/>
  <c r="A95" i="36"/>
  <c r="B95" i="36"/>
  <c r="A96" i="36"/>
  <c r="B96" i="36"/>
  <c r="A97" i="36"/>
  <c r="B97" i="36"/>
  <c r="A98" i="36"/>
  <c r="B98" i="36"/>
  <c r="A99" i="36"/>
  <c r="B99" i="36"/>
  <c r="A100" i="36"/>
  <c r="B100" i="36"/>
  <c r="A101" i="36"/>
  <c r="B101" i="36"/>
  <c r="A102" i="36"/>
  <c r="B102" i="36"/>
  <c r="A103" i="36"/>
  <c r="B103" i="36"/>
  <c r="A104" i="36"/>
  <c r="B104" i="36"/>
  <c r="A105" i="36"/>
  <c r="B105" i="36"/>
  <c r="A106" i="36"/>
  <c r="B106" i="36"/>
  <c r="A107" i="36"/>
  <c r="B107" i="36"/>
  <c r="A108" i="36"/>
  <c r="B108" i="36"/>
  <c r="A109" i="36"/>
  <c r="B109" i="36"/>
  <c r="A110" i="36"/>
  <c r="B110" i="36"/>
  <c r="A111" i="36"/>
  <c r="B111" i="36"/>
  <c r="A112" i="36"/>
  <c r="B112" i="36"/>
  <c r="A113" i="36"/>
  <c r="B113" i="36"/>
  <c r="A114" i="36"/>
  <c r="B114" i="36"/>
  <c r="A115" i="36"/>
  <c r="B115" i="36"/>
  <c r="A116" i="36"/>
  <c r="B116" i="36"/>
  <c r="A117" i="36"/>
  <c r="B117" i="36"/>
  <c r="A118" i="36"/>
  <c r="B118" i="36"/>
  <c r="A119" i="36"/>
  <c r="B119" i="36"/>
  <c r="A120" i="36"/>
  <c r="B120" i="36"/>
  <c r="A121" i="36"/>
  <c r="B121" i="36"/>
  <c r="A122" i="36"/>
  <c r="B122" i="36"/>
  <c r="A123" i="36"/>
  <c r="B123" i="36"/>
  <c r="A124" i="36"/>
  <c r="B124" i="36"/>
  <c r="A125" i="36"/>
  <c r="B125" i="36"/>
  <c r="A126" i="36"/>
  <c r="B126" i="36"/>
  <c r="A127" i="36"/>
  <c r="B127" i="36"/>
  <c r="A128" i="36"/>
  <c r="B128" i="36"/>
  <c r="A129" i="36"/>
  <c r="B129" i="36"/>
  <c r="A130" i="36"/>
  <c r="B130" i="36"/>
  <c r="A131" i="36"/>
  <c r="B131" i="36"/>
  <c r="A132" i="36"/>
  <c r="B132" i="36"/>
  <c r="A133" i="36"/>
  <c r="B133" i="36"/>
  <c r="A134" i="36"/>
  <c r="B134" i="36"/>
  <c r="A135" i="36"/>
  <c r="B135" i="36"/>
  <c r="A136" i="36"/>
  <c r="B136" i="36"/>
  <c r="A137" i="36"/>
  <c r="B137" i="36"/>
  <c r="A138" i="36"/>
  <c r="B138" i="36"/>
  <c r="A139" i="36"/>
  <c r="B139" i="36"/>
  <c r="A140" i="36"/>
  <c r="B140" i="36"/>
  <c r="A141" i="36"/>
  <c r="B141" i="36"/>
  <c r="A142" i="36"/>
  <c r="B142" i="36"/>
  <c r="A143" i="36"/>
  <c r="B143" i="36"/>
  <c r="A144" i="36"/>
  <c r="B144" i="36"/>
  <c r="A145" i="36"/>
  <c r="B145" i="36"/>
  <c r="A146" i="36"/>
  <c r="B146" i="36"/>
  <c r="A147" i="36"/>
  <c r="B147" i="36"/>
  <c r="A148" i="36"/>
  <c r="B148" i="36"/>
  <c r="A149" i="36"/>
  <c r="B149" i="36"/>
  <c r="A150" i="36"/>
  <c r="B150" i="36"/>
  <c r="A151" i="36"/>
  <c r="B151" i="36"/>
  <c r="A152" i="36"/>
  <c r="B152" i="36"/>
  <c r="A153" i="36"/>
  <c r="B153" i="36"/>
  <c r="A154" i="36"/>
  <c r="B154" i="36"/>
  <c r="A155" i="36"/>
  <c r="B155" i="36"/>
  <c r="A156" i="36"/>
  <c r="B156" i="36"/>
  <c r="A157" i="36"/>
  <c r="B157" i="36"/>
  <c r="A158" i="36"/>
  <c r="B158" i="36"/>
  <c r="A159" i="36"/>
  <c r="B159" i="36"/>
  <c r="A160" i="36"/>
  <c r="B160" i="36"/>
  <c r="A161" i="36"/>
  <c r="B161" i="36"/>
  <c r="A162" i="36"/>
  <c r="B162" i="36"/>
  <c r="A163" i="36"/>
  <c r="B163" i="36"/>
  <c r="A164" i="36"/>
  <c r="B164" i="36"/>
  <c r="A165" i="36"/>
  <c r="B165" i="36"/>
  <c r="A166" i="36"/>
  <c r="B166" i="36"/>
  <c r="A167" i="36"/>
  <c r="B167" i="36"/>
  <c r="A168" i="36"/>
  <c r="B168" i="36"/>
  <c r="A169" i="36"/>
  <c r="B169" i="36"/>
  <c r="A170" i="36"/>
  <c r="B170" i="36"/>
  <c r="A171" i="36"/>
  <c r="B171" i="36"/>
  <c r="A172" i="36"/>
  <c r="B172" i="36"/>
  <c r="A173" i="36"/>
  <c r="B173" i="36"/>
  <c r="A174" i="36"/>
  <c r="B174" i="36"/>
  <c r="A175" i="36"/>
  <c r="B175" i="36"/>
  <c r="A176" i="36"/>
  <c r="B176" i="36"/>
  <c r="A177" i="36"/>
  <c r="B177" i="36"/>
  <c r="A178" i="36"/>
  <c r="B178" i="36"/>
  <c r="A179" i="36"/>
  <c r="B179" i="36"/>
  <c r="A180" i="36"/>
  <c r="B180" i="36"/>
  <c r="A181" i="36"/>
  <c r="B181" i="36"/>
  <c r="A182" i="36"/>
  <c r="B182" i="36"/>
  <c r="A183" i="36"/>
  <c r="B183" i="36"/>
  <c r="A184" i="36"/>
  <c r="B184" i="36"/>
  <c r="A185" i="36"/>
  <c r="B185" i="36"/>
  <c r="A186" i="36"/>
  <c r="B186" i="36"/>
  <c r="A187" i="36"/>
  <c r="B187" i="36"/>
  <c r="A188" i="36"/>
  <c r="B188" i="36"/>
  <c r="A189" i="36"/>
  <c r="B189" i="36"/>
  <c r="A190" i="36"/>
  <c r="B190" i="36"/>
  <c r="A191" i="36"/>
  <c r="B191" i="36"/>
  <c r="A192" i="36"/>
  <c r="B192" i="36"/>
  <c r="A193" i="36"/>
  <c r="B193" i="36"/>
  <c r="A194" i="36"/>
  <c r="B194" i="36"/>
  <c r="A195" i="36"/>
  <c r="B195" i="36"/>
  <c r="A196" i="36"/>
  <c r="B196" i="36"/>
  <c r="A197" i="36"/>
  <c r="B197" i="36"/>
  <c r="A198" i="36"/>
  <c r="B198" i="36"/>
  <c r="A199" i="36"/>
  <c r="B199" i="36"/>
  <c r="A200" i="36"/>
  <c r="B200" i="36"/>
  <c r="A201" i="36"/>
  <c r="B201" i="36"/>
  <c r="A202" i="36"/>
  <c r="B202" i="36"/>
  <c r="A203" i="36"/>
  <c r="B203" i="36"/>
  <c r="A204" i="36"/>
  <c r="B204" i="36"/>
  <c r="A205" i="36"/>
  <c r="B205" i="36"/>
  <c r="A206" i="36"/>
  <c r="B206" i="36"/>
  <c r="A207" i="36"/>
  <c r="B207" i="36"/>
  <c r="A208" i="36"/>
  <c r="B208" i="36"/>
  <c r="A209" i="36"/>
  <c r="B209" i="36"/>
  <c r="A210" i="36"/>
  <c r="B210" i="36"/>
  <c r="A211" i="36"/>
  <c r="B211" i="36"/>
  <c r="A212" i="36"/>
  <c r="B212" i="36"/>
  <c r="A213" i="36"/>
  <c r="B213" i="36"/>
  <c r="A214" i="36"/>
  <c r="B214" i="36"/>
  <c r="A215" i="36"/>
  <c r="B215" i="36"/>
  <c r="A216" i="36"/>
  <c r="B216" i="36"/>
  <c r="A217" i="36"/>
  <c r="B217" i="36"/>
  <c r="A218" i="36"/>
  <c r="B218" i="36"/>
  <c r="A219" i="36"/>
  <c r="B219" i="36"/>
  <c r="A220" i="36"/>
  <c r="B220" i="36"/>
  <c r="A221" i="36"/>
  <c r="B221" i="36"/>
  <c r="A222" i="36"/>
  <c r="B222" i="36"/>
  <c r="A223" i="36"/>
  <c r="B223" i="36"/>
  <c r="A224" i="36"/>
  <c r="B224" i="36"/>
  <c r="A225" i="36"/>
  <c r="B225" i="36"/>
  <c r="A226" i="36"/>
  <c r="B226" i="36"/>
  <c r="A227" i="36"/>
  <c r="B227" i="36"/>
  <c r="A228" i="36"/>
  <c r="B228" i="36"/>
  <c r="A229" i="36"/>
  <c r="B229" i="36"/>
  <c r="A230" i="36"/>
  <c r="B230" i="36"/>
  <c r="A231" i="36"/>
  <c r="B231" i="36"/>
  <c r="A232" i="36"/>
  <c r="B232" i="36"/>
  <c r="A233" i="36"/>
  <c r="B233" i="36"/>
  <c r="A234" i="36"/>
  <c r="B234" i="36"/>
  <c r="A235" i="36"/>
  <c r="B235" i="36"/>
  <c r="A236" i="36"/>
  <c r="B236" i="36"/>
  <c r="A237" i="36"/>
  <c r="B237" i="36"/>
  <c r="A238" i="36"/>
  <c r="B238" i="36"/>
  <c r="A239" i="36"/>
  <c r="B239" i="36"/>
  <c r="A240" i="36"/>
  <c r="B240" i="36"/>
  <c r="A241" i="36"/>
  <c r="B241" i="36"/>
  <c r="A242" i="36"/>
  <c r="B242" i="36"/>
  <c r="A243" i="36"/>
  <c r="B243" i="36"/>
  <c r="A244" i="36"/>
  <c r="B244" i="36"/>
  <c r="A245" i="36"/>
  <c r="B245" i="36"/>
  <c r="A246" i="36"/>
  <c r="B246" i="36"/>
  <c r="A247" i="36"/>
  <c r="B247" i="36"/>
  <c r="A248" i="36"/>
  <c r="B248" i="36"/>
  <c r="A249" i="36"/>
  <c r="B249" i="36"/>
  <c r="A250" i="36"/>
  <c r="B250" i="36"/>
  <c r="A251" i="36"/>
  <c r="B251" i="36"/>
  <c r="A252" i="36"/>
  <c r="B252" i="36"/>
  <c r="A253" i="36"/>
  <c r="B253" i="36"/>
  <c r="A254" i="36"/>
  <c r="B254" i="36"/>
  <c r="A255" i="36"/>
  <c r="B255" i="36"/>
  <c r="A256" i="36"/>
  <c r="B256" i="36"/>
  <c r="A257" i="36"/>
  <c r="B257" i="36"/>
  <c r="A258" i="36"/>
  <c r="B258" i="36"/>
  <c r="A259" i="36"/>
  <c r="B259" i="36"/>
  <c r="A260" i="36"/>
  <c r="B260" i="36"/>
  <c r="A261" i="36"/>
  <c r="B261" i="36"/>
  <c r="A262" i="36"/>
  <c r="B262" i="36"/>
  <c r="A263" i="36"/>
  <c r="B263" i="36"/>
  <c r="A264" i="36"/>
  <c r="B264" i="36"/>
  <c r="A265" i="36"/>
  <c r="B265" i="36"/>
  <c r="A266" i="36"/>
  <c r="B266" i="36"/>
  <c r="A267" i="36"/>
  <c r="B267" i="36"/>
  <c r="A268" i="36"/>
  <c r="B268" i="36"/>
  <c r="A269" i="36"/>
  <c r="B269" i="36"/>
  <c r="A270" i="36"/>
  <c r="B270" i="36"/>
  <c r="A271" i="36"/>
  <c r="B271" i="36"/>
  <c r="A272" i="36"/>
  <c r="B272" i="36"/>
  <c r="A273" i="36"/>
  <c r="B273" i="36"/>
  <c r="A274" i="36"/>
  <c r="B274" i="36"/>
  <c r="A275" i="36"/>
  <c r="B275" i="36"/>
  <c r="A276" i="36"/>
  <c r="B276" i="36"/>
  <c r="A277" i="36"/>
  <c r="B277" i="36"/>
  <c r="A278" i="36"/>
  <c r="B278" i="36"/>
  <c r="A279" i="36"/>
  <c r="B279" i="36"/>
  <c r="A280" i="36"/>
  <c r="B280" i="36"/>
  <c r="A281" i="36"/>
  <c r="B281" i="36"/>
  <c r="A282" i="36"/>
  <c r="B282" i="36"/>
  <c r="A283" i="36"/>
  <c r="B283" i="36"/>
  <c r="A284" i="36"/>
  <c r="B284" i="36"/>
  <c r="A285" i="36"/>
  <c r="B285" i="36"/>
  <c r="A286" i="36"/>
  <c r="B286" i="36"/>
  <c r="A287" i="36"/>
  <c r="B287" i="36"/>
  <c r="A288" i="36"/>
  <c r="B288" i="36"/>
  <c r="A289" i="36"/>
  <c r="B289" i="36"/>
  <c r="A290" i="36"/>
  <c r="B290" i="36"/>
  <c r="A291" i="36"/>
  <c r="B291" i="36"/>
  <c r="A292" i="36"/>
  <c r="B292" i="36"/>
  <c r="A293" i="36"/>
  <c r="B293" i="36"/>
  <c r="A294" i="36"/>
  <c r="B294" i="36"/>
  <c r="A295" i="36"/>
  <c r="B295" i="36"/>
  <c r="A296" i="36"/>
  <c r="B296" i="36"/>
  <c r="A297" i="36"/>
  <c r="B297" i="36"/>
  <c r="A298" i="36"/>
  <c r="B298" i="36"/>
  <c r="A299" i="36"/>
  <c r="B299" i="36"/>
  <c r="A300" i="36"/>
  <c r="B300" i="36"/>
  <c r="A301" i="36"/>
  <c r="B301" i="36"/>
  <c r="A302" i="36"/>
  <c r="B302" i="36"/>
  <c r="A303" i="36"/>
  <c r="B303" i="36"/>
  <c r="A304" i="36"/>
  <c r="B304" i="36"/>
  <c r="A305" i="36"/>
  <c r="B305" i="36"/>
  <c r="A306" i="36"/>
  <c r="B306" i="36"/>
  <c r="A307" i="36"/>
  <c r="B307" i="36"/>
  <c r="A308" i="36"/>
  <c r="B308" i="36"/>
  <c r="A309" i="36"/>
  <c r="B309" i="36"/>
  <c r="A310" i="36"/>
  <c r="B310" i="36"/>
  <c r="A311" i="36"/>
  <c r="B311" i="36"/>
  <c r="A312" i="36"/>
  <c r="B312" i="36"/>
  <c r="A313" i="36"/>
  <c r="B313" i="36"/>
  <c r="A314" i="36"/>
  <c r="B314" i="36"/>
  <c r="A315" i="36"/>
  <c r="B315" i="36"/>
  <c r="A316" i="36"/>
  <c r="B316" i="36"/>
  <c r="A317" i="36"/>
  <c r="B317" i="36"/>
  <c r="A318" i="36"/>
  <c r="B318" i="36"/>
  <c r="A319" i="36"/>
  <c r="B319" i="36"/>
  <c r="A320" i="36"/>
  <c r="B320" i="36"/>
  <c r="A321" i="36"/>
  <c r="B321" i="36"/>
  <c r="A322" i="36"/>
  <c r="B322" i="36"/>
  <c r="A323" i="36"/>
  <c r="B323" i="36"/>
  <c r="A324" i="36"/>
  <c r="B324" i="36"/>
  <c r="A325" i="36"/>
  <c r="B325" i="36"/>
  <c r="B8" i="36"/>
  <c r="A8" i="36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11" i="9"/>
  <c r="A12" i="9"/>
  <c r="B12" i="9"/>
  <c r="A13" i="9"/>
  <c r="B13" i="9"/>
  <c r="A14" i="9"/>
  <c r="B14" i="9"/>
  <c r="A15" i="9"/>
  <c r="B15" i="9"/>
  <c r="A16" i="9"/>
  <c r="B16" i="9"/>
  <c r="A17" i="9"/>
  <c r="B17" i="9"/>
  <c r="A18" i="9"/>
  <c r="B18" i="9"/>
  <c r="A19" i="9"/>
  <c r="B19" i="9"/>
  <c r="A20" i="9"/>
  <c r="B20" i="9"/>
  <c r="A21" i="9"/>
  <c r="B21" i="9"/>
  <c r="A22" i="9"/>
  <c r="B22" i="9"/>
  <c r="A23" i="9"/>
  <c r="B23" i="9"/>
  <c r="A24" i="9"/>
  <c r="B24" i="9"/>
  <c r="A25" i="9"/>
  <c r="B25" i="9"/>
  <c r="A26" i="9"/>
  <c r="B26" i="9"/>
  <c r="A27" i="9"/>
  <c r="B27" i="9"/>
  <c r="A28" i="9"/>
  <c r="B28" i="9"/>
  <c r="A29" i="9"/>
  <c r="B29" i="9"/>
  <c r="A30" i="9"/>
  <c r="B30" i="9"/>
  <c r="A31" i="9"/>
  <c r="B31" i="9"/>
  <c r="A32" i="9"/>
  <c r="B32" i="9"/>
  <c r="A33" i="9"/>
  <c r="B33" i="9"/>
  <c r="A34" i="9"/>
  <c r="B34" i="9"/>
  <c r="A35" i="9"/>
  <c r="B35" i="9"/>
  <c r="A36" i="9"/>
  <c r="B36" i="9"/>
  <c r="A37" i="9"/>
  <c r="B37" i="9"/>
  <c r="A38" i="9"/>
  <c r="B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A47" i="9"/>
  <c r="B47" i="9"/>
  <c r="A48" i="9"/>
  <c r="B48" i="9"/>
  <c r="A49" i="9"/>
  <c r="B49" i="9"/>
  <c r="A50" i="9"/>
  <c r="B50" i="9"/>
  <c r="A51" i="9"/>
  <c r="B51" i="9"/>
  <c r="A52" i="9"/>
  <c r="B52" i="9"/>
  <c r="A53" i="9"/>
  <c r="B53" i="9"/>
  <c r="A54" i="9"/>
  <c r="B54" i="9"/>
  <c r="A55" i="9"/>
  <c r="B55" i="9"/>
  <c r="A56" i="9"/>
  <c r="B56" i="9"/>
  <c r="A57" i="9"/>
  <c r="B57" i="9"/>
  <c r="A58" i="9"/>
  <c r="B58" i="9"/>
  <c r="A59" i="9"/>
  <c r="B59" i="9"/>
  <c r="A60" i="9"/>
  <c r="B60" i="9"/>
  <c r="A61" i="9"/>
  <c r="B61" i="9"/>
  <c r="A62" i="9"/>
  <c r="B62" i="9"/>
  <c r="A63" i="9"/>
  <c r="B63" i="9"/>
  <c r="A64" i="9"/>
  <c r="B64" i="9"/>
  <c r="A65" i="9"/>
  <c r="B65" i="9"/>
  <c r="A66" i="9"/>
  <c r="B66" i="9"/>
  <c r="A67" i="9"/>
  <c r="B67" i="9"/>
  <c r="A68" i="9"/>
  <c r="B68" i="9"/>
  <c r="A69" i="9"/>
  <c r="B69" i="9"/>
  <c r="A70" i="9"/>
  <c r="B70" i="9"/>
  <c r="A71" i="9"/>
  <c r="B71" i="9"/>
  <c r="A72" i="9"/>
  <c r="B72" i="9"/>
  <c r="A73" i="9"/>
  <c r="B73" i="9"/>
  <c r="A74" i="9"/>
  <c r="B74" i="9"/>
  <c r="A75" i="9"/>
  <c r="B75" i="9"/>
  <c r="A76" i="9"/>
  <c r="B76" i="9"/>
  <c r="A77" i="9"/>
  <c r="B77" i="9"/>
  <c r="A78" i="9"/>
  <c r="B78" i="9"/>
  <c r="A79" i="9"/>
  <c r="B79" i="9"/>
  <c r="A80" i="9"/>
  <c r="B80" i="9"/>
  <c r="A81" i="9"/>
  <c r="B81" i="9"/>
  <c r="A82" i="9"/>
  <c r="B82" i="9"/>
  <c r="A83" i="9"/>
  <c r="B83" i="9"/>
  <c r="A84" i="9"/>
  <c r="B84" i="9"/>
  <c r="A85" i="9"/>
  <c r="B85" i="9"/>
  <c r="A86" i="9"/>
  <c r="B86" i="9"/>
  <c r="A87" i="9"/>
  <c r="B87" i="9"/>
  <c r="A88" i="9"/>
  <c r="B88" i="9"/>
  <c r="A89" i="9"/>
  <c r="B89" i="9"/>
  <c r="A90" i="9"/>
  <c r="B90" i="9"/>
  <c r="A91" i="9"/>
  <c r="B91" i="9"/>
  <c r="A92" i="9"/>
  <c r="B92" i="9"/>
  <c r="A93" i="9"/>
  <c r="B93" i="9"/>
  <c r="A94" i="9"/>
  <c r="B94" i="9"/>
  <c r="A95" i="9"/>
  <c r="B95" i="9"/>
  <c r="A96" i="9"/>
  <c r="B96" i="9"/>
  <c r="A97" i="9"/>
  <c r="B97" i="9"/>
  <c r="A98" i="9"/>
  <c r="B98" i="9"/>
  <c r="A99" i="9"/>
  <c r="B99" i="9"/>
  <c r="A100" i="9"/>
  <c r="B100" i="9"/>
  <c r="A101" i="9"/>
  <c r="B101" i="9"/>
  <c r="A102" i="9"/>
  <c r="B102" i="9"/>
  <c r="A103" i="9"/>
  <c r="B103" i="9"/>
  <c r="A104" i="9"/>
  <c r="B104" i="9"/>
  <c r="A105" i="9"/>
  <c r="B105" i="9"/>
  <c r="A106" i="9"/>
  <c r="B106" i="9"/>
  <c r="A107" i="9"/>
  <c r="B107" i="9"/>
  <c r="A108" i="9"/>
  <c r="B108" i="9"/>
  <c r="A109" i="9"/>
  <c r="B109" i="9"/>
  <c r="A110" i="9"/>
  <c r="B110" i="9"/>
  <c r="A111" i="9"/>
  <c r="B111" i="9"/>
  <c r="A112" i="9"/>
  <c r="B112" i="9"/>
  <c r="A113" i="9"/>
  <c r="B113" i="9"/>
  <c r="A114" i="9"/>
  <c r="B114" i="9"/>
  <c r="A115" i="9"/>
  <c r="B115" i="9"/>
  <c r="A116" i="9"/>
  <c r="B116" i="9"/>
  <c r="A117" i="9"/>
  <c r="B117" i="9"/>
  <c r="A118" i="9"/>
  <c r="B118" i="9"/>
  <c r="A119" i="9"/>
  <c r="B119" i="9"/>
  <c r="A120" i="9"/>
  <c r="B120" i="9"/>
  <c r="A121" i="9"/>
  <c r="B121" i="9"/>
  <c r="A122" i="9"/>
  <c r="B122" i="9"/>
  <c r="A123" i="9"/>
  <c r="B123" i="9"/>
  <c r="A124" i="9"/>
  <c r="B124" i="9"/>
  <c r="A125" i="9"/>
  <c r="B125" i="9"/>
  <c r="A126" i="9"/>
  <c r="B126" i="9"/>
  <c r="A127" i="9"/>
  <c r="B127" i="9"/>
  <c r="A128" i="9"/>
  <c r="B128" i="9"/>
  <c r="A129" i="9"/>
  <c r="B129" i="9"/>
  <c r="A130" i="9"/>
  <c r="B130" i="9"/>
  <c r="A131" i="9"/>
  <c r="B131" i="9"/>
  <c r="A132" i="9"/>
  <c r="B132" i="9"/>
  <c r="A133" i="9"/>
  <c r="B133" i="9"/>
  <c r="A134" i="9"/>
  <c r="B134" i="9"/>
  <c r="A135" i="9"/>
  <c r="B135" i="9"/>
  <c r="A136" i="9"/>
  <c r="B136" i="9"/>
  <c r="A137" i="9"/>
  <c r="B137" i="9"/>
  <c r="A138" i="9"/>
  <c r="B138" i="9"/>
  <c r="A139" i="9"/>
  <c r="B139" i="9"/>
  <c r="A140" i="9"/>
  <c r="B140" i="9"/>
  <c r="A141" i="9"/>
  <c r="B141" i="9"/>
  <c r="A142" i="9"/>
  <c r="B142" i="9"/>
  <c r="A143" i="9"/>
  <c r="B143" i="9"/>
  <c r="A144" i="9"/>
  <c r="B144" i="9"/>
  <c r="A145" i="9"/>
  <c r="B145" i="9"/>
  <c r="A146" i="9"/>
  <c r="B146" i="9"/>
  <c r="A147" i="9"/>
  <c r="B147" i="9"/>
  <c r="A148" i="9"/>
  <c r="B148" i="9"/>
  <c r="A149" i="9"/>
  <c r="B149" i="9"/>
  <c r="A150" i="9"/>
  <c r="B150" i="9"/>
  <c r="A151" i="9"/>
  <c r="B151" i="9"/>
  <c r="A152" i="9"/>
  <c r="B152" i="9"/>
  <c r="A153" i="9"/>
  <c r="B153" i="9"/>
  <c r="A154" i="9"/>
  <c r="B154" i="9"/>
  <c r="A155" i="9"/>
  <c r="B155" i="9"/>
  <c r="A156" i="9"/>
  <c r="B156" i="9"/>
  <c r="A157" i="9"/>
  <c r="B157" i="9"/>
  <c r="A158" i="9"/>
  <c r="B158" i="9"/>
  <c r="A159" i="9"/>
  <c r="B159" i="9"/>
  <c r="A160" i="9"/>
  <c r="B160" i="9"/>
  <c r="A161" i="9"/>
  <c r="B161" i="9"/>
  <c r="A162" i="9"/>
  <c r="B162" i="9"/>
  <c r="A163" i="9"/>
  <c r="B163" i="9"/>
  <c r="A164" i="9"/>
  <c r="B164" i="9"/>
  <c r="A165" i="9"/>
  <c r="B165" i="9"/>
  <c r="A166" i="9"/>
  <c r="B166" i="9"/>
  <c r="A167" i="9"/>
  <c r="B167" i="9"/>
  <c r="A168" i="9"/>
  <c r="B168" i="9"/>
  <c r="A169" i="9"/>
  <c r="B169" i="9"/>
  <c r="A170" i="9"/>
  <c r="B170" i="9"/>
  <c r="A171" i="9"/>
  <c r="B171" i="9"/>
  <c r="A172" i="9"/>
  <c r="B172" i="9"/>
  <c r="A173" i="9"/>
  <c r="B173" i="9"/>
  <c r="A174" i="9"/>
  <c r="B174" i="9"/>
  <c r="A175" i="9"/>
  <c r="B175" i="9"/>
  <c r="A176" i="9"/>
  <c r="B176" i="9"/>
  <c r="A177" i="9"/>
  <c r="B177" i="9"/>
  <c r="A178" i="9"/>
  <c r="B178" i="9"/>
  <c r="A179" i="9"/>
  <c r="B179" i="9"/>
  <c r="A180" i="9"/>
  <c r="B180" i="9"/>
  <c r="A181" i="9"/>
  <c r="B181" i="9"/>
  <c r="A182" i="9"/>
  <c r="B182" i="9"/>
  <c r="A183" i="9"/>
  <c r="B183" i="9"/>
  <c r="A184" i="9"/>
  <c r="B184" i="9"/>
  <c r="A185" i="9"/>
  <c r="B185" i="9"/>
  <c r="A186" i="9"/>
  <c r="B186" i="9"/>
  <c r="A187" i="9"/>
  <c r="B187" i="9"/>
  <c r="A188" i="9"/>
  <c r="B188" i="9"/>
  <c r="A189" i="9"/>
  <c r="B189" i="9"/>
  <c r="A190" i="9"/>
  <c r="B190" i="9"/>
  <c r="A191" i="9"/>
  <c r="B191" i="9"/>
  <c r="A192" i="9"/>
  <c r="B192" i="9"/>
  <c r="A193" i="9"/>
  <c r="B193" i="9"/>
  <c r="A194" i="9"/>
  <c r="B194" i="9"/>
  <c r="A195" i="9"/>
  <c r="B195" i="9"/>
  <c r="A196" i="9"/>
  <c r="B196" i="9"/>
  <c r="A197" i="9"/>
  <c r="B197" i="9"/>
  <c r="A198" i="9"/>
  <c r="B198" i="9"/>
  <c r="A199" i="9"/>
  <c r="B199" i="9"/>
  <c r="A200" i="9"/>
  <c r="B200" i="9"/>
  <c r="A201" i="9"/>
  <c r="B201" i="9"/>
  <c r="A202" i="9"/>
  <c r="B202" i="9"/>
  <c r="A203" i="9"/>
  <c r="B203" i="9"/>
  <c r="A204" i="9"/>
  <c r="B204" i="9"/>
  <c r="A205" i="9"/>
  <c r="B205" i="9"/>
  <c r="A206" i="9"/>
  <c r="B206" i="9"/>
  <c r="A207" i="9"/>
  <c r="B207" i="9"/>
  <c r="A208" i="9"/>
  <c r="B208" i="9"/>
  <c r="A209" i="9"/>
  <c r="B209" i="9"/>
  <c r="A210" i="9"/>
  <c r="B210" i="9"/>
  <c r="A211" i="9"/>
  <c r="B211" i="9"/>
  <c r="A212" i="9"/>
  <c r="B212" i="9"/>
  <c r="A213" i="9"/>
  <c r="B213" i="9"/>
  <c r="A214" i="9"/>
  <c r="B214" i="9"/>
  <c r="A215" i="9"/>
  <c r="B215" i="9"/>
  <c r="A216" i="9"/>
  <c r="B216" i="9"/>
  <c r="A217" i="9"/>
  <c r="B217" i="9"/>
  <c r="A218" i="9"/>
  <c r="B218" i="9"/>
  <c r="A219" i="9"/>
  <c r="B219" i="9"/>
  <c r="A220" i="9"/>
  <c r="B220" i="9"/>
  <c r="A221" i="9"/>
  <c r="B221" i="9"/>
  <c r="A222" i="9"/>
  <c r="B222" i="9"/>
  <c r="A223" i="9"/>
  <c r="B223" i="9"/>
  <c r="A224" i="9"/>
  <c r="B224" i="9"/>
  <c r="A225" i="9"/>
  <c r="B225" i="9"/>
  <c r="A226" i="9"/>
  <c r="B226" i="9"/>
  <c r="A227" i="9"/>
  <c r="B227" i="9"/>
  <c r="A228" i="9"/>
  <c r="B228" i="9"/>
  <c r="A229" i="9"/>
  <c r="B229" i="9"/>
  <c r="A230" i="9"/>
  <c r="B230" i="9"/>
  <c r="A231" i="9"/>
  <c r="B231" i="9"/>
  <c r="A232" i="9"/>
  <c r="B232" i="9"/>
  <c r="A233" i="9"/>
  <c r="B233" i="9"/>
  <c r="A234" i="9"/>
  <c r="B234" i="9"/>
  <c r="A235" i="9"/>
  <c r="B235" i="9"/>
  <c r="A236" i="9"/>
  <c r="B236" i="9"/>
  <c r="A237" i="9"/>
  <c r="B237" i="9"/>
  <c r="A238" i="9"/>
  <c r="B238" i="9"/>
  <c r="A239" i="9"/>
  <c r="B239" i="9"/>
  <c r="A240" i="9"/>
  <c r="B240" i="9"/>
  <c r="A241" i="9"/>
  <c r="B241" i="9"/>
  <c r="A242" i="9"/>
  <c r="B242" i="9"/>
  <c r="A243" i="9"/>
  <c r="B243" i="9"/>
  <c r="A244" i="9"/>
  <c r="B244" i="9"/>
  <c r="A245" i="9"/>
  <c r="B245" i="9"/>
  <c r="A246" i="9"/>
  <c r="B246" i="9"/>
  <c r="A247" i="9"/>
  <c r="B247" i="9"/>
  <c r="A248" i="9"/>
  <c r="B248" i="9"/>
  <c r="A249" i="9"/>
  <c r="B249" i="9"/>
  <c r="A250" i="9"/>
  <c r="B250" i="9"/>
  <c r="A251" i="9"/>
  <c r="B251" i="9"/>
  <c r="A252" i="9"/>
  <c r="B252" i="9"/>
  <c r="A253" i="9"/>
  <c r="B253" i="9"/>
  <c r="A254" i="9"/>
  <c r="B254" i="9"/>
  <c r="A255" i="9"/>
  <c r="B255" i="9"/>
  <c r="A256" i="9"/>
  <c r="B256" i="9"/>
  <c r="A257" i="9"/>
  <c r="B257" i="9"/>
  <c r="A258" i="9"/>
  <c r="B258" i="9"/>
  <c r="A259" i="9"/>
  <c r="B259" i="9"/>
  <c r="A260" i="9"/>
  <c r="B260" i="9"/>
  <c r="A261" i="9"/>
  <c r="B261" i="9"/>
  <c r="A262" i="9"/>
  <c r="B262" i="9"/>
  <c r="A263" i="9"/>
  <c r="B263" i="9"/>
  <c r="A264" i="9"/>
  <c r="B264" i="9"/>
  <c r="A265" i="9"/>
  <c r="B265" i="9"/>
  <c r="A266" i="9"/>
  <c r="B266" i="9"/>
  <c r="A267" i="9"/>
  <c r="B267" i="9"/>
  <c r="A268" i="9"/>
  <c r="B268" i="9"/>
  <c r="A269" i="9"/>
  <c r="B269" i="9"/>
  <c r="A270" i="9"/>
  <c r="B270" i="9"/>
  <c r="A271" i="9"/>
  <c r="B271" i="9"/>
  <c r="A272" i="9"/>
  <c r="B272" i="9"/>
  <c r="A273" i="9"/>
  <c r="B273" i="9"/>
  <c r="A274" i="9"/>
  <c r="B274" i="9"/>
  <c r="A275" i="9"/>
  <c r="B275" i="9"/>
  <c r="A276" i="9"/>
  <c r="B276" i="9"/>
  <c r="A277" i="9"/>
  <c r="B277" i="9"/>
  <c r="A278" i="9"/>
  <c r="B278" i="9"/>
  <c r="A279" i="9"/>
  <c r="B279" i="9"/>
  <c r="A280" i="9"/>
  <c r="B280" i="9"/>
  <c r="A281" i="9"/>
  <c r="B281" i="9"/>
  <c r="A282" i="9"/>
  <c r="B282" i="9"/>
  <c r="A283" i="9"/>
  <c r="B283" i="9"/>
  <c r="A284" i="9"/>
  <c r="B284" i="9"/>
  <c r="A285" i="9"/>
  <c r="B285" i="9"/>
  <c r="A286" i="9"/>
  <c r="B286" i="9"/>
  <c r="A287" i="9"/>
  <c r="B287" i="9"/>
  <c r="A288" i="9"/>
  <c r="B288" i="9"/>
  <c r="A289" i="9"/>
  <c r="B289" i="9"/>
  <c r="A290" i="9"/>
  <c r="B290" i="9"/>
  <c r="A291" i="9"/>
  <c r="B291" i="9"/>
  <c r="A292" i="9"/>
  <c r="B292" i="9"/>
  <c r="A293" i="9"/>
  <c r="B293" i="9"/>
  <c r="A294" i="9"/>
  <c r="B294" i="9"/>
  <c r="A295" i="9"/>
  <c r="B295" i="9"/>
  <c r="A296" i="9"/>
  <c r="B296" i="9"/>
  <c r="A297" i="9"/>
  <c r="B297" i="9"/>
  <c r="A298" i="9"/>
  <c r="B298" i="9"/>
  <c r="A299" i="9"/>
  <c r="B299" i="9"/>
  <c r="A300" i="9"/>
  <c r="B300" i="9"/>
  <c r="A301" i="9"/>
  <c r="B301" i="9"/>
  <c r="A302" i="9"/>
  <c r="B302" i="9"/>
  <c r="A303" i="9"/>
  <c r="B303" i="9"/>
  <c r="A304" i="9"/>
  <c r="B304" i="9"/>
  <c r="A305" i="9"/>
  <c r="B305" i="9"/>
  <c r="A306" i="9"/>
  <c r="B306" i="9"/>
  <c r="A307" i="9"/>
  <c r="B307" i="9"/>
  <c r="A308" i="9"/>
  <c r="B308" i="9"/>
  <c r="A309" i="9"/>
  <c r="B309" i="9"/>
  <c r="A310" i="9"/>
  <c r="B310" i="9"/>
  <c r="A311" i="9"/>
  <c r="B311" i="9"/>
  <c r="A312" i="9"/>
  <c r="B312" i="9"/>
  <c r="A313" i="9"/>
  <c r="B313" i="9"/>
  <c r="A314" i="9"/>
  <c r="B314" i="9"/>
  <c r="A315" i="9"/>
  <c r="B315" i="9"/>
  <c r="A316" i="9"/>
  <c r="B316" i="9"/>
  <c r="A317" i="9"/>
  <c r="B317" i="9"/>
  <c r="A318" i="9"/>
  <c r="B318" i="9"/>
  <c r="A319" i="9"/>
  <c r="B319" i="9"/>
  <c r="A320" i="9"/>
  <c r="B320" i="9"/>
  <c r="A321" i="9"/>
  <c r="B321" i="9"/>
  <c r="A322" i="9"/>
  <c r="B322" i="9"/>
  <c r="A323" i="9"/>
  <c r="B323" i="9"/>
  <c r="A324" i="9"/>
  <c r="B324" i="9"/>
  <c r="A325" i="9"/>
  <c r="B325" i="9"/>
  <c r="A326" i="9"/>
  <c r="B326" i="9"/>
  <c r="A327" i="9"/>
  <c r="B327" i="9"/>
  <c r="A328" i="9"/>
  <c r="B328" i="9"/>
  <c r="B11" i="9"/>
  <c r="A11" i="9"/>
  <c r="D334" i="34" l="1"/>
  <c r="B323" i="37"/>
  <c r="C323" i="37"/>
  <c r="C326" i="36"/>
  <c r="B326" i="36"/>
  <c r="B323" i="12"/>
  <c r="B323" i="39"/>
  <c r="B324" i="13"/>
  <c r="B334" i="34"/>
  <c r="C329" i="9"/>
  <c r="B329" i="9"/>
  <c r="H3" i="33" l="1"/>
  <c r="I3" i="33"/>
  <c r="J3" i="33"/>
  <c r="K3" i="33" s="1"/>
  <c r="G3" i="33"/>
  <c r="J4" i="33"/>
  <c r="K4" i="33" s="1"/>
  <c r="H4" i="33"/>
  <c r="I4" i="33"/>
  <c r="G4" i="33"/>
  <c r="C4" i="32" l="1"/>
  <c r="A6" i="33"/>
  <c r="B6" i="33"/>
  <c r="A7" i="33"/>
  <c r="B7" i="33"/>
  <c r="A8" i="33"/>
  <c r="B8" i="33"/>
  <c r="A9" i="33"/>
  <c r="B9" i="33"/>
  <c r="A10" i="33"/>
  <c r="B10" i="33"/>
  <c r="A11" i="33"/>
  <c r="B11" i="33"/>
  <c r="A12" i="33"/>
  <c r="B12" i="33"/>
  <c r="A13" i="33"/>
  <c r="B13" i="33"/>
  <c r="A14" i="33"/>
  <c r="B14" i="33"/>
  <c r="A15" i="33"/>
  <c r="B15" i="33"/>
  <c r="A16" i="33"/>
  <c r="B16" i="33"/>
  <c r="A17" i="33"/>
  <c r="B17" i="33"/>
  <c r="A18" i="33"/>
  <c r="B18" i="33"/>
  <c r="A19" i="33"/>
  <c r="B19" i="33"/>
  <c r="A20" i="33"/>
  <c r="B20" i="33"/>
  <c r="A21" i="33"/>
  <c r="B21" i="33"/>
  <c r="A22" i="33"/>
  <c r="B22" i="33"/>
  <c r="A23" i="33"/>
  <c r="B23" i="33"/>
  <c r="A24" i="33"/>
  <c r="B24" i="33"/>
  <c r="A25" i="33"/>
  <c r="B25" i="33"/>
  <c r="A26" i="33"/>
  <c r="B26" i="33"/>
  <c r="A27" i="33"/>
  <c r="B27" i="33"/>
  <c r="A28" i="33"/>
  <c r="B28" i="33"/>
  <c r="A29" i="33"/>
  <c r="B29" i="33"/>
  <c r="A30" i="33"/>
  <c r="B30" i="33"/>
  <c r="A31" i="33"/>
  <c r="B31" i="33"/>
  <c r="A32" i="33"/>
  <c r="B32" i="33"/>
  <c r="A33" i="33"/>
  <c r="B33" i="33"/>
  <c r="A34" i="33"/>
  <c r="B34" i="33"/>
  <c r="A35" i="33"/>
  <c r="B35" i="33"/>
  <c r="A36" i="33"/>
  <c r="B36" i="33"/>
  <c r="A37" i="33"/>
  <c r="B37" i="33"/>
  <c r="A38" i="33"/>
  <c r="B38" i="33"/>
  <c r="A39" i="33"/>
  <c r="B39" i="33"/>
  <c r="A40" i="33"/>
  <c r="B40" i="33"/>
  <c r="A41" i="33"/>
  <c r="B41" i="33"/>
  <c r="A42" i="33"/>
  <c r="B42" i="33"/>
  <c r="A43" i="33"/>
  <c r="B43" i="33"/>
  <c r="A44" i="33"/>
  <c r="B44" i="33"/>
  <c r="A45" i="33"/>
  <c r="B45" i="33"/>
  <c r="A46" i="33"/>
  <c r="B46" i="33"/>
  <c r="A47" i="33"/>
  <c r="B47" i="33"/>
  <c r="A48" i="33"/>
  <c r="B48" i="33"/>
  <c r="A49" i="33"/>
  <c r="B49" i="33"/>
  <c r="A50" i="33"/>
  <c r="B50" i="33"/>
  <c r="A51" i="33"/>
  <c r="B51" i="33"/>
  <c r="A52" i="33"/>
  <c r="B52" i="33"/>
  <c r="A53" i="33"/>
  <c r="B53" i="33"/>
  <c r="A54" i="33"/>
  <c r="B54" i="33"/>
  <c r="A55" i="33"/>
  <c r="B55" i="33"/>
  <c r="A56" i="33"/>
  <c r="B56" i="33"/>
  <c r="A57" i="33"/>
  <c r="B57" i="33"/>
  <c r="A58" i="33"/>
  <c r="B58" i="33"/>
  <c r="A59" i="33"/>
  <c r="B59" i="33"/>
  <c r="A60" i="33"/>
  <c r="B60" i="33"/>
  <c r="A61" i="33"/>
  <c r="B61" i="33"/>
  <c r="A62" i="33"/>
  <c r="B62" i="33"/>
  <c r="A63" i="33"/>
  <c r="B63" i="33"/>
  <c r="A64" i="33"/>
  <c r="B64" i="33"/>
  <c r="A65" i="33"/>
  <c r="B65" i="33"/>
  <c r="A66" i="33"/>
  <c r="B66" i="33"/>
  <c r="A67" i="33"/>
  <c r="B67" i="33"/>
  <c r="A68" i="33"/>
  <c r="B68" i="33"/>
  <c r="A69" i="33"/>
  <c r="B69" i="33"/>
  <c r="A70" i="33"/>
  <c r="B70" i="33"/>
  <c r="A71" i="33"/>
  <c r="B71" i="33"/>
  <c r="A72" i="33"/>
  <c r="B72" i="33"/>
  <c r="A73" i="33"/>
  <c r="B73" i="33"/>
  <c r="A74" i="33"/>
  <c r="B74" i="33"/>
  <c r="A75" i="33"/>
  <c r="B75" i="33"/>
  <c r="A76" i="33"/>
  <c r="B76" i="33"/>
  <c r="A77" i="33"/>
  <c r="B77" i="33"/>
  <c r="A78" i="33"/>
  <c r="B78" i="33"/>
  <c r="A79" i="33"/>
  <c r="B79" i="33"/>
  <c r="A80" i="33"/>
  <c r="B80" i="33"/>
  <c r="A81" i="33"/>
  <c r="B81" i="33"/>
  <c r="A82" i="33"/>
  <c r="B82" i="33"/>
  <c r="A83" i="33"/>
  <c r="B83" i="33"/>
  <c r="A84" i="33"/>
  <c r="B84" i="33"/>
  <c r="A85" i="33"/>
  <c r="B85" i="33"/>
  <c r="A86" i="33"/>
  <c r="B86" i="33"/>
  <c r="A87" i="33"/>
  <c r="B87" i="33"/>
  <c r="A88" i="33"/>
  <c r="B88" i="33"/>
  <c r="A89" i="33"/>
  <c r="B89" i="33"/>
  <c r="A90" i="33"/>
  <c r="B90" i="33"/>
  <c r="A91" i="33"/>
  <c r="B91" i="33"/>
  <c r="A92" i="33"/>
  <c r="B92" i="33"/>
  <c r="A93" i="33"/>
  <c r="B93" i="33"/>
  <c r="A94" i="33"/>
  <c r="B94" i="33"/>
  <c r="A95" i="33"/>
  <c r="B95" i="33"/>
  <c r="A96" i="33"/>
  <c r="B96" i="33"/>
  <c r="A97" i="33"/>
  <c r="B97" i="33"/>
  <c r="A98" i="33"/>
  <c r="B98" i="33"/>
  <c r="A99" i="33"/>
  <c r="B99" i="33"/>
  <c r="A100" i="33"/>
  <c r="B100" i="33"/>
  <c r="A101" i="33"/>
  <c r="B101" i="33"/>
  <c r="A102" i="33"/>
  <c r="B102" i="33"/>
  <c r="A103" i="33"/>
  <c r="B103" i="33"/>
  <c r="A104" i="33"/>
  <c r="B104" i="33"/>
  <c r="A105" i="33"/>
  <c r="B105" i="33"/>
  <c r="A106" i="33"/>
  <c r="B106" i="33"/>
  <c r="A107" i="33"/>
  <c r="B107" i="33"/>
  <c r="A108" i="33"/>
  <c r="B108" i="33"/>
  <c r="A109" i="33"/>
  <c r="B109" i="33"/>
  <c r="A110" i="33"/>
  <c r="B110" i="33"/>
  <c r="A111" i="33"/>
  <c r="B111" i="33"/>
  <c r="A112" i="33"/>
  <c r="B112" i="33"/>
  <c r="A113" i="33"/>
  <c r="B113" i="33"/>
  <c r="A114" i="33"/>
  <c r="B114" i="33"/>
  <c r="A115" i="33"/>
  <c r="B115" i="33"/>
  <c r="A116" i="33"/>
  <c r="B116" i="33"/>
  <c r="A117" i="33"/>
  <c r="B117" i="33"/>
  <c r="A118" i="33"/>
  <c r="B118" i="33"/>
  <c r="A119" i="33"/>
  <c r="B119" i="33"/>
  <c r="A120" i="33"/>
  <c r="B120" i="33"/>
  <c r="A121" i="33"/>
  <c r="B121" i="33"/>
  <c r="A122" i="33"/>
  <c r="B122" i="33"/>
  <c r="A123" i="33"/>
  <c r="B123" i="33"/>
  <c r="A124" i="33"/>
  <c r="B124" i="33"/>
  <c r="A125" i="33"/>
  <c r="B125" i="33"/>
  <c r="A126" i="33"/>
  <c r="B126" i="33"/>
  <c r="A127" i="33"/>
  <c r="B127" i="33"/>
  <c r="A128" i="33"/>
  <c r="B128" i="33"/>
  <c r="A129" i="33"/>
  <c r="B129" i="33"/>
  <c r="A130" i="33"/>
  <c r="B130" i="33"/>
  <c r="A131" i="33"/>
  <c r="B131" i="33"/>
  <c r="A132" i="33"/>
  <c r="B132" i="33"/>
  <c r="A133" i="33"/>
  <c r="B133" i="33"/>
  <c r="A134" i="33"/>
  <c r="B134" i="33"/>
  <c r="A135" i="33"/>
  <c r="B135" i="33"/>
  <c r="A136" i="33"/>
  <c r="B136" i="33"/>
  <c r="A137" i="33"/>
  <c r="B137" i="33"/>
  <c r="A138" i="33"/>
  <c r="B138" i="33"/>
  <c r="A139" i="33"/>
  <c r="B139" i="33"/>
  <c r="A140" i="33"/>
  <c r="B140" i="33"/>
  <c r="A141" i="33"/>
  <c r="B141" i="33"/>
  <c r="A142" i="33"/>
  <c r="B142" i="33"/>
  <c r="A143" i="33"/>
  <c r="B143" i="33"/>
  <c r="A144" i="33"/>
  <c r="B144" i="33"/>
  <c r="A145" i="33"/>
  <c r="B145" i="33"/>
  <c r="A146" i="33"/>
  <c r="B146" i="33"/>
  <c r="A147" i="33"/>
  <c r="B147" i="33"/>
  <c r="A148" i="33"/>
  <c r="B148" i="33"/>
  <c r="A149" i="33"/>
  <c r="B149" i="33"/>
  <c r="A150" i="33"/>
  <c r="B150" i="33"/>
  <c r="A151" i="33"/>
  <c r="B151" i="33"/>
  <c r="A152" i="33"/>
  <c r="B152" i="33"/>
  <c r="A153" i="33"/>
  <c r="B153" i="33"/>
  <c r="A154" i="33"/>
  <c r="B154" i="33"/>
  <c r="A155" i="33"/>
  <c r="B155" i="33"/>
  <c r="A156" i="33"/>
  <c r="B156" i="33"/>
  <c r="A157" i="33"/>
  <c r="B157" i="33"/>
  <c r="A158" i="33"/>
  <c r="B158" i="33"/>
  <c r="A159" i="33"/>
  <c r="B159" i="33"/>
  <c r="A160" i="33"/>
  <c r="B160" i="33"/>
  <c r="A161" i="33"/>
  <c r="B161" i="33"/>
  <c r="A162" i="33"/>
  <c r="B162" i="33"/>
  <c r="A163" i="33"/>
  <c r="B163" i="33"/>
  <c r="A164" i="33"/>
  <c r="B164" i="33"/>
  <c r="A165" i="33"/>
  <c r="B165" i="33"/>
  <c r="A166" i="33"/>
  <c r="B166" i="33"/>
  <c r="A167" i="33"/>
  <c r="B167" i="33"/>
  <c r="A168" i="33"/>
  <c r="B168" i="33"/>
  <c r="A169" i="33"/>
  <c r="B169" i="33"/>
  <c r="A170" i="33"/>
  <c r="B170" i="33"/>
  <c r="A171" i="33"/>
  <c r="B171" i="33"/>
  <c r="A172" i="33"/>
  <c r="B172" i="33"/>
  <c r="A173" i="33"/>
  <c r="B173" i="33"/>
  <c r="A174" i="33"/>
  <c r="B174" i="33"/>
  <c r="A175" i="33"/>
  <c r="B175" i="33"/>
  <c r="A176" i="33"/>
  <c r="B176" i="33"/>
  <c r="A177" i="33"/>
  <c r="B177" i="33"/>
  <c r="A178" i="33"/>
  <c r="B178" i="33"/>
  <c r="A179" i="33"/>
  <c r="B179" i="33"/>
  <c r="A180" i="33"/>
  <c r="B180" i="33"/>
  <c r="A181" i="33"/>
  <c r="B181" i="33"/>
  <c r="A182" i="33"/>
  <c r="B182" i="33"/>
  <c r="A183" i="33"/>
  <c r="B183" i="33"/>
  <c r="A184" i="33"/>
  <c r="B184" i="33"/>
  <c r="A185" i="33"/>
  <c r="B185" i="33"/>
  <c r="A186" i="33"/>
  <c r="B186" i="33"/>
  <c r="A187" i="33"/>
  <c r="B187" i="33"/>
  <c r="A188" i="33"/>
  <c r="B188" i="33"/>
  <c r="A189" i="33"/>
  <c r="B189" i="33"/>
  <c r="A190" i="33"/>
  <c r="B190" i="33"/>
  <c r="A191" i="33"/>
  <c r="B191" i="33"/>
  <c r="A192" i="33"/>
  <c r="B192" i="33"/>
  <c r="A193" i="33"/>
  <c r="B193" i="33"/>
  <c r="A194" i="33"/>
  <c r="B194" i="33"/>
  <c r="A195" i="33"/>
  <c r="B195" i="33"/>
  <c r="A196" i="33"/>
  <c r="B196" i="33"/>
  <c r="A197" i="33"/>
  <c r="B197" i="33"/>
  <c r="A198" i="33"/>
  <c r="B198" i="33"/>
  <c r="A199" i="33"/>
  <c r="B199" i="33"/>
  <c r="A200" i="33"/>
  <c r="B200" i="33"/>
  <c r="A201" i="33"/>
  <c r="B201" i="33"/>
  <c r="A202" i="33"/>
  <c r="B202" i="33"/>
  <c r="A203" i="33"/>
  <c r="B203" i="33"/>
  <c r="A204" i="33"/>
  <c r="B204" i="33"/>
  <c r="A205" i="33"/>
  <c r="B205" i="33"/>
  <c r="A206" i="33"/>
  <c r="B206" i="33"/>
  <c r="A207" i="33"/>
  <c r="B207" i="33"/>
  <c r="A208" i="33"/>
  <c r="B208" i="33"/>
  <c r="A209" i="33"/>
  <c r="B209" i="33"/>
  <c r="A210" i="33"/>
  <c r="B210" i="33"/>
  <c r="A211" i="33"/>
  <c r="B211" i="33"/>
  <c r="A212" i="33"/>
  <c r="B212" i="33"/>
  <c r="A213" i="33"/>
  <c r="B213" i="33"/>
  <c r="A214" i="33"/>
  <c r="B214" i="33"/>
  <c r="A215" i="33"/>
  <c r="B215" i="33"/>
  <c r="A216" i="33"/>
  <c r="B216" i="33"/>
  <c r="A217" i="33"/>
  <c r="B217" i="33"/>
  <c r="A218" i="33"/>
  <c r="B218" i="33"/>
  <c r="A219" i="33"/>
  <c r="B219" i="33"/>
  <c r="A220" i="33"/>
  <c r="B220" i="33"/>
  <c r="A221" i="33"/>
  <c r="B221" i="33"/>
  <c r="A222" i="33"/>
  <c r="B222" i="33"/>
  <c r="A223" i="33"/>
  <c r="B223" i="33"/>
  <c r="A224" i="33"/>
  <c r="B224" i="33"/>
  <c r="A225" i="33"/>
  <c r="B225" i="33"/>
  <c r="A226" i="33"/>
  <c r="B226" i="33"/>
  <c r="A227" i="33"/>
  <c r="B227" i="33"/>
  <c r="A228" i="33"/>
  <c r="B228" i="33"/>
  <c r="A229" i="33"/>
  <c r="B229" i="33"/>
  <c r="A230" i="33"/>
  <c r="B230" i="33"/>
  <c r="A231" i="33"/>
  <c r="B231" i="33"/>
  <c r="A232" i="33"/>
  <c r="B232" i="33"/>
  <c r="A233" i="33"/>
  <c r="B233" i="33"/>
  <c r="A234" i="33"/>
  <c r="B234" i="33"/>
  <c r="A235" i="33"/>
  <c r="B235" i="33"/>
  <c r="A236" i="33"/>
  <c r="B236" i="33"/>
  <c r="A237" i="33"/>
  <c r="B237" i="33"/>
  <c r="A238" i="33"/>
  <c r="B238" i="33"/>
  <c r="A239" i="33"/>
  <c r="B239" i="33"/>
  <c r="A240" i="33"/>
  <c r="B240" i="33"/>
  <c r="A241" i="33"/>
  <c r="B241" i="33"/>
  <c r="A242" i="33"/>
  <c r="B242" i="33"/>
  <c r="A243" i="33"/>
  <c r="B243" i="33"/>
  <c r="A244" i="33"/>
  <c r="B244" i="33"/>
  <c r="A245" i="33"/>
  <c r="B245" i="33"/>
  <c r="A246" i="33"/>
  <c r="B246" i="33"/>
  <c r="A247" i="33"/>
  <c r="B247" i="33"/>
  <c r="A248" i="33"/>
  <c r="B248" i="33"/>
  <c r="A249" i="33"/>
  <c r="B249" i="33"/>
  <c r="A250" i="33"/>
  <c r="B250" i="33"/>
  <c r="A251" i="33"/>
  <c r="B251" i="33"/>
  <c r="A252" i="33"/>
  <c r="B252" i="33"/>
  <c r="A253" i="33"/>
  <c r="B253" i="33"/>
  <c r="A254" i="33"/>
  <c r="B254" i="33"/>
  <c r="A255" i="33"/>
  <c r="B255" i="33"/>
  <c r="A256" i="33"/>
  <c r="B256" i="33"/>
  <c r="A257" i="33"/>
  <c r="B257" i="33"/>
  <c r="A258" i="33"/>
  <c r="B258" i="33"/>
  <c r="A259" i="33"/>
  <c r="B259" i="33"/>
  <c r="A260" i="33"/>
  <c r="B260" i="33"/>
  <c r="A261" i="33"/>
  <c r="B261" i="33"/>
  <c r="A262" i="33"/>
  <c r="B262" i="33"/>
  <c r="A263" i="33"/>
  <c r="B263" i="33"/>
  <c r="A264" i="33"/>
  <c r="B264" i="33"/>
  <c r="A265" i="33"/>
  <c r="B265" i="33"/>
  <c r="A266" i="33"/>
  <c r="B266" i="33"/>
  <c r="A267" i="33"/>
  <c r="B267" i="33"/>
  <c r="A268" i="33"/>
  <c r="B268" i="33"/>
  <c r="A269" i="33"/>
  <c r="B269" i="33"/>
  <c r="A270" i="33"/>
  <c r="B270" i="33"/>
  <c r="A271" i="33"/>
  <c r="B271" i="33"/>
  <c r="A272" i="33"/>
  <c r="B272" i="33"/>
  <c r="A273" i="33"/>
  <c r="B273" i="33"/>
  <c r="A274" i="33"/>
  <c r="B274" i="33"/>
  <c r="A275" i="33"/>
  <c r="B275" i="33"/>
  <c r="A276" i="33"/>
  <c r="B276" i="33"/>
  <c r="A277" i="33"/>
  <c r="B277" i="33"/>
  <c r="A278" i="33"/>
  <c r="B278" i="33"/>
  <c r="A279" i="33"/>
  <c r="B279" i="33"/>
  <c r="A280" i="33"/>
  <c r="B280" i="33"/>
  <c r="A281" i="33"/>
  <c r="B281" i="33"/>
  <c r="A282" i="33"/>
  <c r="B282" i="33"/>
  <c r="A283" i="33"/>
  <c r="B283" i="33"/>
  <c r="A284" i="33"/>
  <c r="B284" i="33"/>
  <c r="A285" i="33"/>
  <c r="B285" i="33"/>
  <c r="A286" i="33"/>
  <c r="B286" i="33"/>
  <c r="A287" i="33"/>
  <c r="B287" i="33"/>
  <c r="A288" i="33"/>
  <c r="B288" i="33"/>
  <c r="A289" i="33"/>
  <c r="B289" i="33"/>
  <c r="A290" i="33"/>
  <c r="B290" i="33"/>
  <c r="A291" i="33"/>
  <c r="B291" i="33"/>
  <c r="A292" i="33"/>
  <c r="B292" i="33"/>
  <c r="A293" i="33"/>
  <c r="B293" i="33"/>
  <c r="A294" i="33"/>
  <c r="B294" i="33"/>
  <c r="A295" i="33"/>
  <c r="B295" i="33"/>
  <c r="A296" i="33"/>
  <c r="B296" i="33"/>
  <c r="A297" i="33"/>
  <c r="B297" i="33"/>
  <c r="A298" i="33"/>
  <c r="B298" i="33"/>
  <c r="A299" i="33"/>
  <c r="B299" i="33"/>
  <c r="A300" i="33"/>
  <c r="B300" i="33"/>
  <c r="A301" i="33"/>
  <c r="B301" i="33"/>
  <c r="A302" i="33"/>
  <c r="B302" i="33"/>
  <c r="A303" i="33"/>
  <c r="B303" i="33"/>
  <c r="A304" i="33"/>
  <c r="B304" i="33"/>
  <c r="A305" i="33"/>
  <c r="B305" i="33"/>
  <c r="A306" i="33"/>
  <c r="B306" i="33"/>
  <c r="A307" i="33"/>
  <c r="B307" i="33"/>
  <c r="A308" i="33"/>
  <c r="B308" i="33"/>
  <c r="A309" i="33"/>
  <c r="B309" i="33"/>
  <c r="A310" i="33"/>
  <c r="B310" i="33"/>
  <c r="A311" i="33"/>
  <c r="B311" i="33"/>
  <c r="A312" i="33"/>
  <c r="B312" i="33"/>
  <c r="A313" i="33"/>
  <c r="B313" i="33"/>
  <c r="A314" i="33"/>
  <c r="B314" i="33"/>
  <c r="A315" i="33"/>
  <c r="B315" i="33"/>
  <c r="A316" i="33"/>
  <c r="B316" i="33"/>
  <c r="A317" i="33"/>
  <c r="B317" i="33"/>
  <c r="A318" i="33"/>
  <c r="B318" i="33"/>
  <c r="A319" i="33"/>
  <c r="B319" i="33"/>
  <c r="A320" i="33"/>
  <c r="B320" i="33"/>
  <c r="A321" i="33"/>
  <c r="B321" i="33"/>
  <c r="A322" i="33"/>
  <c r="B322" i="33"/>
  <c r="B5" i="33"/>
  <c r="A5" i="33"/>
  <c r="A6" i="32"/>
  <c r="B6" i="32"/>
  <c r="A7" i="32"/>
  <c r="B7" i="32"/>
  <c r="A8" i="32"/>
  <c r="B8" i="32"/>
  <c r="A9" i="32"/>
  <c r="B9" i="32"/>
  <c r="A10" i="32"/>
  <c r="B10" i="32"/>
  <c r="A11" i="32"/>
  <c r="B11" i="32"/>
  <c r="A12" i="32"/>
  <c r="B12" i="32"/>
  <c r="A13" i="32"/>
  <c r="B13" i="32"/>
  <c r="A14" i="32"/>
  <c r="B14" i="32"/>
  <c r="A15" i="32"/>
  <c r="B15" i="32"/>
  <c r="A16" i="32"/>
  <c r="B16" i="32"/>
  <c r="A17" i="32"/>
  <c r="B17" i="32"/>
  <c r="A18" i="32"/>
  <c r="B18" i="32"/>
  <c r="A19" i="32"/>
  <c r="B19" i="32"/>
  <c r="A20" i="32"/>
  <c r="B20" i="32"/>
  <c r="A21" i="32"/>
  <c r="B21" i="32"/>
  <c r="A22" i="32"/>
  <c r="B22" i="32"/>
  <c r="A23" i="32"/>
  <c r="B23" i="32"/>
  <c r="A24" i="32"/>
  <c r="B24" i="32"/>
  <c r="A25" i="32"/>
  <c r="B25" i="32"/>
  <c r="A26" i="32"/>
  <c r="B26" i="32"/>
  <c r="A27" i="32"/>
  <c r="B27" i="32"/>
  <c r="A28" i="32"/>
  <c r="B28" i="32"/>
  <c r="A29" i="32"/>
  <c r="B29" i="32"/>
  <c r="A30" i="32"/>
  <c r="B30" i="32"/>
  <c r="A31" i="32"/>
  <c r="B31" i="32"/>
  <c r="A32" i="32"/>
  <c r="B32" i="32"/>
  <c r="A33" i="32"/>
  <c r="B33" i="32"/>
  <c r="A34" i="32"/>
  <c r="B34" i="32"/>
  <c r="A35" i="32"/>
  <c r="B35" i="32"/>
  <c r="A36" i="32"/>
  <c r="B36" i="32"/>
  <c r="A37" i="32"/>
  <c r="B37" i="32"/>
  <c r="A38" i="32"/>
  <c r="B38" i="32"/>
  <c r="A39" i="32"/>
  <c r="B39" i="32"/>
  <c r="A40" i="32"/>
  <c r="B40" i="32"/>
  <c r="A41" i="32"/>
  <c r="B41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A49" i="32"/>
  <c r="B49" i="32"/>
  <c r="A50" i="32"/>
  <c r="B50" i="32"/>
  <c r="A51" i="32"/>
  <c r="B51" i="32"/>
  <c r="A52" i="32"/>
  <c r="B52" i="32"/>
  <c r="A53" i="32"/>
  <c r="B53" i="32"/>
  <c r="A54" i="32"/>
  <c r="B54" i="32"/>
  <c r="A55" i="32"/>
  <c r="B55" i="32"/>
  <c r="A56" i="32"/>
  <c r="B56" i="32"/>
  <c r="A57" i="32"/>
  <c r="B57" i="32"/>
  <c r="A58" i="32"/>
  <c r="B58" i="32"/>
  <c r="A59" i="32"/>
  <c r="B59" i="32"/>
  <c r="A60" i="32"/>
  <c r="B60" i="32"/>
  <c r="A61" i="32"/>
  <c r="B61" i="32"/>
  <c r="A62" i="32"/>
  <c r="B62" i="32"/>
  <c r="A63" i="32"/>
  <c r="B63" i="32"/>
  <c r="A64" i="32"/>
  <c r="B64" i="32"/>
  <c r="A65" i="32"/>
  <c r="B65" i="32"/>
  <c r="A66" i="32"/>
  <c r="B66" i="32"/>
  <c r="A67" i="32"/>
  <c r="B67" i="32"/>
  <c r="A68" i="32"/>
  <c r="B68" i="32"/>
  <c r="A69" i="32"/>
  <c r="B69" i="32"/>
  <c r="A70" i="32"/>
  <c r="B70" i="32"/>
  <c r="A71" i="32"/>
  <c r="B71" i="32"/>
  <c r="A72" i="32"/>
  <c r="B72" i="32"/>
  <c r="A73" i="32"/>
  <c r="B73" i="32"/>
  <c r="A74" i="32"/>
  <c r="B74" i="32"/>
  <c r="A75" i="32"/>
  <c r="B75" i="32"/>
  <c r="A76" i="32"/>
  <c r="B76" i="32"/>
  <c r="A77" i="32"/>
  <c r="B77" i="32"/>
  <c r="A78" i="32"/>
  <c r="B78" i="32"/>
  <c r="A79" i="32"/>
  <c r="B79" i="32"/>
  <c r="A80" i="32"/>
  <c r="B80" i="32"/>
  <c r="A81" i="32"/>
  <c r="B81" i="32"/>
  <c r="A82" i="32"/>
  <c r="B82" i="32"/>
  <c r="A83" i="32"/>
  <c r="B83" i="32"/>
  <c r="A84" i="32"/>
  <c r="B84" i="32"/>
  <c r="A85" i="32"/>
  <c r="B85" i="32"/>
  <c r="A86" i="32"/>
  <c r="B86" i="32"/>
  <c r="A87" i="32"/>
  <c r="B87" i="32"/>
  <c r="A88" i="32"/>
  <c r="B88" i="32"/>
  <c r="A89" i="32"/>
  <c r="B89" i="32"/>
  <c r="A90" i="32"/>
  <c r="B90" i="32"/>
  <c r="A91" i="32"/>
  <c r="B91" i="32"/>
  <c r="A92" i="32"/>
  <c r="B92" i="32"/>
  <c r="A93" i="32"/>
  <c r="B93" i="32"/>
  <c r="A94" i="32"/>
  <c r="B94" i="32"/>
  <c r="A95" i="32"/>
  <c r="B95" i="32"/>
  <c r="A96" i="32"/>
  <c r="B96" i="32"/>
  <c r="A97" i="32"/>
  <c r="B97" i="32"/>
  <c r="A98" i="32"/>
  <c r="B98" i="32"/>
  <c r="A99" i="32"/>
  <c r="B99" i="32"/>
  <c r="A100" i="32"/>
  <c r="B100" i="32"/>
  <c r="A101" i="32"/>
  <c r="B101" i="32"/>
  <c r="A102" i="32"/>
  <c r="B102" i="32"/>
  <c r="A103" i="32"/>
  <c r="B103" i="32"/>
  <c r="A104" i="32"/>
  <c r="B104" i="32"/>
  <c r="A105" i="32"/>
  <c r="B105" i="32"/>
  <c r="A106" i="32"/>
  <c r="B106" i="32"/>
  <c r="A107" i="32"/>
  <c r="B107" i="32"/>
  <c r="A108" i="32"/>
  <c r="B108" i="32"/>
  <c r="A109" i="32"/>
  <c r="B109" i="32"/>
  <c r="A110" i="32"/>
  <c r="B110" i="32"/>
  <c r="A111" i="32"/>
  <c r="B111" i="32"/>
  <c r="A112" i="32"/>
  <c r="B112" i="32"/>
  <c r="A113" i="32"/>
  <c r="B113" i="32"/>
  <c r="A114" i="32"/>
  <c r="B114" i="32"/>
  <c r="A115" i="32"/>
  <c r="B115" i="32"/>
  <c r="A116" i="32"/>
  <c r="B116" i="32"/>
  <c r="A117" i="32"/>
  <c r="B117" i="32"/>
  <c r="A118" i="32"/>
  <c r="B118" i="32"/>
  <c r="A119" i="32"/>
  <c r="B119" i="32"/>
  <c r="A120" i="32"/>
  <c r="B120" i="32"/>
  <c r="A121" i="32"/>
  <c r="B121" i="32"/>
  <c r="A122" i="32"/>
  <c r="B122" i="32"/>
  <c r="A123" i="32"/>
  <c r="B123" i="32"/>
  <c r="A124" i="32"/>
  <c r="B124" i="32"/>
  <c r="A125" i="32"/>
  <c r="B125" i="32"/>
  <c r="A126" i="32"/>
  <c r="B126" i="32"/>
  <c r="A127" i="32"/>
  <c r="B127" i="32"/>
  <c r="A128" i="32"/>
  <c r="B128" i="32"/>
  <c r="A129" i="32"/>
  <c r="B129" i="32"/>
  <c r="A130" i="32"/>
  <c r="B130" i="32"/>
  <c r="A131" i="32"/>
  <c r="B131" i="32"/>
  <c r="A132" i="32"/>
  <c r="B132" i="32"/>
  <c r="A133" i="32"/>
  <c r="B133" i="32"/>
  <c r="A134" i="32"/>
  <c r="B134" i="32"/>
  <c r="A135" i="32"/>
  <c r="B135" i="32"/>
  <c r="A136" i="32"/>
  <c r="B136" i="32"/>
  <c r="A137" i="32"/>
  <c r="B137" i="32"/>
  <c r="A138" i="32"/>
  <c r="B138" i="32"/>
  <c r="A139" i="32"/>
  <c r="B139" i="32"/>
  <c r="A140" i="32"/>
  <c r="B140" i="32"/>
  <c r="A141" i="32"/>
  <c r="B141" i="32"/>
  <c r="A142" i="32"/>
  <c r="B142" i="32"/>
  <c r="A143" i="32"/>
  <c r="B143" i="32"/>
  <c r="A144" i="32"/>
  <c r="B144" i="32"/>
  <c r="A145" i="32"/>
  <c r="B145" i="32"/>
  <c r="A146" i="32"/>
  <c r="B146" i="32"/>
  <c r="A147" i="32"/>
  <c r="B147" i="32"/>
  <c r="A148" i="32"/>
  <c r="B148" i="32"/>
  <c r="A149" i="32"/>
  <c r="B149" i="32"/>
  <c r="A150" i="32"/>
  <c r="B150" i="32"/>
  <c r="A151" i="32"/>
  <c r="B151" i="32"/>
  <c r="A152" i="32"/>
  <c r="B152" i="32"/>
  <c r="A153" i="32"/>
  <c r="B153" i="32"/>
  <c r="A154" i="32"/>
  <c r="B154" i="32"/>
  <c r="A155" i="32"/>
  <c r="B155" i="32"/>
  <c r="A156" i="32"/>
  <c r="B156" i="32"/>
  <c r="A157" i="32"/>
  <c r="B157" i="32"/>
  <c r="A158" i="32"/>
  <c r="B158" i="32"/>
  <c r="A159" i="32"/>
  <c r="B159" i="32"/>
  <c r="A160" i="32"/>
  <c r="B160" i="32"/>
  <c r="A161" i="32"/>
  <c r="B161" i="32"/>
  <c r="A162" i="32"/>
  <c r="B162" i="32"/>
  <c r="A163" i="32"/>
  <c r="B163" i="32"/>
  <c r="A164" i="32"/>
  <c r="B164" i="32"/>
  <c r="A165" i="32"/>
  <c r="B165" i="32"/>
  <c r="A166" i="32"/>
  <c r="B166" i="32"/>
  <c r="A167" i="32"/>
  <c r="B167" i="32"/>
  <c r="A168" i="32"/>
  <c r="B168" i="32"/>
  <c r="A169" i="32"/>
  <c r="B169" i="32"/>
  <c r="A170" i="32"/>
  <c r="B170" i="32"/>
  <c r="A171" i="32"/>
  <c r="B171" i="32"/>
  <c r="A172" i="32"/>
  <c r="B172" i="32"/>
  <c r="A173" i="32"/>
  <c r="B173" i="32"/>
  <c r="A174" i="32"/>
  <c r="B174" i="32"/>
  <c r="A175" i="32"/>
  <c r="B175" i="32"/>
  <c r="A176" i="32"/>
  <c r="B176" i="32"/>
  <c r="A177" i="32"/>
  <c r="B177" i="32"/>
  <c r="A178" i="32"/>
  <c r="B178" i="32"/>
  <c r="A179" i="32"/>
  <c r="B179" i="32"/>
  <c r="A180" i="32"/>
  <c r="B180" i="32"/>
  <c r="A181" i="32"/>
  <c r="B181" i="32"/>
  <c r="A182" i="32"/>
  <c r="B182" i="32"/>
  <c r="A183" i="32"/>
  <c r="B183" i="32"/>
  <c r="A184" i="32"/>
  <c r="B184" i="32"/>
  <c r="A185" i="32"/>
  <c r="B185" i="32"/>
  <c r="A186" i="32"/>
  <c r="B186" i="32"/>
  <c r="A187" i="32"/>
  <c r="B187" i="32"/>
  <c r="A188" i="32"/>
  <c r="B188" i="32"/>
  <c r="A189" i="32"/>
  <c r="B189" i="32"/>
  <c r="A190" i="32"/>
  <c r="B190" i="32"/>
  <c r="A191" i="32"/>
  <c r="B191" i="32"/>
  <c r="A192" i="32"/>
  <c r="B192" i="32"/>
  <c r="A193" i="32"/>
  <c r="B193" i="32"/>
  <c r="A194" i="32"/>
  <c r="B194" i="32"/>
  <c r="A195" i="32"/>
  <c r="B195" i="32"/>
  <c r="A196" i="32"/>
  <c r="B196" i="32"/>
  <c r="A197" i="32"/>
  <c r="B197" i="32"/>
  <c r="A198" i="32"/>
  <c r="B198" i="32"/>
  <c r="A199" i="32"/>
  <c r="B199" i="32"/>
  <c r="A200" i="32"/>
  <c r="B200" i="32"/>
  <c r="A201" i="32"/>
  <c r="B201" i="32"/>
  <c r="A202" i="32"/>
  <c r="B202" i="32"/>
  <c r="A203" i="32"/>
  <c r="B203" i="32"/>
  <c r="A204" i="32"/>
  <c r="B204" i="32"/>
  <c r="A205" i="32"/>
  <c r="B205" i="32"/>
  <c r="A206" i="32"/>
  <c r="B206" i="32"/>
  <c r="A207" i="32"/>
  <c r="B207" i="32"/>
  <c r="A208" i="32"/>
  <c r="B208" i="32"/>
  <c r="A209" i="32"/>
  <c r="B209" i="32"/>
  <c r="A210" i="32"/>
  <c r="B210" i="32"/>
  <c r="A211" i="32"/>
  <c r="B211" i="32"/>
  <c r="A212" i="32"/>
  <c r="B212" i="32"/>
  <c r="A213" i="32"/>
  <c r="B213" i="32"/>
  <c r="A214" i="32"/>
  <c r="B214" i="32"/>
  <c r="A215" i="32"/>
  <c r="B215" i="32"/>
  <c r="A216" i="32"/>
  <c r="B216" i="32"/>
  <c r="A217" i="32"/>
  <c r="B217" i="32"/>
  <c r="A218" i="32"/>
  <c r="B218" i="32"/>
  <c r="A219" i="32"/>
  <c r="B219" i="32"/>
  <c r="A220" i="32"/>
  <c r="B220" i="32"/>
  <c r="A221" i="32"/>
  <c r="B221" i="32"/>
  <c r="A222" i="32"/>
  <c r="B222" i="32"/>
  <c r="A223" i="32"/>
  <c r="B223" i="32"/>
  <c r="A224" i="32"/>
  <c r="B224" i="32"/>
  <c r="A225" i="32"/>
  <c r="B225" i="32"/>
  <c r="A226" i="32"/>
  <c r="B226" i="32"/>
  <c r="A227" i="32"/>
  <c r="B227" i="32"/>
  <c r="A228" i="32"/>
  <c r="B228" i="32"/>
  <c r="A229" i="32"/>
  <c r="B229" i="32"/>
  <c r="A230" i="32"/>
  <c r="B230" i="32"/>
  <c r="A231" i="32"/>
  <c r="B231" i="32"/>
  <c r="A232" i="32"/>
  <c r="B232" i="32"/>
  <c r="A233" i="32"/>
  <c r="B233" i="32"/>
  <c r="A234" i="32"/>
  <c r="B234" i="32"/>
  <c r="A235" i="32"/>
  <c r="B235" i="32"/>
  <c r="A236" i="32"/>
  <c r="B236" i="32"/>
  <c r="A237" i="32"/>
  <c r="B237" i="32"/>
  <c r="A238" i="32"/>
  <c r="B238" i="32"/>
  <c r="A239" i="32"/>
  <c r="B239" i="32"/>
  <c r="A240" i="32"/>
  <c r="B240" i="32"/>
  <c r="A241" i="32"/>
  <c r="B241" i="32"/>
  <c r="A242" i="32"/>
  <c r="B242" i="32"/>
  <c r="A243" i="32"/>
  <c r="B243" i="32"/>
  <c r="A244" i="32"/>
  <c r="B244" i="32"/>
  <c r="A245" i="32"/>
  <c r="B245" i="32"/>
  <c r="A246" i="32"/>
  <c r="B246" i="32"/>
  <c r="A247" i="32"/>
  <c r="B247" i="32"/>
  <c r="A248" i="32"/>
  <c r="B248" i="32"/>
  <c r="A249" i="32"/>
  <c r="B249" i="32"/>
  <c r="A250" i="32"/>
  <c r="B250" i="32"/>
  <c r="A251" i="32"/>
  <c r="B251" i="32"/>
  <c r="A252" i="32"/>
  <c r="B252" i="32"/>
  <c r="A253" i="32"/>
  <c r="B253" i="32"/>
  <c r="A254" i="32"/>
  <c r="B254" i="32"/>
  <c r="A255" i="32"/>
  <c r="B255" i="32"/>
  <c r="A256" i="32"/>
  <c r="B256" i="32"/>
  <c r="A257" i="32"/>
  <c r="B257" i="32"/>
  <c r="A258" i="32"/>
  <c r="B258" i="32"/>
  <c r="A259" i="32"/>
  <c r="B259" i="32"/>
  <c r="A260" i="32"/>
  <c r="B260" i="32"/>
  <c r="A261" i="32"/>
  <c r="B261" i="32"/>
  <c r="A262" i="32"/>
  <c r="B262" i="32"/>
  <c r="A263" i="32"/>
  <c r="B263" i="32"/>
  <c r="A264" i="32"/>
  <c r="B264" i="32"/>
  <c r="A265" i="32"/>
  <c r="B265" i="32"/>
  <c r="A266" i="32"/>
  <c r="B266" i="32"/>
  <c r="A267" i="32"/>
  <c r="B267" i="32"/>
  <c r="A268" i="32"/>
  <c r="B268" i="32"/>
  <c r="A269" i="32"/>
  <c r="B269" i="32"/>
  <c r="A270" i="32"/>
  <c r="B270" i="32"/>
  <c r="A271" i="32"/>
  <c r="B271" i="32"/>
  <c r="A272" i="32"/>
  <c r="B272" i="32"/>
  <c r="A273" i="32"/>
  <c r="B273" i="32"/>
  <c r="A274" i="32"/>
  <c r="B274" i="32"/>
  <c r="A275" i="32"/>
  <c r="B275" i="32"/>
  <c r="A276" i="32"/>
  <c r="B276" i="32"/>
  <c r="A277" i="32"/>
  <c r="B277" i="32"/>
  <c r="A278" i="32"/>
  <c r="B278" i="32"/>
  <c r="A279" i="32"/>
  <c r="B279" i="32"/>
  <c r="A280" i="32"/>
  <c r="B280" i="32"/>
  <c r="A281" i="32"/>
  <c r="B281" i="32"/>
  <c r="A282" i="32"/>
  <c r="B282" i="32"/>
  <c r="A283" i="32"/>
  <c r="B283" i="32"/>
  <c r="A284" i="32"/>
  <c r="B284" i="32"/>
  <c r="A285" i="32"/>
  <c r="B285" i="32"/>
  <c r="A286" i="32"/>
  <c r="B286" i="32"/>
  <c r="A287" i="32"/>
  <c r="B287" i="32"/>
  <c r="A288" i="32"/>
  <c r="B288" i="32"/>
  <c r="A289" i="32"/>
  <c r="B289" i="32"/>
  <c r="A290" i="32"/>
  <c r="B290" i="32"/>
  <c r="A291" i="32"/>
  <c r="B291" i="32"/>
  <c r="A292" i="32"/>
  <c r="B292" i="32"/>
  <c r="A293" i="32"/>
  <c r="B293" i="32"/>
  <c r="A294" i="32"/>
  <c r="B294" i="32"/>
  <c r="A295" i="32"/>
  <c r="B295" i="32"/>
  <c r="A296" i="32"/>
  <c r="B296" i="32"/>
  <c r="A297" i="32"/>
  <c r="B297" i="32"/>
  <c r="A298" i="32"/>
  <c r="B298" i="32"/>
  <c r="A299" i="32"/>
  <c r="B299" i="32"/>
  <c r="A300" i="32"/>
  <c r="B300" i="32"/>
  <c r="A301" i="32"/>
  <c r="B301" i="32"/>
  <c r="A302" i="32"/>
  <c r="B302" i="32"/>
  <c r="A303" i="32"/>
  <c r="B303" i="32"/>
  <c r="A304" i="32"/>
  <c r="B304" i="32"/>
  <c r="A305" i="32"/>
  <c r="B305" i="32"/>
  <c r="A306" i="32"/>
  <c r="B306" i="32"/>
  <c r="A307" i="32"/>
  <c r="B307" i="32"/>
  <c r="A308" i="32"/>
  <c r="B308" i="32"/>
  <c r="A309" i="32"/>
  <c r="B309" i="32"/>
  <c r="A310" i="32"/>
  <c r="B310" i="32"/>
  <c r="A311" i="32"/>
  <c r="B311" i="32"/>
  <c r="A312" i="32"/>
  <c r="B312" i="32"/>
  <c r="A313" i="32"/>
  <c r="B313" i="32"/>
  <c r="A314" i="32"/>
  <c r="B314" i="32"/>
  <c r="A315" i="32"/>
  <c r="B315" i="32"/>
  <c r="A316" i="32"/>
  <c r="B316" i="32"/>
  <c r="A317" i="32"/>
  <c r="B317" i="32"/>
  <c r="A318" i="32"/>
  <c r="B318" i="32"/>
  <c r="A319" i="32"/>
  <c r="B319" i="32"/>
  <c r="A320" i="32"/>
  <c r="B320" i="32"/>
  <c r="A321" i="32"/>
  <c r="B321" i="32"/>
  <c r="A322" i="32"/>
  <c r="B322" i="32"/>
  <c r="B5" i="32"/>
  <c r="A5" i="32"/>
  <c r="A8" i="19"/>
  <c r="B8" i="19"/>
  <c r="A9" i="19"/>
  <c r="B9" i="19"/>
  <c r="A10" i="19"/>
  <c r="B10" i="19"/>
  <c r="A11" i="19"/>
  <c r="B11" i="19"/>
  <c r="A12" i="19"/>
  <c r="B12" i="19"/>
  <c r="A13" i="19"/>
  <c r="B13" i="19"/>
  <c r="A14" i="19"/>
  <c r="B14" i="19"/>
  <c r="A15" i="19"/>
  <c r="B15" i="19"/>
  <c r="A16" i="19"/>
  <c r="B16" i="19"/>
  <c r="A17" i="19"/>
  <c r="B17" i="19"/>
  <c r="A18" i="19"/>
  <c r="B18" i="19"/>
  <c r="A19" i="19"/>
  <c r="B19" i="19"/>
  <c r="A20" i="19"/>
  <c r="B20" i="19"/>
  <c r="A21" i="19"/>
  <c r="B21" i="19"/>
  <c r="A22" i="19"/>
  <c r="B22" i="19"/>
  <c r="A23" i="19"/>
  <c r="B23" i="19"/>
  <c r="A24" i="19"/>
  <c r="B24" i="19"/>
  <c r="A25" i="19"/>
  <c r="B25" i="19"/>
  <c r="A26" i="19"/>
  <c r="B26" i="19"/>
  <c r="A27" i="19"/>
  <c r="B27" i="19"/>
  <c r="A28" i="19"/>
  <c r="B28" i="19"/>
  <c r="A29" i="19"/>
  <c r="B29" i="19"/>
  <c r="A30" i="19"/>
  <c r="B30" i="19"/>
  <c r="A31" i="19"/>
  <c r="B31" i="19"/>
  <c r="A32" i="19"/>
  <c r="B32" i="19"/>
  <c r="A33" i="19"/>
  <c r="B33" i="19"/>
  <c r="A34" i="19"/>
  <c r="B34" i="19"/>
  <c r="A35" i="19"/>
  <c r="B35" i="19"/>
  <c r="A36" i="19"/>
  <c r="B36" i="19"/>
  <c r="A37" i="19"/>
  <c r="B37" i="19"/>
  <c r="A38" i="19"/>
  <c r="B38" i="19"/>
  <c r="A39" i="19"/>
  <c r="B39" i="19"/>
  <c r="A40" i="19"/>
  <c r="B40" i="19"/>
  <c r="A41" i="19"/>
  <c r="B41" i="19"/>
  <c r="A42" i="19"/>
  <c r="B42" i="19"/>
  <c r="A43" i="19"/>
  <c r="B43" i="19"/>
  <c r="A44" i="19"/>
  <c r="B44" i="19"/>
  <c r="A45" i="19"/>
  <c r="B45" i="19"/>
  <c r="A46" i="19"/>
  <c r="B46" i="19"/>
  <c r="A47" i="19"/>
  <c r="B47" i="19"/>
  <c r="A48" i="19"/>
  <c r="B48" i="19"/>
  <c r="A49" i="19"/>
  <c r="B49" i="19"/>
  <c r="A50" i="19"/>
  <c r="B50" i="19"/>
  <c r="A51" i="19"/>
  <c r="B51" i="19"/>
  <c r="A52" i="19"/>
  <c r="B52" i="19"/>
  <c r="A53" i="19"/>
  <c r="B53" i="19"/>
  <c r="A54" i="19"/>
  <c r="B54" i="19"/>
  <c r="A55" i="19"/>
  <c r="B55" i="19"/>
  <c r="A56" i="19"/>
  <c r="B56" i="19"/>
  <c r="A57" i="19"/>
  <c r="B57" i="19"/>
  <c r="A58" i="19"/>
  <c r="B58" i="19"/>
  <c r="A59" i="19"/>
  <c r="B59" i="19"/>
  <c r="A60" i="19"/>
  <c r="B60" i="19"/>
  <c r="A61" i="19"/>
  <c r="B61" i="19"/>
  <c r="A62" i="19"/>
  <c r="B62" i="19"/>
  <c r="A63" i="19"/>
  <c r="B63" i="19"/>
  <c r="A64" i="19"/>
  <c r="B64" i="19"/>
  <c r="A65" i="19"/>
  <c r="B65" i="19"/>
  <c r="A66" i="19"/>
  <c r="B66" i="19"/>
  <c r="A67" i="19"/>
  <c r="B67" i="19"/>
  <c r="A68" i="19"/>
  <c r="B68" i="19"/>
  <c r="A69" i="19"/>
  <c r="B69" i="19"/>
  <c r="A70" i="19"/>
  <c r="B70" i="19"/>
  <c r="A71" i="19"/>
  <c r="B71" i="19"/>
  <c r="A72" i="19"/>
  <c r="B72" i="19"/>
  <c r="A73" i="19"/>
  <c r="B73" i="19"/>
  <c r="A74" i="19"/>
  <c r="B74" i="19"/>
  <c r="A75" i="19"/>
  <c r="B75" i="19"/>
  <c r="A76" i="19"/>
  <c r="B76" i="19"/>
  <c r="A77" i="19"/>
  <c r="B77" i="19"/>
  <c r="A78" i="19"/>
  <c r="B78" i="19"/>
  <c r="A79" i="19"/>
  <c r="B79" i="19"/>
  <c r="A80" i="19"/>
  <c r="B80" i="19"/>
  <c r="A81" i="19"/>
  <c r="B81" i="19"/>
  <c r="A82" i="19"/>
  <c r="B82" i="19"/>
  <c r="A83" i="19"/>
  <c r="B83" i="19"/>
  <c r="A84" i="19"/>
  <c r="B84" i="19"/>
  <c r="A85" i="19"/>
  <c r="B85" i="19"/>
  <c r="A86" i="19"/>
  <c r="B86" i="19"/>
  <c r="A87" i="19"/>
  <c r="B87" i="19"/>
  <c r="A88" i="19"/>
  <c r="B88" i="19"/>
  <c r="A89" i="19"/>
  <c r="B89" i="19"/>
  <c r="A90" i="19"/>
  <c r="B90" i="19"/>
  <c r="A91" i="19"/>
  <c r="B91" i="19"/>
  <c r="A92" i="19"/>
  <c r="B92" i="19"/>
  <c r="A93" i="19"/>
  <c r="B93" i="19"/>
  <c r="A94" i="19"/>
  <c r="B94" i="19"/>
  <c r="A95" i="19"/>
  <c r="B95" i="19"/>
  <c r="A96" i="19"/>
  <c r="B96" i="19"/>
  <c r="A97" i="19"/>
  <c r="B97" i="19"/>
  <c r="A98" i="19"/>
  <c r="B98" i="19"/>
  <c r="A99" i="19"/>
  <c r="B99" i="19"/>
  <c r="A100" i="19"/>
  <c r="B100" i="19"/>
  <c r="A101" i="19"/>
  <c r="B101" i="19"/>
  <c r="A102" i="19"/>
  <c r="B102" i="19"/>
  <c r="A103" i="19"/>
  <c r="B103" i="19"/>
  <c r="A104" i="19"/>
  <c r="B104" i="19"/>
  <c r="A105" i="19"/>
  <c r="B105" i="19"/>
  <c r="A106" i="19"/>
  <c r="B106" i="19"/>
  <c r="A107" i="19"/>
  <c r="B107" i="19"/>
  <c r="A108" i="19"/>
  <c r="B108" i="19"/>
  <c r="A109" i="19"/>
  <c r="B109" i="19"/>
  <c r="A110" i="19"/>
  <c r="B110" i="19"/>
  <c r="A111" i="19"/>
  <c r="B111" i="19"/>
  <c r="A112" i="19"/>
  <c r="B112" i="19"/>
  <c r="A113" i="19"/>
  <c r="B113" i="19"/>
  <c r="A114" i="19"/>
  <c r="B114" i="19"/>
  <c r="A115" i="19"/>
  <c r="B115" i="19"/>
  <c r="A116" i="19"/>
  <c r="B116" i="19"/>
  <c r="A117" i="19"/>
  <c r="B117" i="19"/>
  <c r="A118" i="19"/>
  <c r="B118" i="19"/>
  <c r="A119" i="19"/>
  <c r="B119" i="19"/>
  <c r="A120" i="19"/>
  <c r="B120" i="19"/>
  <c r="A121" i="19"/>
  <c r="B121" i="19"/>
  <c r="A122" i="19"/>
  <c r="B122" i="19"/>
  <c r="A123" i="19"/>
  <c r="B123" i="19"/>
  <c r="A124" i="19"/>
  <c r="B124" i="19"/>
  <c r="A125" i="19"/>
  <c r="B125" i="19"/>
  <c r="A126" i="19"/>
  <c r="B126" i="19"/>
  <c r="A127" i="19"/>
  <c r="B127" i="19"/>
  <c r="A128" i="19"/>
  <c r="B128" i="19"/>
  <c r="A129" i="19"/>
  <c r="B129" i="19"/>
  <c r="A130" i="19"/>
  <c r="B130" i="19"/>
  <c r="A131" i="19"/>
  <c r="B131" i="19"/>
  <c r="A132" i="19"/>
  <c r="B132" i="19"/>
  <c r="A133" i="19"/>
  <c r="B133" i="19"/>
  <c r="A134" i="19"/>
  <c r="B134" i="19"/>
  <c r="A135" i="19"/>
  <c r="B135" i="19"/>
  <c r="A136" i="19"/>
  <c r="B136" i="19"/>
  <c r="A137" i="19"/>
  <c r="B137" i="19"/>
  <c r="A138" i="19"/>
  <c r="B138" i="19"/>
  <c r="A139" i="19"/>
  <c r="B139" i="19"/>
  <c r="A140" i="19"/>
  <c r="B140" i="19"/>
  <c r="A141" i="19"/>
  <c r="B141" i="19"/>
  <c r="A142" i="19"/>
  <c r="B142" i="19"/>
  <c r="A143" i="19"/>
  <c r="B143" i="19"/>
  <c r="A144" i="19"/>
  <c r="B144" i="19"/>
  <c r="A145" i="19"/>
  <c r="B145" i="19"/>
  <c r="A146" i="19"/>
  <c r="B146" i="19"/>
  <c r="A147" i="19"/>
  <c r="B147" i="19"/>
  <c r="A148" i="19"/>
  <c r="B148" i="19"/>
  <c r="A149" i="19"/>
  <c r="B149" i="19"/>
  <c r="A150" i="19"/>
  <c r="B150" i="19"/>
  <c r="A151" i="19"/>
  <c r="B151" i="19"/>
  <c r="A152" i="19"/>
  <c r="B152" i="19"/>
  <c r="A153" i="19"/>
  <c r="B153" i="19"/>
  <c r="A154" i="19"/>
  <c r="B154" i="19"/>
  <c r="A155" i="19"/>
  <c r="B155" i="19"/>
  <c r="A156" i="19"/>
  <c r="B156" i="19"/>
  <c r="A157" i="19"/>
  <c r="B157" i="19"/>
  <c r="A158" i="19"/>
  <c r="B158" i="19"/>
  <c r="A159" i="19"/>
  <c r="B159" i="19"/>
  <c r="A160" i="19"/>
  <c r="B160" i="19"/>
  <c r="A161" i="19"/>
  <c r="B161" i="19"/>
  <c r="A162" i="19"/>
  <c r="B162" i="19"/>
  <c r="A163" i="19"/>
  <c r="B163" i="19"/>
  <c r="A164" i="19"/>
  <c r="B164" i="19"/>
  <c r="A165" i="19"/>
  <c r="B165" i="19"/>
  <c r="A166" i="19"/>
  <c r="B166" i="19"/>
  <c r="A167" i="19"/>
  <c r="B167" i="19"/>
  <c r="A168" i="19"/>
  <c r="B168" i="19"/>
  <c r="A169" i="19"/>
  <c r="B169" i="19"/>
  <c r="A170" i="19"/>
  <c r="B170" i="19"/>
  <c r="A171" i="19"/>
  <c r="B171" i="19"/>
  <c r="A172" i="19"/>
  <c r="B172" i="19"/>
  <c r="A173" i="19"/>
  <c r="B173" i="19"/>
  <c r="A174" i="19"/>
  <c r="B174" i="19"/>
  <c r="A175" i="19"/>
  <c r="B175" i="19"/>
  <c r="A176" i="19"/>
  <c r="B176" i="19"/>
  <c r="A177" i="19"/>
  <c r="B177" i="19"/>
  <c r="A178" i="19"/>
  <c r="B178" i="19"/>
  <c r="A179" i="19"/>
  <c r="B179" i="19"/>
  <c r="A180" i="19"/>
  <c r="B180" i="19"/>
  <c r="A181" i="19"/>
  <c r="B181" i="19"/>
  <c r="A182" i="19"/>
  <c r="B182" i="19"/>
  <c r="A183" i="19"/>
  <c r="B183" i="19"/>
  <c r="A184" i="19"/>
  <c r="B184" i="19"/>
  <c r="A185" i="19"/>
  <c r="B185" i="19"/>
  <c r="A186" i="19"/>
  <c r="B186" i="19"/>
  <c r="A187" i="19"/>
  <c r="B187" i="19"/>
  <c r="A188" i="19"/>
  <c r="B188" i="19"/>
  <c r="A189" i="19"/>
  <c r="B189" i="19"/>
  <c r="A190" i="19"/>
  <c r="B190" i="19"/>
  <c r="A191" i="19"/>
  <c r="B191" i="19"/>
  <c r="A192" i="19"/>
  <c r="B192" i="19"/>
  <c r="A193" i="19"/>
  <c r="B193" i="19"/>
  <c r="A194" i="19"/>
  <c r="B194" i="19"/>
  <c r="A195" i="19"/>
  <c r="B195" i="19"/>
  <c r="A196" i="19"/>
  <c r="B196" i="19"/>
  <c r="A197" i="19"/>
  <c r="B197" i="19"/>
  <c r="A198" i="19"/>
  <c r="B198" i="19"/>
  <c r="A199" i="19"/>
  <c r="B199" i="19"/>
  <c r="A200" i="19"/>
  <c r="B200" i="19"/>
  <c r="A201" i="19"/>
  <c r="B201" i="19"/>
  <c r="A202" i="19"/>
  <c r="B202" i="19"/>
  <c r="A203" i="19"/>
  <c r="B203" i="19"/>
  <c r="A204" i="19"/>
  <c r="B204" i="19"/>
  <c r="A205" i="19"/>
  <c r="B205" i="19"/>
  <c r="A206" i="19"/>
  <c r="B206" i="19"/>
  <c r="A207" i="19"/>
  <c r="B207" i="19"/>
  <c r="A208" i="19"/>
  <c r="B208" i="19"/>
  <c r="A209" i="19"/>
  <c r="B209" i="19"/>
  <c r="A210" i="19"/>
  <c r="B210" i="19"/>
  <c r="A211" i="19"/>
  <c r="B211" i="19"/>
  <c r="A212" i="19"/>
  <c r="B212" i="19"/>
  <c r="A213" i="19"/>
  <c r="B213" i="19"/>
  <c r="A214" i="19"/>
  <c r="B214" i="19"/>
  <c r="A215" i="19"/>
  <c r="B215" i="19"/>
  <c r="A216" i="19"/>
  <c r="B216" i="19"/>
  <c r="A217" i="19"/>
  <c r="B217" i="19"/>
  <c r="A218" i="19"/>
  <c r="B218" i="19"/>
  <c r="A219" i="19"/>
  <c r="B219" i="19"/>
  <c r="A220" i="19"/>
  <c r="B220" i="19"/>
  <c r="A221" i="19"/>
  <c r="B221" i="19"/>
  <c r="A222" i="19"/>
  <c r="B222" i="19"/>
  <c r="A223" i="19"/>
  <c r="B223" i="19"/>
  <c r="A224" i="19"/>
  <c r="B224" i="19"/>
  <c r="A225" i="19"/>
  <c r="B225" i="19"/>
  <c r="A226" i="19"/>
  <c r="B226" i="19"/>
  <c r="A227" i="19"/>
  <c r="B227" i="19"/>
  <c r="A228" i="19"/>
  <c r="B228" i="19"/>
  <c r="A229" i="19"/>
  <c r="B229" i="19"/>
  <c r="A230" i="19"/>
  <c r="B230" i="19"/>
  <c r="A231" i="19"/>
  <c r="B231" i="19"/>
  <c r="A232" i="19"/>
  <c r="B232" i="19"/>
  <c r="A233" i="19"/>
  <c r="B233" i="19"/>
  <c r="A234" i="19"/>
  <c r="B234" i="19"/>
  <c r="A235" i="19"/>
  <c r="B235" i="19"/>
  <c r="A236" i="19"/>
  <c r="B236" i="19"/>
  <c r="A237" i="19"/>
  <c r="B237" i="19"/>
  <c r="A238" i="19"/>
  <c r="B238" i="19"/>
  <c r="A239" i="19"/>
  <c r="B239" i="19"/>
  <c r="A240" i="19"/>
  <c r="B240" i="19"/>
  <c r="A241" i="19"/>
  <c r="B241" i="19"/>
  <c r="A242" i="19"/>
  <c r="B242" i="19"/>
  <c r="A243" i="19"/>
  <c r="B243" i="19"/>
  <c r="A244" i="19"/>
  <c r="B244" i="19"/>
  <c r="A245" i="19"/>
  <c r="B245" i="19"/>
  <c r="A246" i="19"/>
  <c r="B246" i="19"/>
  <c r="A247" i="19"/>
  <c r="B247" i="19"/>
  <c r="A248" i="19"/>
  <c r="B248" i="19"/>
  <c r="A249" i="19"/>
  <c r="B249" i="19"/>
  <c r="A250" i="19"/>
  <c r="B250" i="19"/>
  <c r="A251" i="19"/>
  <c r="B251" i="19"/>
  <c r="A252" i="19"/>
  <c r="B252" i="19"/>
  <c r="A253" i="19"/>
  <c r="B253" i="19"/>
  <c r="A254" i="19"/>
  <c r="B254" i="19"/>
  <c r="A255" i="19"/>
  <c r="B255" i="19"/>
  <c r="A256" i="19"/>
  <c r="B256" i="19"/>
  <c r="A257" i="19"/>
  <c r="B257" i="19"/>
  <c r="A258" i="19"/>
  <c r="B258" i="19"/>
  <c r="A259" i="19"/>
  <c r="B259" i="19"/>
  <c r="A260" i="19"/>
  <c r="B260" i="19"/>
  <c r="A261" i="19"/>
  <c r="B261" i="19"/>
  <c r="A262" i="19"/>
  <c r="B262" i="19"/>
  <c r="A263" i="19"/>
  <c r="B263" i="19"/>
  <c r="A264" i="19"/>
  <c r="B264" i="19"/>
  <c r="A265" i="19"/>
  <c r="B265" i="19"/>
  <c r="A266" i="19"/>
  <c r="B266" i="19"/>
  <c r="A267" i="19"/>
  <c r="B267" i="19"/>
  <c r="A268" i="19"/>
  <c r="B268" i="19"/>
  <c r="A269" i="19"/>
  <c r="B269" i="19"/>
  <c r="A270" i="19"/>
  <c r="B270" i="19"/>
  <c r="A271" i="19"/>
  <c r="B271" i="19"/>
  <c r="A272" i="19"/>
  <c r="B272" i="19"/>
  <c r="A273" i="19"/>
  <c r="B273" i="19"/>
  <c r="A274" i="19"/>
  <c r="B274" i="19"/>
  <c r="A275" i="19"/>
  <c r="B275" i="19"/>
  <c r="A276" i="19"/>
  <c r="B276" i="19"/>
  <c r="A277" i="19"/>
  <c r="B277" i="19"/>
  <c r="A278" i="19"/>
  <c r="B278" i="19"/>
  <c r="A279" i="19"/>
  <c r="B279" i="19"/>
  <c r="A280" i="19"/>
  <c r="B280" i="19"/>
  <c r="A281" i="19"/>
  <c r="B281" i="19"/>
  <c r="A282" i="19"/>
  <c r="B282" i="19"/>
  <c r="A283" i="19"/>
  <c r="B283" i="19"/>
  <c r="A284" i="19"/>
  <c r="B284" i="19"/>
  <c r="A285" i="19"/>
  <c r="B285" i="19"/>
  <c r="A286" i="19"/>
  <c r="B286" i="19"/>
  <c r="A287" i="19"/>
  <c r="B287" i="19"/>
  <c r="A288" i="19"/>
  <c r="B288" i="19"/>
  <c r="A289" i="19"/>
  <c r="B289" i="19"/>
  <c r="A290" i="19"/>
  <c r="B290" i="19"/>
  <c r="A291" i="19"/>
  <c r="B291" i="19"/>
  <c r="A292" i="19"/>
  <c r="B292" i="19"/>
  <c r="A293" i="19"/>
  <c r="B293" i="19"/>
  <c r="A294" i="19"/>
  <c r="B294" i="19"/>
  <c r="A295" i="19"/>
  <c r="B295" i="19"/>
  <c r="A296" i="19"/>
  <c r="B296" i="19"/>
  <c r="A297" i="19"/>
  <c r="B297" i="19"/>
  <c r="A298" i="19"/>
  <c r="B298" i="19"/>
  <c r="A299" i="19"/>
  <c r="B299" i="19"/>
  <c r="A300" i="19"/>
  <c r="B300" i="19"/>
  <c r="A301" i="19"/>
  <c r="B301" i="19"/>
  <c r="A302" i="19"/>
  <c r="B302" i="19"/>
  <c r="A303" i="19"/>
  <c r="B303" i="19"/>
  <c r="A304" i="19"/>
  <c r="B304" i="19"/>
  <c r="A305" i="19"/>
  <c r="B305" i="19"/>
  <c r="A306" i="19"/>
  <c r="B306" i="19"/>
  <c r="A307" i="19"/>
  <c r="B307" i="19"/>
  <c r="A308" i="19"/>
  <c r="B308" i="19"/>
  <c r="A309" i="19"/>
  <c r="B309" i="19"/>
  <c r="A310" i="19"/>
  <c r="B310" i="19"/>
  <c r="A311" i="19"/>
  <c r="B311" i="19"/>
  <c r="A312" i="19"/>
  <c r="B312" i="19"/>
  <c r="A313" i="19"/>
  <c r="B313" i="19"/>
  <c r="A314" i="19"/>
  <c r="B314" i="19"/>
  <c r="A315" i="19"/>
  <c r="B315" i="19"/>
  <c r="A316" i="19"/>
  <c r="B316" i="19"/>
  <c r="A317" i="19"/>
  <c r="B317" i="19"/>
  <c r="A318" i="19"/>
  <c r="B318" i="19"/>
  <c r="A319" i="19"/>
  <c r="B319" i="19"/>
  <c r="A320" i="19"/>
  <c r="B320" i="19"/>
  <c r="A321" i="19"/>
  <c r="B321" i="19"/>
  <c r="A322" i="19"/>
  <c r="B322" i="19"/>
  <c r="A323" i="19"/>
  <c r="B323" i="19"/>
  <c r="A324" i="19"/>
  <c r="B324" i="19"/>
  <c r="B7" i="19"/>
  <c r="A7" i="19"/>
  <c r="A2" i="19"/>
  <c r="A2" i="42"/>
  <c r="P7" i="19"/>
  <c r="O7" i="19" s="1"/>
  <c r="N7" i="19"/>
  <c r="I8" i="19"/>
  <c r="I9" i="19"/>
  <c r="I10" i="19"/>
  <c r="I11" i="19"/>
  <c r="I12" i="19"/>
  <c r="I13" i="19"/>
  <c r="I14" i="19"/>
  <c r="I15" i="19"/>
  <c r="I1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AN325" i="42"/>
  <c r="AK325" i="42"/>
  <c r="AJ325" i="42"/>
  <c r="AI325" i="42"/>
  <c r="AH325" i="42"/>
  <c r="AG325" i="42"/>
  <c r="AF325" i="42"/>
  <c r="AE325" i="42"/>
  <c r="AD325" i="42"/>
  <c r="AC325" i="42"/>
  <c r="AB325" i="42"/>
  <c r="AA325" i="42"/>
  <c r="Z325" i="42"/>
  <c r="Y325" i="42"/>
  <c r="W325" i="42"/>
  <c r="V325" i="42"/>
  <c r="U325" i="42"/>
  <c r="T325" i="42"/>
  <c r="S325" i="42"/>
  <c r="R325" i="42"/>
  <c r="Q325" i="42"/>
  <c r="P325" i="42"/>
  <c r="O325" i="42"/>
  <c r="N325" i="42"/>
  <c r="AO325" i="42"/>
  <c r="AP325" i="42"/>
  <c r="AQ325" i="42"/>
  <c r="J325" i="42"/>
  <c r="K325" i="42"/>
  <c r="L325" i="42"/>
  <c r="I325" i="42"/>
  <c r="F325" i="42"/>
  <c r="G325" i="42"/>
  <c r="H325" i="42"/>
  <c r="E325" i="42"/>
  <c r="D325" i="42"/>
  <c r="C325" i="42"/>
  <c r="B325" i="42"/>
  <c r="B323" i="32" l="1"/>
  <c r="B325" i="19"/>
  <c r="B323" i="33"/>
  <c r="E4" i="37" l="1"/>
  <c r="E7" i="36"/>
  <c r="D25" i="40"/>
  <c r="F7" i="36" s="1"/>
  <c r="E25" i="40"/>
  <c r="G7" i="36" s="1"/>
  <c r="F25" i="40"/>
  <c r="H7" i="36" s="1"/>
  <c r="G25" i="40"/>
  <c r="I7" i="36" s="1"/>
  <c r="H25" i="40"/>
  <c r="J7" i="36" s="1"/>
  <c r="D7" i="36"/>
  <c r="C4" i="9" l="1"/>
  <c r="N325" i="19"/>
  <c r="AD8" i="19"/>
  <c r="AD9" i="19"/>
  <c r="AD10" i="19"/>
  <c r="AD11" i="19"/>
  <c r="AD12" i="19"/>
  <c r="AD13" i="19"/>
  <c r="AD14" i="19"/>
  <c r="AD15" i="19"/>
  <c r="AD16" i="19"/>
  <c r="AD17" i="19"/>
  <c r="AD18" i="19"/>
  <c r="AD19" i="19"/>
  <c r="AD20" i="19"/>
  <c r="AD21" i="19"/>
  <c r="AD22" i="19"/>
  <c r="AD23" i="19"/>
  <c r="AD24" i="19"/>
  <c r="AD25" i="19"/>
  <c r="AD26" i="19"/>
  <c r="AD27" i="19"/>
  <c r="AD28" i="19"/>
  <c r="AD29" i="19"/>
  <c r="AD30" i="19"/>
  <c r="AD31" i="19"/>
  <c r="AD32" i="19"/>
  <c r="AD33" i="19"/>
  <c r="AD34" i="19"/>
  <c r="AD35" i="19"/>
  <c r="AD36" i="19"/>
  <c r="AD37" i="19"/>
  <c r="AD38" i="19"/>
  <c r="AD39" i="19"/>
  <c r="AD40" i="19"/>
  <c r="AD41" i="19"/>
  <c r="AD42" i="19"/>
  <c r="AD43" i="19"/>
  <c r="AD44" i="19"/>
  <c r="AD45" i="19"/>
  <c r="AD46" i="19"/>
  <c r="AD47" i="19"/>
  <c r="AD48" i="19"/>
  <c r="AD49" i="19"/>
  <c r="AD50" i="19"/>
  <c r="AD51" i="19"/>
  <c r="AD52" i="19"/>
  <c r="AD53" i="19"/>
  <c r="AD54" i="19"/>
  <c r="AD55" i="19"/>
  <c r="AD56" i="19"/>
  <c r="AD57" i="19"/>
  <c r="AD58" i="19"/>
  <c r="AD59" i="19"/>
  <c r="AD60" i="19"/>
  <c r="AD61" i="19"/>
  <c r="AD62" i="19"/>
  <c r="AD63" i="19"/>
  <c r="AD64" i="19"/>
  <c r="AD65" i="19"/>
  <c r="AD66" i="19"/>
  <c r="AD67" i="19"/>
  <c r="AD68" i="19"/>
  <c r="AD69" i="19"/>
  <c r="AD70" i="19"/>
  <c r="AD71" i="19"/>
  <c r="AD72" i="19"/>
  <c r="AD73" i="19"/>
  <c r="AD74" i="19"/>
  <c r="AD75" i="19"/>
  <c r="AD76" i="19"/>
  <c r="AD77" i="19"/>
  <c r="AD78" i="19"/>
  <c r="AD79" i="19"/>
  <c r="AD80" i="19"/>
  <c r="AD81" i="19"/>
  <c r="AD82" i="19"/>
  <c r="AD83" i="19"/>
  <c r="AD84" i="19"/>
  <c r="AD85" i="19"/>
  <c r="AD86" i="19"/>
  <c r="AD87" i="19"/>
  <c r="AD88" i="19"/>
  <c r="AD89" i="19"/>
  <c r="AD90" i="19"/>
  <c r="AD91" i="19"/>
  <c r="AD92" i="19"/>
  <c r="AD93" i="19"/>
  <c r="AD94" i="19"/>
  <c r="AD95" i="19"/>
  <c r="AD96" i="19"/>
  <c r="AD97" i="19"/>
  <c r="AD98" i="19"/>
  <c r="AD99" i="19"/>
  <c r="AD100" i="19"/>
  <c r="AD101" i="19"/>
  <c r="AD102" i="19"/>
  <c r="AD103" i="19"/>
  <c r="AD104" i="19"/>
  <c r="AD105" i="19"/>
  <c r="AD106" i="19"/>
  <c r="AD107" i="19"/>
  <c r="AD108" i="19"/>
  <c r="AD109" i="19"/>
  <c r="AD110" i="19"/>
  <c r="AD111" i="19"/>
  <c r="AD112" i="19"/>
  <c r="AD113" i="19"/>
  <c r="AD114" i="19"/>
  <c r="AD115" i="19"/>
  <c r="AD116" i="19"/>
  <c r="AD117" i="19"/>
  <c r="AD118" i="19"/>
  <c r="AD119" i="19"/>
  <c r="AD120" i="19"/>
  <c r="AD121" i="19"/>
  <c r="AD122" i="19"/>
  <c r="AD123" i="19"/>
  <c r="AD124" i="19"/>
  <c r="AD125" i="19"/>
  <c r="AD126" i="19"/>
  <c r="AD127" i="19"/>
  <c r="AD128" i="19"/>
  <c r="AD129" i="19"/>
  <c r="AD130" i="19"/>
  <c r="AD131" i="19"/>
  <c r="AD132" i="19"/>
  <c r="AD133" i="19"/>
  <c r="AD134" i="19"/>
  <c r="AD135" i="19"/>
  <c r="AD136" i="19"/>
  <c r="AD137" i="19"/>
  <c r="AD138" i="19"/>
  <c r="AD139" i="19"/>
  <c r="AD140" i="19"/>
  <c r="AD141" i="19"/>
  <c r="AD142" i="19"/>
  <c r="AD143" i="19"/>
  <c r="AD144" i="19"/>
  <c r="AD145" i="19"/>
  <c r="AD146" i="19"/>
  <c r="AD147" i="19"/>
  <c r="AD148" i="19"/>
  <c r="AD149" i="19"/>
  <c r="AD150" i="19"/>
  <c r="AD151" i="19"/>
  <c r="AD152" i="19"/>
  <c r="AD153" i="19"/>
  <c r="AD154" i="19"/>
  <c r="AD155" i="19"/>
  <c r="AD156" i="19"/>
  <c r="AD157" i="19"/>
  <c r="AD158" i="19"/>
  <c r="AD159" i="19"/>
  <c r="AD160" i="19"/>
  <c r="AD161" i="19"/>
  <c r="AD162" i="19"/>
  <c r="AD163" i="19"/>
  <c r="AD164" i="19"/>
  <c r="AD165" i="19"/>
  <c r="AD166" i="19"/>
  <c r="AD167" i="19"/>
  <c r="AD168" i="19"/>
  <c r="AD169" i="19"/>
  <c r="AD170" i="19"/>
  <c r="AD171" i="19"/>
  <c r="AD172" i="19"/>
  <c r="AD173" i="19"/>
  <c r="AD174" i="19"/>
  <c r="AD175" i="19"/>
  <c r="AD176" i="19"/>
  <c r="AD177" i="19"/>
  <c r="AD178" i="19"/>
  <c r="AD179" i="19"/>
  <c r="AD180" i="19"/>
  <c r="AD181" i="19"/>
  <c r="AD182" i="19"/>
  <c r="AD183" i="19"/>
  <c r="AD184" i="19"/>
  <c r="AD185" i="19"/>
  <c r="AD186" i="19"/>
  <c r="AD187" i="19"/>
  <c r="AD188" i="19"/>
  <c r="AD189" i="19"/>
  <c r="AD190" i="19"/>
  <c r="AD191" i="19"/>
  <c r="AD192" i="19"/>
  <c r="AD193" i="19"/>
  <c r="AD194" i="19"/>
  <c r="AD195" i="19"/>
  <c r="AD196" i="19"/>
  <c r="AD197" i="19"/>
  <c r="AD198" i="19"/>
  <c r="AD199" i="19"/>
  <c r="AD200" i="19"/>
  <c r="AD201" i="19"/>
  <c r="AD202" i="19"/>
  <c r="AD203" i="19"/>
  <c r="AD204" i="19"/>
  <c r="AD205" i="19"/>
  <c r="AD206" i="19"/>
  <c r="AD207" i="19"/>
  <c r="AD208" i="19"/>
  <c r="AD209" i="19"/>
  <c r="AD210" i="19"/>
  <c r="AD211" i="19"/>
  <c r="AD212" i="19"/>
  <c r="AD213" i="19"/>
  <c r="AD214" i="19"/>
  <c r="AD215" i="19"/>
  <c r="AD216" i="19"/>
  <c r="AD217" i="19"/>
  <c r="AD218" i="19"/>
  <c r="AD219" i="19"/>
  <c r="AD220" i="19"/>
  <c r="AD221" i="19"/>
  <c r="AD222" i="19"/>
  <c r="AD223" i="19"/>
  <c r="AD224" i="19"/>
  <c r="AD225" i="19"/>
  <c r="AD226" i="19"/>
  <c r="AD227" i="19"/>
  <c r="AD228" i="19"/>
  <c r="AD229" i="19"/>
  <c r="AD230" i="19"/>
  <c r="AD231" i="19"/>
  <c r="AD232" i="19"/>
  <c r="AD233" i="19"/>
  <c r="AD234" i="19"/>
  <c r="AD235" i="19"/>
  <c r="AD236" i="19"/>
  <c r="AD237" i="19"/>
  <c r="AD238" i="19"/>
  <c r="AD239" i="19"/>
  <c r="AD240" i="19"/>
  <c r="AD241" i="19"/>
  <c r="AD242" i="19"/>
  <c r="AD243" i="19"/>
  <c r="AD244" i="19"/>
  <c r="AD245" i="19"/>
  <c r="AD246" i="19"/>
  <c r="AD247" i="19"/>
  <c r="AD248" i="19"/>
  <c r="AD249" i="19"/>
  <c r="AD250" i="19"/>
  <c r="AD251" i="19"/>
  <c r="AD252" i="19"/>
  <c r="AD253" i="19"/>
  <c r="AD254" i="19"/>
  <c r="AD255" i="19"/>
  <c r="AD256" i="19"/>
  <c r="AD257" i="19"/>
  <c r="AD258" i="19"/>
  <c r="AD259" i="19"/>
  <c r="AD260" i="19"/>
  <c r="AD261" i="19"/>
  <c r="AD262" i="19"/>
  <c r="AD263" i="19"/>
  <c r="AD264" i="19"/>
  <c r="AD265" i="19"/>
  <c r="AD266" i="19"/>
  <c r="AD267" i="19"/>
  <c r="AD268" i="19"/>
  <c r="AD269" i="19"/>
  <c r="AD270" i="19"/>
  <c r="AD271" i="19"/>
  <c r="AD272" i="19"/>
  <c r="AD273" i="19"/>
  <c r="AD274" i="19"/>
  <c r="AD275" i="19"/>
  <c r="AD276" i="19"/>
  <c r="AD277" i="19"/>
  <c r="AD278" i="19"/>
  <c r="AD279" i="19"/>
  <c r="AD280" i="19"/>
  <c r="AD281" i="19"/>
  <c r="AD282" i="19"/>
  <c r="AD283" i="19"/>
  <c r="AD284" i="19"/>
  <c r="AD285" i="19"/>
  <c r="AD286" i="19"/>
  <c r="AD287" i="19"/>
  <c r="AD288" i="19"/>
  <c r="AD289" i="19"/>
  <c r="AD290" i="19"/>
  <c r="AD291" i="19"/>
  <c r="AD292" i="19"/>
  <c r="AD293" i="19"/>
  <c r="AD294" i="19"/>
  <c r="AD295" i="19"/>
  <c r="AD296" i="19"/>
  <c r="AD297" i="19"/>
  <c r="AD298" i="19"/>
  <c r="AD299" i="19"/>
  <c r="AD300" i="19"/>
  <c r="AD301" i="19"/>
  <c r="AD302" i="19"/>
  <c r="AD303" i="19"/>
  <c r="AD304" i="19"/>
  <c r="AD305" i="19"/>
  <c r="AD306" i="19"/>
  <c r="AD307" i="19"/>
  <c r="AD308" i="19"/>
  <c r="AD309" i="19"/>
  <c r="AD310" i="19"/>
  <c r="AD311" i="19"/>
  <c r="AD312" i="19"/>
  <c r="AD313" i="19"/>
  <c r="AD314" i="19"/>
  <c r="AD315" i="19"/>
  <c r="AD316" i="19"/>
  <c r="AD317" i="19"/>
  <c r="AD318" i="19"/>
  <c r="AD319" i="19"/>
  <c r="AD320" i="19"/>
  <c r="AD321" i="19"/>
  <c r="AD322" i="19"/>
  <c r="AD323" i="19"/>
  <c r="AD324" i="19"/>
  <c r="AB8" i="19"/>
  <c r="AB9" i="19"/>
  <c r="AB10" i="19"/>
  <c r="AB11" i="19"/>
  <c r="AB12" i="19"/>
  <c r="AB13" i="19"/>
  <c r="AB14" i="19"/>
  <c r="AB15" i="19"/>
  <c r="AB16" i="19"/>
  <c r="AB17" i="19"/>
  <c r="AB18" i="19"/>
  <c r="AB19" i="19"/>
  <c r="AB20" i="19"/>
  <c r="AB21" i="19"/>
  <c r="AB22" i="19"/>
  <c r="AB23" i="19"/>
  <c r="AB24" i="19"/>
  <c r="AB25" i="19"/>
  <c r="AB26" i="19"/>
  <c r="AB27" i="19"/>
  <c r="AB28" i="19"/>
  <c r="AB29" i="19"/>
  <c r="AB30" i="19"/>
  <c r="AB31" i="19"/>
  <c r="AB32" i="19"/>
  <c r="AB33" i="19"/>
  <c r="AB34" i="19"/>
  <c r="AB35" i="19"/>
  <c r="AB36" i="19"/>
  <c r="AB37" i="19"/>
  <c r="AB38" i="19"/>
  <c r="AB39" i="19"/>
  <c r="AB40" i="19"/>
  <c r="AB41" i="19"/>
  <c r="AB42" i="19"/>
  <c r="AB43" i="19"/>
  <c r="AB44" i="19"/>
  <c r="AB45" i="19"/>
  <c r="AB46" i="19"/>
  <c r="AB47" i="19"/>
  <c r="AB48" i="19"/>
  <c r="AB49" i="19"/>
  <c r="AB50" i="19"/>
  <c r="AB51" i="19"/>
  <c r="AB52" i="19"/>
  <c r="AB53" i="19"/>
  <c r="AB54" i="19"/>
  <c r="AB55" i="19"/>
  <c r="AB56" i="19"/>
  <c r="AB57" i="19"/>
  <c r="AB58" i="19"/>
  <c r="AB59" i="19"/>
  <c r="AB60" i="19"/>
  <c r="AB61" i="19"/>
  <c r="AB62" i="19"/>
  <c r="AB63" i="19"/>
  <c r="AB64" i="19"/>
  <c r="AB65" i="19"/>
  <c r="AB66" i="19"/>
  <c r="AB67" i="19"/>
  <c r="AB68" i="19"/>
  <c r="AB69" i="19"/>
  <c r="AB70" i="19"/>
  <c r="AB71" i="19"/>
  <c r="AB72" i="19"/>
  <c r="AB73" i="19"/>
  <c r="AB74" i="19"/>
  <c r="AB75" i="19"/>
  <c r="AB76" i="19"/>
  <c r="AB77" i="19"/>
  <c r="AB78" i="19"/>
  <c r="AB79" i="19"/>
  <c r="AB80" i="19"/>
  <c r="AB81" i="19"/>
  <c r="AB82" i="19"/>
  <c r="AB83" i="19"/>
  <c r="AB84" i="19"/>
  <c r="AB85" i="19"/>
  <c r="AB86" i="19"/>
  <c r="AB87" i="19"/>
  <c r="AB88" i="19"/>
  <c r="AB89" i="19"/>
  <c r="AB90" i="19"/>
  <c r="AB91" i="19"/>
  <c r="AB92" i="19"/>
  <c r="AB93" i="19"/>
  <c r="AB94" i="19"/>
  <c r="AB95" i="19"/>
  <c r="AB96" i="19"/>
  <c r="AB97" i="19"/>
  <c r="AB98" i="19"/>
  <c r="AB99" i="19"/>
  <c r="AB100" i="19"/>
  <c r="AB101" i="19"/>
  <c r="AB102" i="19"/>
  <c r="AB103" i="19"/>
  <c r="AB104" i="19"/>
  <c r="AB105" i="19"/>
  <c r="AB106" i="19"/>
  <c r="AB107" i="19"/>
  <c r="AB108" i="19"/>
  <c r="AB109" i="19"/>
  <c r="AB110" i="19"/>
  <c r="AB111" i="19"/>
  <c r="AB112" i="19"/>
  <c r="AB113" i="19"/>
  <c r="AB114" i="19"/>
  <c r="AB115" i="19"/>
  <c r="AB116" i="19"/>
  <c r="AB117" i="19"/>
  <c r="AB118" i="19"/>
  <c r="AB119" i="19"/>
  <c r="AB120" i="19"/>
  <c r="AB121" i="19"/>
  <c r="AB122" i="19"/>
  <c r="AB123" i="19"/>
  <c r="AB124" i="19"/>
  <c r="AB125" i="19"/>
  <c r="AB126" i="19"/>
  <c r="AB127" i="19"/>
  <c r="AB128" i="19"/>
  <c r="AB129" i="19"/>
  <c r="AB130" i="19"/>
  <c r="AB131" i="19"/>
  <c r="AB132" i="19"/>
  <c r="AB133" i="19"/>
  <c r="AB134" i="19"/>
  <c r="AB135" i="19"/>
  <c r="AB136" i="19"/>
  <c r="AB137" i="19"/>
  <c r="AB138" i="19"/>
  <c r="AB139" i="19"/>
  <c r="AB140" i="19"/>
  <c r="AB141" i="19"/>
  <c r="AB142" i="19"/>
  <c r="AB143" i="19"/>
  <c r="AB144" i="19"/>
  <c r="AB145" i="19"/>
  <c r="AB146" i="19"/>
  <c r="AB147" i="19"/>
  <c r="AB148" i="19"/>
  <c r="AB149" i="19"/>
  <c r="AB150" i="19"/>
  <c r="AB151" i="19"/>
  <c r="AB152" i="19"/>
  <c r="AB153" i="19"/>
  <c r="AB154" i="19"/>
  <c r="AB155" i="19"/>
  <c r="AB156" i="19"/>
  <c r="AB157" i="19"/>
  <c r="AB158" i="19"/>
  <c r="AB159" i="19"/>
  <c r="AB160" i="19"/>
  <c r="AB161" i="19"/>
  <c r="AB162" i="19"/>
  <c r="AB163" i="19"/>
  <c r="AB164" i="19"/>
  <c r="AB165" i="19"/>
  <c r="AB166" i="19"/>
  <c r="AB167" i="19"/>
  <c r="AB168" i="19"/>
  <c r="AB169" i="19"/>
  <c r="AB170" i="19"/>
  <c r="AB171" i="19"/>
  <c r="AB172" i="19"/>
  <c r="AB173" i="19"/>
  <c r="AB174" i="19"/>
  <c r="AB175" i="19"/>
  <c r="AB176" i="19"/>
  <c r="AB177" i="19"/>
  <c r="AB178" i="19"/>
  <c r="AB179" i="19"/>
  <c r="AB180" i="19"/>
  <c r="AB181" i="19"/>
  <c r="AB182" i="19"/>
  <c r="AB183" i="19"/>
  <c r="AB184" i="19"/>
  <c r="AB185" i="19"/>
  <c r="AB186" i="19"/>
  <c r="AB187" i="19"/>
  <c r="AB188" i="19"/>
  <c r="AB189" i="19"/>
  <c r="AB190" i="19"/>
  <c r="AB191" i="19"/>
  <c r="AB192" i="19"/>
  <c r="AB193" i="19"/>
  <c r="AB194" i="19"/>
  <c r="AB195" i="19"/>
  <c r="AB196" i="19"/>
  <c r="AB197" i="19"/>
  <c r="AB198" i="19"/>
  <c r="AB199" i="19"/>
  <c r="AB200" i="19"/>
  <c r="AB201" i="19"/>
  <c r="AB202" i="19"/>
  <c r="AB203" i="19"/>
  <c r="AB204" i="19"/>
  <c r="AB205" i="19"/>
  <c r="AB206" i="19"/>
  <c r="AB207" i="19"/>
  <c r="AB208" i="19"/>
  <c r="AB209" i="19"/>
  <c r="AB210" i="19"/>
  <c r="AB211" i="19"/>
  <c r="AB212" i="19"/>
  <c r="AB213" i="19"/>
  <c r="AB214" i="19"/>
  <c r="AB215" i="19"/>
  <c r="AB216" i="19"/>
  <c r="AB217" i="19"/>
  <c r="AB218" i="19"/>
  <c r="AB219" i="19"/>
  <c r="AB220" i="19"/>
  <c r="AB221" i="19"/>
  <c r="AB222" i="19"/>
  <c r="AB223" i="19"/>
  <c r="AB224" i="19"/>
  <c r="AB225" i="19"/>
  <c r="AB226" i="19"/>
  <c r="AB227" i="19"/>
  <c r="AB228" i="19"/>
  <c r="AB229" i="19"/>
  <c r="AB230" i="19"/>
  <c r="AB231" i="19"/>
  <c r="AB232" i="19"/>
  <c r="AB233" i="19"/>
  <c r="AB234" i="19"/>
  <c r="AB235" i="19"/>
  <c r="AB236" i="19"/>
  <c r="AB237" i="19"/>
  <c r="AB238" i="19"/>
  <c r="AB239" i="19"/>
  <c r="AB240" i="19"/>
  <c r="AB241" i="19"/>
  <c r="AB242" i="19"/>
  <c r="AB243" i="19"/>
  <c r="AB244" i="19"/>
  <c r="AB245" i="19"/>
  <c r="AB246" i="19"/>
  <c r="AB247" i="19"/>
  <c r="AB248" i="19"/>
  <c r="AB249" i="19"/>
  <c r="AB250" i="19"/>
  <c r="AB251" i="19"/>
  <c r="AB252" i="19"/>
  <c r="AB253" i="19"/>
  <c r="AB254" i="19"/>
  <c r="AB255" i="19"/>
  <c r="AB256" i="19"/>
  <c r="AB257" i="19"/>
  <c r="AB258" i="19"/>
  <c r="AB259" i="19"/>
  <c r="AB260" i="19"/>
  <c r="AB261" i="19"/>
  <c r="AB262" i="19"/>
  <c r="AB263" i="19"/>
  <c r="AB264" i="19"/>
  <c r="AB265" i="19"/>
  <c r="AB266" i="19"/>
  <c r="AB267" i="19"/>
  <c r="AB268" i="19"/>
  <c r="AB269" i="19"/>
  <c r="AB270" i="19"/>
  <c r="AB271" i="19"/>
  <c r="AB272" i="19"/>
  <c r="AB273" i="19"/>
  <c r="AB274" i="19"/>
  <c r="AB275" i="19"/>
  <c r="AB276" i="19"/>
  <c r="AB277" i="19"/>
  <c r="AB278" i="19"/>
  <c r="AB279" i="19"/>
  <c r="AB280" i="19"/>
  <c r="AB281" i="19"/>
  <c r="AB282" i="19"/>
  <c r="AB283" i="19"/>
  <c r="AB284" i="19"/>
  <c r="AB285" i="19"/>
  <c r="AB286" i="19"/>
  <c r="AB287" i="19"/>
  <c r="AB288" i="19"/>
  <c r="AB289" i="19"/>
  <c r="AB290" i="19"/>
  <c r="AB291" i="19"/>
  <c r="AB292" i="19"/>
  <c r="AB293" i="19"/>
  <c r="AB294" i="19"/>
  <c r="AB295" i="19"/>
  <c r="AB296" i="19"/>
  <c r="AB297" i="19"/>
  <c r="AB298" i="19"/>
  <c r="AB299" i="19"/>
  <c r="AB300" i="19"/>
  <c r="AB301" i="19"/>
  <c r="AB302" i="19"/>
  <c r="AB303" i="19"/>
  <c r="AB304" i="19"/>
  <c r="AB305" i="19"/>
  <c r="AB306" i="19"/>
  <c r="AB307" i="19"/>
  <c r="AB308" i="19"/>
  <c r="AB309" i="19"/>
  <c r="AB310" i="19"/>
  <c r="AB311" i="19"/>
  <c r="AB312" i="19"/>
  <c r="AB313" i="19"/>
  <c r="AB314" i="19"/>
  <c r="AB315" i="19"/>
  <c r="AB316" i="19"/>
  <c r="AB317" i="19"/>
  <c r="AB318" i="19"/>
  <c r="AB319" i="19"/>
  <c r="AB320" i="19"/>
  <c r="AB321" i="19"/>
  <c r="AB322" i="19"/>
  <c r="AB323" i="19"/>
  <c r="AB324" i="19"/>
  <c r="W167" i="19"/>
  <c r="Y167" i="19" s="1"/>
  <c r="C165" i="32" s="1"/>
  <c r="W88" i="19"/>
  <c r="Y88" i="19" s="1"/>
  <c r="C86" i="32" s="1"/>
  <c r="C68" i="19"/>
  <c r="AI192" i="19"/>
  <c r="AH41" i="19"/>
  <c r="AH42" i="19"/>
  <c r="AH43" i="19"/>
  <c r="AH44" i="19"/>
  <c r="AG171" i="19"/>
  <c r="AG172" i="19"/>
  <c r="AG125" i="19"/>
  <c r="AG126" i="19"/>
  <c r="AG127" i="19"/>
  <c r="AF125" i="19"/>
  <c r="AE8" i="19"/>
  <c r="AE9" i="19"/>
  <c r="AE10" i="19"/>
  <c r="AE11" i="19"/>
  <c r="AE12" i="19"/>
  <c r="AE13" i="19"/>
  <c r="AE14" i="19"/>
  <c r="AE15" i="19"/>
  <c r="AE16" i="19"/>
  <c r="AE17" i="19"/>
  <c r="AE18" i="19"/>
  <c r="AE19" i="19"/>
  <c r="AE20" i="19"/>
  <c r="AE21" i="19"/>
  <c r="AE22" i="19"/>
  <c r="AE23" i="19"/>
  <c r="AE24" i="19"/>
  <c r="AE25" i="19"/>
  <c r="AE26" i="19"/>
  <c r="AE27" i="19"/>
  <c r="AE28" i="19"/>
  <c r="AE29" i="19"/>
  <c r="AE30" i="19"/>
  <c r="AE31" i="19"/>
  <c r="AE32" i="19"/>
  <c r="AE33" i="19"/>
  <c r="AE34" i="19"/>
  <c r="AE35" i="19"/>
  <c r="AE36" i="19"/>
  <c r="AE37" i="19"/>
  <c r="AE38" i="19"/>
  <c r="AE39" i="19"/>
  <c r="AE40" i="19"/>
  <c r="AE41" i="19"/>
  <c r="AE42" i="19"/>
  <c r="AE43" i="19"/>
  <c r="AE44" i="19"/>
  <c r="AE45" i="19"/>
  <c r="AE46" i="19"/>
  <c r="AE47" i="19"/>
  <c r="AE48" i="19"/>
  <c r="AE49" i="19"/>
  <c r="AE50" i="19"/>
  <c r="AE51" i="19"/>
  <c r="AE52" i="19"/>
  <c r="AE53" i="19"/>
  <c r="AE54" i="19"/>
  <c r="AE55" i="19"/>
  <c r="AE56" i="19"/>
  <c r="AE57" i="19"/>
  <c r="AE58" i="19"/>
  <c r="AE59" i="19"/>
  <c r="AE60" i="19"/>
  <c r="AE61" i="19"/>
  <c r="AE62" i="19"/>
  <c r="AE63" i="19"/>
  <c r="AE64" i="19"/>
  <c r="AE65" i="19"/>
  <c r="AE66" i="19"/>
  <c r="AE67" i="19"/>
  <c r="AE68" i="19"/>
  <c r="AE69" i="19"/>
  <c r="AE70" i="19"/>
  <c r="AE71" i="19"/>
  <c r="AE72" i="19"/>
  <c r="AE73" i="19"/>
  <c r="AE74" i="19"/>
  <c r="AE75" i="19"/>
  <c r="AE76" i="19"/>
  <c r="AE77" i="19"/>
  <c r="AE78" i="19"/>
  <c r="AE79" i="19"/>
  <c r="AE80" i="19"/>
  <c r="AE81" i="19"/>
  <c r="AE82" i="19"/>
  <c r="AE83" i="19"/>
  <c r="AE84" i="19"/>
  <c r="AE85" i="19"/>
  <c r="AE86" i="19"/>
  <c r="AE87" i="19"/>
  <c r="AE88" i="19"/>
  <c r="AE89" i="19"/>
  <c r="AE90" i="19"/>
  <c r="AE91" i="19"/>
  <c r="AE92" i="19"/>
  <c r="AE93" i="19"/>
  <c r="AE94" i="19"/>
  <c r="AE95" i="19"/>
  <c r="AE96" i="19"/>
  <c r="AE97" i="19"/>
  <c r="AE98" i="19"/>
  <c r="AE99" i="19"/>
  <c r="AE100" i="19"/>
  <c r="AE101" i="19"/>
  <c r="AE102" i="19"/>
  <c r="AE103" i="19"/>
  <c r="AE104" i="19"/>
  <c r="AE105" i="19"/>
  <c r="AE106" i="19"/>
  <c r="AE107" i="19"/>
  <c r="AE108" i="19"/>
  <c r="AE109" i="19"/>
  <c r="AE110" i="19"/>
  <c r="AE111" i="19"/>
  <c r="AE112" i="19"/>
  <c r="AE113" i="19"/>
  <c r="AE114" i="19"/>
  <c r="AE115" i="19"/>
  <c r="AE116" i="19"/>
  <c r="AE117" i="19"/>
  <c r="AE118" i="19"/>
  <c r="AE119" i="19"/>
  <c r="AE120" i="19"/>
  <c r="AE121" i="19"/>
  <c r="AE122" i="19"/>
  <c r="AE123" i="19"/>
  <c r="AE124" i="19"/>
  <c r="AE125" i="19"/>
  <c r="AE126" i="19"/>
  <c r="AE127" i="19"/>
  <c r="AE128" i="19"/>
  <c r="AE129" i="19"/>
  <c r="AE130" i="19"/>
  <c r="AE131" i="19"/>
  <c r="AE132" i="19"/>
  <c r="AE133" i="19"/>
  <c r="AE134" i="19"/>
  <c r="AE135" i="19"/>
  <c r="AE136" i="19"/>
  <c r="AE137" i="19"/>
  <c r="AE138" i="19"/>
  <c r="AE139" i="19"/>
  <c r="AE140" i="19"/>
  <c r="AE141" i="19"/>
  <c r="AE142" i="19"/>
  <c r="AE143" i="19"/>
  <c r="AE144" i="19"/>
  <c r="AE145" i="19"/>
  <c r="AE146" i="19"/>
  <c r="AE147" i="19"/>
  <c r="AE148" i="19"/>
  <c r="AE149" i="19"/>
  <c r="AE150" i="19"/>
  <c r="AE151" i="19"/>
  <c r="AE152" i="19"/>
  <c r="AE153" i="19"/>
  <c r="AE154" i="19"/>
  <c r="AE155" i="19"/>
  <c r="AE156" i="19"/>
  <c r="AE157" i="19"/>
  <c r="AE158" i="19"/>
  <c r="AE159" i="19"/>
  <c r="AE160" i="19"/>
  <c r="AE161" i="19"/>
  <c r="AE162" i="19"/>
  <c r="AE163" i="19"/>
  <c r="AE164" i="19"/>
  <c r="AE165" i="19"/>
  <c r="AE166" i="19"/>
  <c r="AE167" i="19"/>
  <c r="AE168" i="19"/>
  <c r="AE169" i="19"/>
  <c r="AE170" i="19"/>
  <c r="AE171" i="19"/>
  <c r="AE172" i="19"/>
  <c r="AE173" i="19"/>
  <c r="AE174" i="19"/>
  <c r="AE175" i="19"/>
  <c r="AE176" i="19"/>
  <c r="AE177" i="19"/>
  <c r="AE178" i="19"/>
  <c r="AE179" i="19"/>
  <c r="AE180" i="19"/>
  <c r="AE181" i="19"/>
  <c r="AE182" i="19"/>
  <c r="AE183" i="19"/>
  <c r="AE184" i="19"/>
  <c r="AE185" i="19"/>
  <c r="AE186" i="19"/>
  <c r="AE187" i="19"/>
  <c r="AE188" i="19"/>
  <c r="AE189" i="19"/>
  <c r="AE190" i="19"/>
  <c r="AE191" i="19"/>
  <c r="AE192" i="19"/>
  <c r="AE193" i="19"/>
  <c r="AE194" i="19"/>
  <c r="AE195" i="19"/>
  <c r="AE196" i="19"/>
  <c r="AE197" i="19"/>
  <c r="AE198" i="19"/>
  <c r="AE199" i="19"/>
  <c r="AE200" i="19"/>
  <c r="AE201" i="19"/>
  <c r="AE202" i="19"/>
  <c r="AE203" i="19"/>
  <c r="AE204" i="19"/>
  <c r="AE205" i="19"/>
  <c r="AE206" i="19"/>
  <c r="AE207" i="19"/>
  <c r="AE208" i="19"/>
  <c r="AE209" i="19"/>
  <c r="AE210" i="19"/>
  <c r="AE211" i="19"/>
  <c r="AE212" i="19"/>
  <c r="AE213" i="19"/>
  <c r="AE214" i="19"/>
  <c r="AE215" i="19"/>
  <c r="AE216" i="19"/>
  <c r="AE217" i="19"/>
  <c r="AE218" i="19"/>
  <c r="AE219" i="19"/>
  <c r="AE220" i="19"/>
  <c r="AE221" i="19"/>
  <c r="AE222" i="19"/>
  <c r="AE223" i="19"/>
  <c r="AE224" i="19"/>
  <c r="AE225" i="19"/>
  <c r="AE226" i="19"/>
  <c r="AE227" i="19"/>
  <c r="AE228" i="19"/>
  <c r="AE229" i="19"/>
  <c r="AE230" i="19"/>
  <c r="AE231" i="19"/>
  <c r="AE232" i="19"/>
  <c r="AE233" i="19"/>
  <c r="AE234" i="19"/>
  <c r="AE235" i="19"/>
  <c r="AE236" i="19"/>
  <c r="AE237" i="19"/>
  <c r="AE238" i="19"/>
  <c r="AE239" i="19"/>
  <c r="AE240" i="19"/>
  <c r="AE241" i="19"/>
  <c r="AE242" i="19"/>
  <c r="AE243" i="19"/>
  <c r="AE244" i="19"/>
  <c r="AE245" i="19"/>
  <c r="AE246" i="19"/>
  <c r="AE247" i="19"/>
  <c r="AE248" i="19"/>
  <c r="AE249" i="19"/>
  <c r="AE250" i="19"/>
  <c r="AE251" i="19"/>
  <c r="AE252" i="19"/>
  <c r="AE253" i="19"/>
  <c r="AE254" i="19"/>
  <c r="AE255" i="19"/>
  <c r="AE256" i="19"/>
  <c r="AE257" i="19"/>
  <c r="AE258" i="19"/>
  <c r="AE259" i="19"/>
  <c r="AE260" i="19"/>
  <c r="AE261" i="19"/>
  <c r="AE262" i="19"/>
  <c r="AE263" i="19"/>
  <c r="AE264" i="19"/>
  <c r="AE265" i="19"/>
  <c r="AE266" i="19"/>
  <c r="AE267" i="19"/>
  <c r="AE268" i="19"/>
  <c r="AE269" i="19"/>
  <c r="AE270" i="19"/>
  <c r="AE271" i="19"/>
  <c r="AE272" i="19"/>
  <c r="AE273" i="19"/>
  <c r="AE274" i="19"/>
  <c r="AE275" i="19"/>
  <c r="AE276" i="19"/>
  <c r="AE277" i="19"/>
  <c r="AE278" i="19"/>
  <c r="AE279" i="19"/>
  <c r="AE280" i="19"/>
  <c r="AE281" i="19"/>
  <c r="AE282" i="19"/>
  <c r="AE283" i="19"/>
  <c r="AE284" i="19"/>
  <c r="AE285" i="19"/>
  <c r="AE286" i="19"/>
  <c r="AE287" i="19"/>
  <c r="AE288" i="19"/>
  <c r="AE289" i="19"/>
  <c r="AE290" i="19"/>
  <c r="AE291" i="19"/>
  <c r="AE292" i="19"/>
  <c r="AE293" i="19"/>
  <c r="AE294" i="19"/>
  <c r="AE295" i="19"/>
  <c r="AE296" i="19"/>
  <c r="AE297" i="19"/>
  <c r="AE298" i="19"/>
  <c r="AE299" i="19"/>
  <c r="AE300" i="19"/>
  <c r="AE301" i="19"/>
  <c r="AE302" i="19"/>
  <c r="AE303" i="19"/>
  <c r="AE304" i="19"/>
  <c r="AE305" i="19"/>
  <c r="AE306" i="19"/>
  <c r="AE307" i="19"/>
  <c r="AE308" i="19"/>
  <c r="AE309" i="19"/>
  <c r="AE310" i="19"/>
  <c r="AE311" i="19"/>
  <c r="AE312" i="19"/>
  <c r="AE313" i="19"/>
  <c r="AE314" i="19"/>
  <c r="AE315" i="19"/>
  <c r="AE316" i="19"/>
  <c r="AE317" i="19"/>
  <c r="AE318" i="19"/>
  <c r="AE319" i="19"/>
  <c r="AE320" i="19"/>
  <c r="AE321" i="19"/>
  <c r="AE322" i="19"/>
  <c r="AE323" i="19"/>
  <c r="AE324" i="19"/>
  <c r="AC21" i="19"/>
  <c r="AC22" i="19"/>
  <c r="AC23" i="19"/>
  <c r="AC24" i="19"/>
  <c r="AC25" i="19"/>
  <c r="AC26" i="19"/>
  <c r="AC27" i="19"/>
  <c r="AC28" i="19"/>
  <c r="AC29" i="19"/>
  <c r="AC30" i="19"/>
  <c r="AC31" i="19"/>
  <c r="AC32" i="19"/>
  <c r="AC33" i="19"/>
  <c r="AC34" i="19"/>
  <c r="AC35" i="19"/>
  <c r="AC36" i="19"/>
  <c r="AC37" i="19"/>
  <c r="AC38" i="19"/>
  <c r="AC39" i="19"/>
  <c r="AC40" i="19"/>
  <c r="AC41" i="19"/>
  <c r="AC42" i="19"/>
  <c r="AC43" i="19"/>
  <c r="AC44" i="19"/>
  <c r="AC45" i="19"/>
  <c r="AC46" i="19"/>
  <c r="AC47" i="19"/>
  <c r="AC48" i="19"/>
  <c r="AC49" i="19"/>
  <c r="AC50" i="19"/>
  <c r="AC51" i="19"/>
  <c r="AC52" i="19"/>
  <c r="AC53" i="19"/>
  <c r="AC54" i="19"/>
  <c r="AC55" i="19"/>
  <c r="AC56" i="19"/>
  <c r="AC57" i="19"/>
  <c r="AC58" i="19"/>
  <c r="AC59" i="19"/>
  <c r="AC60" i="19"/>
  <c r="AC61" i="19"/>
  <c r="AC62" i="19"/>
  <c r="AC63" i="19"/>
  <c r="AC64" i="19"/>
  <c r="AC65" i="19"/>
  <c r="AC66" i="19"/>
  <c r="AC67" i="19"/>
  <c r="AC68" i="19"/>
  <c r="AC69" i="19"/>
  <c r="AC70" i="19"/>
  <c r="AC71" i="19"/>
  <c r="AC72" i="19"/>
  <c r="AC73" i="19"/>
  <c r="AC74" i="19"/>
  <c r="AC75" i="19"/>
  <c r="AC76" i="19"/>
  <c r="AC77" i="19"/>
  <c r="AC78" i="19"/>
  <c r="AC79" i="19"/>
  <c r="AC80" i="19"/>
  <c r="AC81" i="19"/>
  <c r="AC82" i="19"/>
  <c r="AC83" i="19"/>
  <c r="AC84" i="19"/>
  <c r="AC85" i="19"/>
  <c r="AC86" i="19"/>
  <c r="AC87" i="19"/>
  <c r="AC88" i="19"/>
  <c r="AC89" i="19"/>
  <c r="AC90" i="19"/>
  <c r="AC91" i="19"/>
  <c r="AC92" i="19"/>
  <c r="AC93" i="19"/>
  <c r="AC94" i="19"/>
  <c r="AC95" i="19"/>
  <c r="AC96" i="19"/>
  <c r="AC97" i="19"/>
  <c r="AC98" i="19"/>
  <c r="AC99" i="19"/>
  <c r="AC100" i="19"/>
  <c r="AC101" i="19"/>
  <c r="AC102" i="19"/>
  <c r="AC103" i="19"/>
  <c r="AC104" i="19"/>
  <c r="AC105" i="19"/>
  <c r="AC106" i="19"/>
  <c r="AC107" i="19"/>
  <c r="AC108" i="19"/>
  <c r="AC109" i="19"/>
  <c r="AC110" i="19"/>
  <c r="AC111" i="19"/>
  <c r="AC112" i="19"/>
  <c r="AC113" i="19"/>
  <c r="AC114" i="19"/>
  <c r="AC115" i="19"/>
  <c r="AC116" i="19"/>
  <c r="AC117" i="19"/>
  <c r="AC118" i="19"/>
  <c r="AC119" i="19"/>
  <c r="AC120" i="19"/>
  <c r="AC121" i="19"/>
  <c r="AC122" i="19"/>
  <c r="AC123" i="19"/>
  <c r="AC124" i="19"/>
  <c r="AC125" i="19"/>
  <c r="AC126" i="19"/>
  <c r="AC127" i="19"/>
  <c r="AC128" i="19"/>
  <c r="AC129" i="19"/>
  <c r="AC130" i="19"/>
  <c r="AC131" i="19"/>
  <c r="AC132" i="19"/>
  <c r="AC133" i="19"/>
  <c r="AC134" i="19"/>
  <c r="AC135" i="19"/>
  <c r="AC136" i="19"/>
  <c r="AC137" i="19"/>
  <c r="AC138" i="19"/>
  <c r="AC139" i="19"/>
  <c r="AC140" i="19"/>
  <c r="AC141" i="19"/>
  <c r="AC142" i="19"/>
  <c r="AC143" i="19"/>
  <c r="AC144" i="19"/>
  <c r="AC145" i="19"/>
  <c r="AC146" i="19"/>
  <c r="AC147" i="19"/>
  <c r="AC148" i="19"/>
  <c r="AC149" i="19"/>
  <c r="AC150" i="19"/>
  <c r="AC151" i="19"/>
  <c r="AC152" i="19"/>
  <c r="AC153" i="19"/>
  <c r="AC154" i="19"/>
  <c r="AC155" i="19"/>
  <c r="AC156" i="19"/>
  <c r="AC157" i="19"/>
  <c r="AC158" i="19"/>
  <c r="AC159" i="19"/>
  <c r="AC160" i="19"/>
  <c r="AC161" i="19"/>
  <c r="AC162" i="19"/>
  <c r="AC163" i="19"/>
  <c r="AC164" i="19"/>
  <c r="AC165" i="19"/>
  <c r="AC166" i="19"/>
  <c r="AC167" i="19"/>
  <c r="AC168" i="19"/>
  <c r="AC169" i="19"/>
  <c r="AC170" i="19"/>
  <c r="AC171" i="19"/>
  <c r="AC172" i="19"/>
  <c r="AC173" i="19"/>
  <c r="AC174" i="19"/>
  <c r="AC175" i="19"/>
  <c r="AC176" i="19"/>
  <c r="AC177" i="19"/>
  <c r="AC178" i="19"/>
  <c r="AC179" i="19"/>
  <c r="AC180" i="19"/>
  <c r="AC181" i="19"/>
  <c r="AC182" i="19"/>
  <c r="AC183" i="19"/>
  <c r="AC184" i="19"/>
  <c r="AC185" i="19"/>
  <c r="AC186" i="19"/>
  <c r="AC187" i="19"/>
  <c r="AC188" i="19"/>
  <c r="AC189" i="19"/>
  <c r="AC190" i="19"/>
  <c r="AC191" i="19"/>
  <c r="AC192" i="19"/>
  <c r="AC193" i="19"/>
  <c r="AC194" i="19"/>
  <c r="AC195" i="19"/>
  <c r="AC196" i="19"/>
  <c r="AC197" i="19"/>
  <c r="AC198" i="19"/>
  <c r="AC199" i="19"/>
  <c r="AC200" i="19"/>
  <c r="AC201" i="19"/>
  <c r="AC202" i="19"/>
  <c r="AC203" i="19"/>
  <c r="AC204" i="19"/>
  <c r="AC205" i="19"/>
  <c r="AC206" i="19"/>
  <c r="AC207" i="19"/>
  <c r="AC208" i="19"/>
  <c r="AC209" i="19"/>
  <c r="AC210" i="19"/>
  <c r="AC211" i="19"/>
  <c r="AC212" i="19"/>
  <c r="AC213" i="19"/>
  <c r="AC214" i="19"/>
  <c r="AC215" i="19"/>
  <c r="AC216" i="19"/>
  <c r="AC217" i="19"/>
  <c r="AC218" i="19"/>
  <c r="AC219" i="19"/>
  <c r="AC220" i="19"/>
  <c r="AC221" i="19"/>
  <c r="AC222" i="19"/>
  <c r="AC223" i="19"/>
  <c r="AC224" i="19"/>
  <c r="AC225" i="19"/>
  <c r="AC226" i="19"/>
  <c r="AC227" i="19"/>
  <c r="AC228" i="19"/>
  <c r="AC229" i="19"/>
  <c r="AC230" i="19"/>
  <c r="AC231" i="19"/>
  <c r="AC232" i="19"/>
  <c r="AC233" i="19"/>
  <c r="AC234" i="19"/>
  <c r="AC235" i="19"/>
  <c r="AC236" i="19"/>
  <c r="AC237" i="19"/>
  <c r="AC238" i="19"/>
  <c r="AC239" i="19"/>
  <c r="AC240" i="19"/>
  <c r="AC241" i="19"/>
  <c r="AC242" i="19"/>
  <c r="AC243" i="19"/>
  <c r="AC244" i="19"/>
  <c r="AC245" i="19"/>
  <c r="AC246" i="19"/>
  <c r="AC247" i="19"/>
  <c r="AC248" i="19"/>
  <c r="AC249" i="19"/>
  <c r="AC250" i="19"/>
  <c r="AC251" i="19"/>
  <c r="AC252" i="19"/>
  <c r="AC253" i="19"/>
  <c r="AC254" i="19"/>
  <c r="AC255" i="19"/>
  <c r="AC256" i="19"/>
  <c r="AC257" i="19"/>
  <c r="AC258" i="19"/>
  <c r="AC259" i="19"/>
  <c r="AC260" i="19"/>
  <c r="AC261" i="19"/>
  <c r="AC262" i="19"/>
  <c r="AC263" i="19"/>
  <c r="AC264" i="19"/>
  <c r="AC265" i="19"/>
  <c r="AC266" i="19"/>
  <c r="AC267" i="19"/>
  <c r="AC268" i="19"/>
  <c r="AC269" i="19"/>
  <c r="AC270" i="19"/>
  <c r="AC271" i="19"/>
  <c r="AC272" i="19"/>
  <c r="AC273" i="19"/>
  <c r="AC274" i="19"/>
  <c r="AC275" i="19"/>
  <c r="AC276" i="19"/>
  <c r="AC277" i="19"/>
  <c r="AC278" i="19"/>
  <c r="AC279" i="19"/>
  <c r="AC280" i="19"/>
  <c r="AC281" i="19"/>
  <c r="AC282" i="19"/>
  <c r="AC283" i="19"/>
  <c r="AC284" i="19"/>
  <c r="AC285" i="19"/>
  <c r="AC286" i="19"/>
  <c r="AC287" i="19"/>
  <c r="AC288" i="19"/>
  <c r="AC289" i="19"/>
  <c r="AC290" i="19"/>
  <c r="AC291" i="19"/>
  <c r="AC292" i="19"/>
  <c r="AC293" i="19"/>
  <c r="AC294" i="19"/>
  <c r="AC295" i="19"/>
  <c r="AC296" i="19"/>
  <c r="AC297" i="19"/>
  <c r="AC298" i="19"/>
  <c r="AC299" i="19"/>
  <c r="AC300" i="19"/>
  <c r="AC301" i="19"/>
  <c r="AC302" i="19"/>
  <c r="AC303" i="19"/>
  <c r="AC304" i="19"/>
  <c r="AC305" i="19"/>
  <c r="AC306" i="19"/>
  <c r="AC307" i="19"/>
  <c r="AC308" i="19"/>
  <c r="AC309" i="19"/>
  <c r="AC310" i="19"/>
  <c r="AC311" i="19"/>
  <c r="AC312" i="19"/>
  <c r="AC313" i="19"/>
  <c r="AC314" i="19"/>
  <c r="AC315" i="19"/>
  <c r="AC316" i="19"/>
  <c r="AC317" i="19"/>
  <c r="AC318" i="19"/>
  <c r="AC319" i="19"/>
  <c r="AC320" i="19"/>
  <c r="AC321" i="19"/>
  <c r="AC322" i="19"/>
  <c r="AC323" i="19"/>
  <c r="AC324" i="19"/>
  <c r="AC8" i="19"/>
  <c r="AC9" i="19"/>
  <c r="AC10" i="19"/>
  <c r="AC11" i="19"/>
  <c r="AC12" i="19"/>
  <c r="AC13" i="19"/>
  <c r="AC14" i="19"/>
  <c r="AC15" i="19"/>
  <c r="AC16" i="19"/>
  <c r="AC17" i="19"/>
  <c r="AC18" i="19"/>
  <c r="AC19" i="19"/>
  <c r="AC20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V7" i="19"/>
  <c r="V8" i="19"/>
  <c r="V9" i="19"/>
  <c r="V10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5" i="19"/>
  <c r="V26" i="19"/>
  <c r="V27" i="19"/>
  <c r="V28" i="19"/>
  <c r="V29" i="19"/>
  <c r="V30" i="19"/>
  <c r="V31" i="19"/>
  <c r="V32" i="19"/>
  <c r="V34" i="19"/>
  <c r="V35" i="19"/>
  <c r="V37" i="19"/>
  <c r="V38" i="19"/>
  <c r="V39" i="19"/>
  <c r="V40" i="19"/>
  <c r="V41" i="19"/>
  <c r="V43" i="19"/>
  <c r="V46" i="19"/>
  <c r="V47" i="19"/>
  <c r="V48" i="19"/>
  <c r="V50" i="19"/>
  <c r="V51" i="19"/>
  <c r="V53" i="19"/>
  <c r="V55" i="19"/>
  <c r="V56" i="19"/>
  <c r="V57" i="19"/>
  <c r="V58" i="19"/>
  <c r="V59" i="19"/>
  <c r="V61" i="19"/>
  <c r="V63" i="19"/>
  <c r="V64" i="19"/>
  <c r="V65" i="19"/>
  <c r="V66" i="19"/>
  <c r="V67" i="19"/>
  <c r="V68" i="19"/>
  <c r="V69" i="19"/>
  <c r="V70" i="19"/>
  <c r="V72" i="19"/>
  <c r="V73" i="19"/>
  <c r="V75" i="19"/>
  <c r="V76" i="19"/>
  <c r="V77" i="19"/>
  <c r="V79" i="19"/>
  <c r="V80" i="19"/>
  <c r="V82" i="19"/>
  <c r="V83" i="19"/>
  <c r="V84" i="19"/>
  <c r="V87" i="19"/>
  <c r="V91" i="19"/>
  <c r="V92" i="19"/>
  <c r="V93" i="19"/>
  <c r="V94" i="19"/>
  <c r="V95" i="19"/>
  <c r="V96" i="19"/>
  <c r="V97" i="19"/>
  <c r="V98" i="19"/>
  <c r="V99" i="19"/>
  <c r="V100" i="19"/>
  <c r="V101" i="19"/>
  <c r="V102" i="19"/>
  <c r="V103" i="19"/>
  <c r="V105" i="19"/>
  <c r="V107" i="19"/>
  <c r="V109" i="19"/>
  <c r="V110" i="19"/>
  <c r="V111" i="19"/>
  <c r="V112" i="19"/>
  <c r="V113" i="19"/>
  <c r="V114" i="19"/>
  <c r="V115" i="19"/>
  <c r="V116" i="19"/>
  <c r="V117" i="19"/>
  <c r="V118" i="19"/>
  <c r="V119" i="19"/>
  <c r="V121" i="19"/>
  <c r="V122" i="19"/>
  <c r="V123" i="19"/>
  <c r="V124" i="19"/>
  <c r="V125" i="19"/>
  <c r="V127" i="19"/>
  <c r="V128" i="19"/>
  <c r="V129" i="19"/>
  <c r="V130" i="19"/>
  <c r="V131" i="19"/>
  <c r="V132" i="19"/>
  <c r="V135" i="19"/>
  <c r="V136" i="19"/>
  <c r="V137" i="19"/>
  <c r="V138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V152" i="19"/>
  <c r="V155" i="19"/>
  <c r="V156" i="19"/>
  <c r="V157" i="19"/>
  <c r="V158" i="19"/>
  <c r="V161" i="19"/>
  <c r="V162" i="19"/>
  <c r="V163" i="19"/>
  <c r="V168" i="19"/>
  <c r="V173" i="19"/>
  <c r="V174" i="19"/>
  <c r="V175" i="19"/>
  <c r="V176" i="19"/>
  <c r="V179" i="19"/>
  <c r="V180" i="19"/>
  <c r="V181" i="19"/>
  <c r="V184" i="19"/>
  <c r="V186" i="19"/>
  <c r="V187" i="19"/>
  <c r="V188" i="19"/>
  <c r="V190" i="19"/>
  <c r="V194" i="19"/>
  <c r="V195" i="19"/>
  <c r="V196" i="19"/>
  <c r="V197" i="19"/>
  <c r="V198" i="19"/>
  <c r="V199" i="19"/>
  <c r="V200" i="19"/>
  <c r="V201" i="19"/>
  <c r="V202" i="19"/>
  <c r="V203" i="19"/>
  <c r="V205" i="19"/>
  <c r="V206" i="19"/>
  <c r="V207" i="19"/>
  <c r="V208" i="19"/>
  <c r="V209" i="19"/>
  <c r="V210" i="19"/>
  <c r="V211" i="19"/>
  <c r="V212" i="19"/>
  <c r="V213" i="19"/>
  <c r="V214" i="19"/>
  <c r="V218" i="19"/>
  <c r="V219" i="19"/>
  <c r="V220" i="19"/>
  <c r="V221" i="19"/>
  <c r="V222" i="19"/>
  <c r="V225" i="19"/>
  <c r="V228" i="19"/>
  <c r="V230" i="19"/>
  <c r="V231" i="19"/>
  <c r="V232" i="19"/>
  <c r="V234" i="19"/>
  <c r="V235" i="19"/>
  <c r="V236" i="19"/>
  <c r="V237" i="19"/>
  <c r="V239" i="19"/>
  <c r="V240" i="19"/>
  <c r="V243" i="19"/>
  <c r="V244" i="19"/>
  <c r="V246" i="19"/>
  <c r="V247" i="19"/>
  <c r="V249" i="19"/>
  <c r="V250" i="19"/>
  <c r="V251" i="19"/>
  <c r="V252" i="19"/>
  <c r="V253" i="19"/>
  <c r="V255" i="19"/>
  <c r="V256" i="19"/>
  <c r="V260" i="19"/>
  <c r="V262" i="19"/>
  <c r="V264" i="19"/>
  <c r="V265" i="19"/>
  <c r="V266" i="19"/>
  <c r="V267" i="19"/>
  <c r="V268" i="19"/>
  <c r="V269" i="19"/>
  <c r="V270" i="19"/>
  <c r="V271" i="19"/>
  <c r="V272" i="19"/>
  <c r="V274" i="19"/>
  <c r="V275" i="19"/>
  <c r="V276" i="19"/>
  <c r="V277" i="19"/>
  <c r="V278" i="19"/>
  <c r="V281" i="19"/>
  <c r="V282" i="19"/>
  <c r="V283" i="19"/>
  <c r="V284" i="19"/>
  <c r="V285" i="19"/>
  <c r="V286" i="19"/>
  <c r="V287" i="19"/>
  <c r="V288" i="19"/>
  <c r="V289" i="19"/>
  <c r="V290" i="19"/>
  <c r="V291" i="19"/>
  <c r="V292" i="19"/>
  <c r="V293" i="19"/>
  <c r="V294" i="19"/>
  <c r="V296" i="19"/>
  <c r="V297" i="19"/>
  <c r="V298" i="19"/>
  <c r="V299" i="19"/>
  <c r="V300" i="19"/>
  <c r="V301" i="19"/>
  <c r="V304" i="19"/>
  <c r="V306" i="19"/>
  <c r="V307" i="19"/>
  <c r="V309" i="19"/>
  <c r="V310" i="19"/>
  <c r="V312" i="19"/>
  <c r="V313" i="19"/>
  <c r="V316" i="19"/>
  <c r="V323" i="19"/>
  <c r="V324" i="19"/>
  <c r="P8" i="19"/>
  <c r="O8" i="19" s="1"/>
  <c r="P9" i="19"/>
  <c r="P10" i="19"/>
  <c r="O10" i="19" s="1"/>
  <c r="P11" i="19"/>
  <c r="O11" i="19" s="1"/>
  <c r="P12" i="19"/>
  <c r="O12" i="19" s="1"/>
  <c r="P13" i="19"/>
  <c r="O13" i="19" s="1"/>
  <c r="P14" i="19"/>
  <c r="O14" i="19" s="1"/>
  <c r="P15" i="19"/>
  <c r="O15" i="19" s="1"/>
  <c r="P16" i="19"/>
  <c r="O16" i="19" s="1"/>
  <c r="P17" i="19"/>
  <c r="O17" i="19" s="1"/>
  <c r="P18" i="19"/>
  <c r="O18" i="19" s="1"/>
  <c r="P19" i="19"/>
  <c r="O19" i="19" s="1"/>
  <c r="P20" i="19"/>
  <c r="O20" i="19" s="1"/>
  <c r="P21" i="19"/>
  <c r="O21" i="19" s="1"/>
  <c r="P22" i="19"/>
  <c r="O22" i="19" s="1"/>
  <c r="P23" i="19"/>
  <c r="O23" i="19" s="1"/>
  <c r="P24" i="19"/>
  <c r="O24" i="19" s="1"/>
  <c r="P25" i="19"/>
  <c r="O25" i="19" s="1"/>
  <c r="P26" i="19"/>
  <c r="O26" i="19" s="1"/>
  <c r="P27" i="19"/>
  <c r="O27" i="19" s="1"/>
  <c r="P28" i="19"/>
  <c r="O28" i="19" s="1"/>
  <c r="P29" i="19"/>
  <c r="O29" i="19" s="1"/>
  <c r="P30" i="19"/>
  <c r="O30" i="19" s="1"/>
  <c r="P31" i="19"/>
  <c r="O31" i="19" s="1"/>
  <c r="P32" i="19"/>
  <c r="O32" i="19" s="1"/>
  <c r="P33" i="19"/>
  <c r="O33" i="19" s="1"/>
  <c r="P34" i="19"/>
  <c r="O34" i="19" s="1"/>
  <c r="P35" i="19"/>
  <c r="O35" i="19" s="1"/>
  <c r="P36" i="19"/>
  <c r="O36" i="19" s="1"/>
  <c r="P37" i="19"/>
  <c r="O37" i="19" s="1"/>
  <c r="P38" i="19"/>
  <c r="O38" i="19" s="1"/>
  <c r="P39" i="19"/>
  <c r="O39" i="19" s="1"/>
  <c r="P40" i="19"/>
  <c r="O40" i="19" s="1"/>
  <c r="P41" i="19"/>
  <c r="O41" i="19" s="1"/>
  <c r="P42" i="19"/>
  <c r="O42" i="19" s="1"/>
  <c r="P43" i="19"/>
  <c r="O43" i="19" s="1"/>
  <c r="P44" i="19"/>
  <c r="O44" i="19" s="1"/>
  <c r="P45" i="19"/>
  <c r="O45" i="19" s="1"/>
  <c r="P46" i="19"/>
  <c r="O46" i="19" s="1"/>
  <c r="P47" i="19"/>
  <c r="O47" i="19" s="1"/>
  <c r="P48" i="19"/>
  <c r="O48" i="19" s="1"/>
  <c r="P49" i="19"/>
  <c r="O49" i="19" s="1"/>
  <c r="P50" i="19"/>
  <c r="O50" i="19" s="1"/>
  <c r="P51" i="19"/>
  <c r="O51" i="19" s="1"/>
  <c r="P52" i="19"/>
  <c r="O52" i="19" s="1"/>
  <c r="P53" i="19"/>
  <c r="O53" i="19" s="1"/>
  <c r="P54" i="19"/>
  <c r="O54" i="19" s="1"/>
  <c r="P55" i="19"/>
  <c r="O55" i="19" s="1"/>
  <c r="P56" i="19"/>
  <c r="O56" i="19" s="1"/>
  <c r="P57" i="19"/>
  <c r="O57" i="19" s="1"/>
  <c r="P58" i="19"/>
  <c r="O58" i="19" s="1"/>
  <c r="P59" i="19"/>
  <c r="O59" i="19" s="1"/>
  <c r="P60" i="19"/>
  <c r="O60" i="19" s="1"/>
  <c r="P61" i="19"/>
  <c r="O61" i="19" s="1"/>
  <c r="P62" i="19"/>
  <c r="O62" i="19" s="1"/>
  <c r="P63" i="19"/>
  <c r="O63" i="19" s="1"/>
  <c r="P64" i="19"/>
  <c r="O64" i="19" s="1"/>
  <c r="P65" i="19"/>
  <c r="O65" i="19" s="1"/>
  <c r="P66" i="19"/>
  <c r="O66" i="19" s="1"/>
  <c r="P67" i="19"/>
  <c r="O67" i="19" s="1"/>
  <c r="P68" i="19"/>
  <c r="O68" i="19" s="1"/>
  <c r="P69" i="19"/>
  <c r="O69" i="19" s="1"/>
  <c r="P70" i="19"/>
  <c r="O70" i="19" s="1"/>
  <c r="P71" i="19"/>
  <c r="O71" i="19" s="1"/>
  <c r="P72" i="19"/>
  <c r="O72" i="19" s="1"/>
  <c r="P73" i="19"/>
  <c r="O73" i="19" s="1"/>
  <c r="P74" i="19"/>
  <c r="O74" i="19" s="1"/>
  <c r="P75" i="19"/>
  <c r="O75" i="19" s="1"/>
  <c r="P76" i="19"/>
  <c r="O76" i="19" s="1"/>
  <c r="P77" i="19"/>
  <c r="O77" i="19" s="1"/>
  <c r="P78" i="19"/>
  <c r="O78" i="19" s="1"/>
  <c r="P79" i="19"/>
  <c r="O79" i="19" s="1"/>
  <c r="P80" i="19"/>
  <c r="O80" i="19" s="1"/>
  <c r="P81" i="19"/>
  <c r="O81" i="19" s="1"/>
  <c r="P82" i="19"/>
  <c r="O82" i="19" s="1"/>
  <c r="P83" i="19"/>
  <c r="O83" i="19" s="1"/>
  <c r="P84" i="19"/>
  <c r="O84" i="19" s="1"/>
  <c r="P85" i="19"/>
  <c r="O85" i="19" s="1"/>
  <c r="P86" i="19"/>
  <c r="O86" i="19" s="1"/>
  <c r="P87" i="19"/>
  <c r="O87" i="19" s="1"/>
  <c r="P88" i="19"/>
  <c r="O88" i="19" s="1"/>
  <c r="P89" i="19"/>
  <c r="O89" i="19" s="1"/>
  <c r="P90" i="19"/>
  <c r="O90" i="19" s="1"/>
  <c r="P91" i="19"/>
  <c r="O91" i="19" s="1"/>
  <c r="P92" i="19"/>
  <c r="O92" i="19" s="1"/>
  <c r="P93" i="19"/>
  <c r="O93" i="19" s="1"/>
  <c r="P94" i="19"/>
  <c r="O94" i="19" s="1"/>
  <c r="P95" i="19"/>
  <c r="O95" i="19" s="1"/>
  <c r="P96" i="19"/>
  <c r="O96" i="19" s="1"/>
  <c r="P97" i="19"/>
  <c r="O97" i="19" s="1"/>
  <c r="P98" i="19"/>
  <c r="O98" i="19" s="1"/>
  <c r="P99" i="19"/>
  <c r="O99" i="19" s="1"/>
  <c r="P100" i="19"/>
  <c r="O100" i="19" s="1"/>
  <c r="P101" i="19"/>
  <c r="O101" i="19" s="1"/>
  <c r="P102" i="19"/>
  <c r="O102" i="19" s="1"/>
  <c r="P103" i="19"/>
  <c r="O103" i="19" s="1"/>
  <c r="P104" i="19"/>
  <c r="O104" i="19" s="1"/>
  <c r="P105" i="19"/>
  <c r="O105" i="19" s="1"/>
  <c r="P106" i="19"/>
  <c r="O106" i="19" s="1"/>
  <c r="P107" i="19"/>
  <c r="O107" i="19" s="1"/>
  <c r="P108" i="19"/>
  <c r="O108" i="19" s="1"/>
  <c r="P109" i="19"/>
  <c r="O109" i="19" s="1"/>
  <c r="P110" i="19"/>
  <c r="O110" i="19" s="1"/>
  <c r="P111" i="19"/>
  <c r="O111" i="19" s="1"/>
  <c r="P112" i="19"/>
  <c r="O112" i="19" s="1"/>
  <c r="P113" i="19"/>
  <c r="O113" i="19" s="1"/>
  <c r="P114" i="19"/>
  <c r="O114" i="19" s="1"/>
  <c r="P115" i="19"/>
  <c r="O115" i="19" s="1"/>
  <c r="P116" i="19"/>
  <c r="O116" i="19" s="1"/>
  <c r="P117" i="19"/>
  <c r="O117" i="19" s="1"/>
  <c r="P118" i="19"/>
  <c r="O118" i="19" s="1"/>
  <c r="P119" i="19"/>
  <c r="O119" i="19" s="1"/>
  <c r="P120" i="19"/>
  <c r="O120" i="19" s="1"/>
  <c r="P121" i="19"/>
  <c r="O121" i="19" s="1"/>
  <c r="P122" i="19"/>
  <c r="O122" i="19" s="1"/>
  <c r="P123" i="19"/>
  <c r="O123" i="19" s="1"/>
  <c r="P124" i="19"/>
  <c r="O124" i="19" s="1"/>
  <c r="P125" i="19"/>
  <c r="O125" i="19" s="1"/>
  <c r="P126" i="19"/>
  <c r="O126" i="19" s="1"/>
  <c r="P127" i="19"/>
  <c r="O127" i="19" s="1"/>
  <c r="P128" i="19"/>
  <c r="O128" i="19" s="1"/>
  <c r="P129" i="19"/>
  <c r="O129" i="19" s="1"/>
  <c r="P130" i="19"/>
  <c r="O130" i="19" s="1"/>
  <c r="P131" i="19"/>
  <c r="O131" i="19" s="1"/>
  <c r="P132" i="19"/>
  <c r="O132" i="19" s="1"/>
  <c r="P133" i="19"/>
  <c r="O133" i="19" s="1"/>
  <c r="P134" i="19"/>
  <c r="O134" i="19" s="1"/>
  <c r="P135" i="19"/>
  <c r="O135" i="19" s="1"/>
  <c r="P136" i="19"/>
  <c r="O136" i="19" s="1"/>
  <c r="P137" i="19"/>
  <c r="O137" i="19" s="1"/>
  <c r="P138" i="19"/>
  <c r="O138" i="19" s="1"/>
  <c r="P139" i="19"/>
  <c r="O139" i="19" s="1"/>
  <c r="P140" i="19"/>
  <c r="O140" i="19" s="1"/>
  <c r="P141" i="19"/>
  <c r="O141" i="19" s="1"/>
  <c r="P142" i="19"/>
  <c r="O142" i="19" s="1"/>
  <c r="P143" i="19"/>
  <c r="O143" i="19" s="1"/>
  <c r="P144" i="19"/>
  <c r="O144" i="19" s="1"/>
  <c r="P145" i="19"/>
  <c r="O145" i="19" s="1"/>
  <c r="P146" i="19"/>
  <c r="O146" i="19" s="1"/>
  <c r="P147" i="19"/>
  <c r="O147" i="19" s="1"/>
  <c r="P148" i="19"/>
  <c r="O148" i="19" s="1"/>
  <c r="P149" i="19"/>
  <c r="O149" i="19" s="1"/>
  <c r="P150" i="19"/>
  <c r="O150" i="19" s="1"/>
  <c r="P151" i="19"/>
  <c r="O151" i="19" s="1"/>
  <c r="P152" i="19"/>
  <c r="O152" i="19" s="1"/>
  <c r="P153" i="19"/>
  <c r="O153" i="19" s="1"/>
  <c r="P154" i="19"/>
  <c r="O154" i="19" s="1"/>
  <c r="P155" i="19"/>
  <c r="O155" i="19" s="1"/>
  <c r="P156" i="19"/>
  <c r="O156" i="19" s="1"/>
  <c r="P157" i="19"/>
  <c r="O157" i="19" s="1"/>
  <c r="P158" i="19"/>
  <c r="O158" i="19" s="1"/>
  <c r="P159" i="19"/>
  <c r="O159" i="19" s="1"/>
  <c r="P160" i="19"/>
  <c r="O160" i="19" s="1"/>
  <c r="P161" i="19"/>
  <c r="O161" i="19" s="1"/>
  <c r="P162" i="19"/>
  <c r="O162" i="19" s="1"/>
  <c r="P163" i="19"/>
  <c r="O163" i="19" s="1"/>
  <c r="P164" i="19"/>
  <c r="O164" i="19" s="1"/>
  <c r="P165" i="19"/>
  <c r="O165" i="19" s="1"/>
  <c r="P166" i="19"/>
  <c r="O166" i="19" s="1"/>
  <c r="P167" i="19"/>
  <c r="O167" i="19" s="1"/>
  <c r="P168" i="19"/>
  <c r="O168" i="19" s="1"/>
  <c r="P169" i="19"/>
  <c r="O169" i="19" s="1"/>
  <c r="P170" i="19"/>
  <c r="O170" i="19" s="1"/>
  <c r="P171" i="19"/>
  <c r="O171" i="19" s="1"/>
  <c r="P172" i="19"/>
  <c r="O172" i="19" s="1"/>
  <c r="P173" i="19"/>
  <c r="O173" i="19" s="1"/>
  <c r="P174" i="19"/>
  <c r="O174" i="19" s="1"/>
  <c r="P175" i="19"/>
  <c r="O175" i="19" s="1"/>
  <c r="P176" i="19"/>
  <c r="O176" i="19" s="1"/>
  <c r="P177" i="19"/>
  <c r="O177" i="19" s="1"/>
  <c r="P178" i="19"/>
  <c r="O178" i="19" s="1"/>
  <c r="P179" i="19"/>
  <c r="O179" i="19" s="1"/>
  <c r="P180" i="19"/>
  <c r="O180" i="19" s="1"/>
  <c r="P181" i="19"/>
  <c r="O181" i="19" s="1"/>
  <c r="P182" i="19"/>
  <c r="O182" i="19" s="1"/>
  <c r="P183" i="19"/>
  <c r="O183" i="19" s="1"/>
  <c r="P184" i="19"/>
  <c r="O184" i="19" s="1"/>
  <c r="P185" i="19"/>
  <c r="O185" i="19" s="1"/>
  <c r="P186" i="19"/>
  <c r="O186" i="19" s="1"/>
  <c r="P187" i="19"/>
  <c r="O187" i="19" s="1"/>
  <c r="P188" i="19"/>
  <c r="O188" i="19" s="1"/>
  <c r="P189" i="19"/>
  <c r="O189" i="19" s="1"/>
  <c r="P190" i="19"/>
  <c r="O190" i="19" s="1"/>
  <c r="P191" i="19"/>
  <c r="O191" i="19" s="1"/>
  <c r="P192" i="19"/>
  <c r="O192" i="19" s="1"/>
  <c r="P193" i="19"/>
  <c r="O193" i="19" s="1"/>
  <c r="P194" i="19"/>
  <c r="O194" i="19" s="1"/>
  <c r="P195" i="19"/>
  <c r="O195" i="19" s="1"/>
  <c r="P196" i="19"/>
  <c r="O196" i="19" s="1"/>
  <c r="P197" i="19"/>
  <c r="O197" i="19" s="1"/>
  <c r="P198" i="19"/>
  <c r="O198" i="19" s="1"/>
  <c r="P199" i="19"/>
  <c r="O199" i="19" s="1"/>
  <c r="P200" i="19"/>
  <c r="O200" i="19" s="1"/>
  <c r="P201" i="19"/>
  <c r="O201" i="19" s="1"/>
  <c r="P202" i="19"/>
  <c r="O202" i="19" s="1"/>
  <c r="P203" i="19"/>
  <c r="O203" i="19" s="1"/>
  <c r="P204" i="19"/>
  <c r="O204" i="19" s="1"/>
  <c r="P205" i="19"/>
  <c r="O205" i="19" s="1"/>
  <c r="P206" i="19"/>
  <c r="O206" i="19" s="1"/>
  <c r="P207" i="19"/>
  <c r="O207" i="19" s="1"/>
  <c r="P208" i="19"/>
  <c r="O208" i="19" s="1"/>
  <c r="P209" i="19"/>
  <c r="O209" i="19" s="1"/>
  <c r="P210" i="19"/>
  <c r="O210" i="19" s="1"/>
  <c r="P211" i="19"/>
  <c r="O211" i="19" s="1"/>
  <c r="P212" i="19"/>
  <c r="O212" i="19" s="1"/>
  <c r="P213" i="19"/>
  <c r="O213" i="19" s="1"/>
  <c r="P214" i="19"/>
  <c r="O214" i="19" s="1"/>
  <c r="P215" i="19"/>
  <c r="O215" i="19" s="1"/>
  <c r="P216" i="19"/>
  <c r="O216" i="19" s="1"/>
  <c r="P217" i="19"/>
  <c r="O217" i="19" s="1"/>
  <c r="P218" i="19"/>
  <c r="O218" i="19" s="1"/>
  <c r="P219" i="19"/>
  <c r="O219" i="19" s="1"/>
  <c r="P220" i="19"/>
  <c r="O220" i="19" s="1"/>
  <c r="P221" i="19"/>
  <c r="O221" i="19" s="1"/>
  <c r="P222" i="19"/>
  <c r="O222" i="19" s="1"/>
  <c r="P223" i="19"/>
  <c r="O223" i="19" s="1"/>
  <c r="P224" i="19"/>
  <c r="O224" i="19" s="1"/>
  <c r="P225" i="19"/>
  <c r="O225" i="19" s="1"/>
  <c r="P226" i="19"/>
  <c r="O226" i="19" s="1"/>
  <c r="P227" i="19"/>
  <c r="O227" i="19" s="1"/>
  <c r="P228" i="19"/>
  <c r="O228" i="19" s="1"/>
  <c r="P229" i="19"/>
  <c r="O229" i="19" s="1"/>
  <c r="P230" i="19"/>
  <c r="O230" i="19" s="1"/>
  <c r="P231" i="19"/>
  <c r="O231" i="19" s="1"/>
  <c r="P232" i="19"/>
  <c r="O232" i="19" s="1"/>
  <c r="P233" i="19"/>
  <c r="O233" i="19" s="1"/>
  <c r="P234" i="19"/>
  <c r="O234" i="19" s="1"/>
  <c r="P235" i="19"/>
  <c r="O235" i="19" s="1"/>
  <c r="P236" i="19"/>
  <c r="O236" i="19" s="1"/>
  <c r="P237" i="19"/>
  <c r="O237" i="19" s="1"/>
  <c r="P238" i="19"/>
  <c r="O238" i="19" s="1"/>
  <c r="P239" i="19"/>
  <c r="O239" i="19" s="1"/>
  <c r="P240" i="19"/>
  <c r="O240" i="19" s="1"/>
  <c r="P241" i="19"/>
  <c r="O241" i="19" s="1"/>
  <c r="P242" i="19"/>
  <c r="O242" i="19" s="1"/>
  <c r="P243" i="19"/>
  <c r="O243" i="19" s="1"/>
  <c r="P244" i="19"/>
  <c r="O244" i="19" s="1"/>
  <c r="P245" i="19"/>
  <c r="O245" i="19" s="1"/>
  <c r="P246" i="19"/>
  <c r="O246" i="19" s="1"/>
  <c r="P247" i="19"/>
  <c r="O247" i="19" s="1"/>
  <c r="P248" i="19"/>
  <c r="O248" i="19" s="1"/>
  <c r="P249" i="19"/>
  <c r="O249" i="19" s="1"/>
  <c r="P250" i="19"/>
  <c r="O250" i="19" s="1"/>
  <c r="P251" i="19"/>
  <c r="O251" i="19" s="1"/>
  <c r="P252" i="19"/>
  <c r="O252" i="19" s="1"/>
  <c r="P253" i="19"/>
  <c r="O253" i="19" s="1"/>
  <c r="P254" i="19"/>
  <c r="O254" i="19" s="1"/>
  <c r="P255" i="19"/>
  <c r="O255" i="19" s="1"/>
  <c r="P256" i="19"/>
  <c r="O256" i="19" s="1"/>
  <c r="P257" i="19"/>
  <c r="O257" i="19" s="1"/>
  <c r="P258" i="19"/>
  <c r="O258" i="19" s="1"/>
  <c r="P259" i="19"/>
  <c r="O259" i="19" s="1"/>
  <c r="P260" i="19"/>
  <c r="O260" i="19" s="1"/>
  <c r="P261" i="19"/>
  <c r="O261" i="19" s="1"/>
  <c r="P262" i="19"/>
  <c r="O262" i="19" s="1"/>
  <c r="P263" i="19"/>
  <c r="O263" i="19" s="1"/>
  <c r="P264" i="19"/>
  <c r="O264" i="19" s="1"/>
  <c r="P265" i="19"/>
  <c r="O265" i="19" s="1"/>
  <c r="P266" i="19"/>
  <c r="O266" i="19" s="1"/>
  <c r="P267" i="19"/>
  <c r="O267" i="19" s="1"/>
  <c r="P268" i="19"/>
  <c r="O268" i="19" s="1"/>
  <c r="P269" i="19"/>
  <c r="O269" i="19" s="1"/>
  <c r="P270" i="19"/>
  <c r="O270" i="19" s="1"/>
  <c r="P271" i="19"/>
  <c r="O271" i="19" s="1"/>
  <c r="P272" i="19"/>
  <c r="O272" i="19" s="1"/>
  <c r="P273" i="19"/>
  <c r="O273" i="19" s="1"/>
  <c r="P274" i="19"/>
  <c r="O274" i="19" s="1"/>
  <c r="P275" i="19"/>
  <c r="O275" i="19" s="1"/>
  <c r="P276" i="19"/>
  <c r="O276" i="19" s="1"/>
  <c r="P277" i="19"/>
  <c r="O277" i="19" s="1"/>
  <c r="P278" i="19"/>
  <c r="O278" i="19" s="1"/>
  <c r="P279" i="19"/>
  <c r="O279" i="19" s="1"/>
  <c r="P280" i="19"/>
  <c r="O280" i="19" s="1"/>
  <c r="P281" i="19"/>
  <c r="O281" i="19" s="1"/>
  <c r="P282" i="19"/>
  <c r="O282" i="19" s="1"/>
  <c r="P283" i="19"/>
  <c r="O283" i="19" s="1"/>
  <c r="P284" i="19"/>
  <c r="O284" i="19" s="1"/>
  <c r="P285" i="19"/>
  <c r="O285" i="19" s="1"/>
  <c r="P286" i="19"/>
  <c r="O286" i="19" s="1"/>
  <c r="P287" i="19"/>
  <c r="O287" i="19" s="1"/>
  <c r="P288" i="19"/>
  <c r="O288" i="19" s="1"/>
  <c r="P289" i="19"/>
  <c r="O289" i="19" s="1"/>
  <c r="P290" i="19"/>
  <c r="O290" i="19" s="1"/>
  <c r="P291" i="19"/>
  <c r="O291" i="19" s="1"/>
  <c r="P292" i="19"/>
  <c r="O292" i="19" s="1"/>
  <c r="P293" i="19"/>
  <c r="O293" i="19" s="1"/>
  <c r="P294" i="19"/>
  <c r="O294" i="19" s="1"/>
  <c r="P295" i="19"/>
  <c r="O295" i="19" s="1"/>
  <c r="P296" i="19"/>
  <c r="O296" i="19" s="1"/>
  <c r="P297" i="19"/>
  <c r="O297" i="19" s="1"/>
  <c r="P298" i="19"/>
  <c r="O298" i="19" s="1"/>
  <c r="P299" i="19"/>
  <c r="O299" i="19" s="1"/>
  <c r="P300" i="19"/>
  <c r="O300" i="19" s="1"/>
  <c r="P301" i="19"/>
  <c r="O301" i="19" s="1"/>
  <c r="P302" i="19"/>
  <c r="O302" i="19" s="1"/>
  <c r="P303" i="19"/>
  <c r="O303" i="19" s="1"/>
  <c r="P304" i="19"/>
  <c r="O304" i="19" s="1"/>
  <c r="P305" i="19"/>
  <c r="O305" i="19" s="1"/>
  <c r="P306" i="19"/>
  <c r="O306" i="19" s="1"/>
  <c r="P307" i="19"/>
  <c r="O307" i="19" s="1"/>
  <c r="P308" i="19"/>
  <c r="O308" i="19" s="1"/>
  <c r="P309" i="19"/>
  <c r="O309" i="19" s="1"/>
  <c r="P310" i="19"/>
  <c r="O310" i="19" s="1"/>
  <c r="P311" i="19"/>
  <c r="O311" i="19" s="1"/>
  <c r="P312" i="19"/>
  <c r="O312" i="19" s="1"/>
  <c r="P313" i="19"/>
  <c r="O313" i="19" s="1"/>
  <c r="P314" i="19"/>
  <c r="O314" i="19" s="1"/>
  <c r="P315" i="19"/>
  <c r="O315" i="19" s="1"/>
  <c r="P316" i="19"/>
  <c r="O316" i="19" s="1"/>
  <c r="P317" i="19"/>
  <c r="O317" i="19" s="1"/>
  <c r="P318" i="19"/>
  <c r="O318" i="19" s="1"/>
  <c r="P319" i="19"/>
  <c r="O319" i="19" s="1"/>
  <c r="P320" i="19"/>
  <c r="O320" i="19" s="1"/>
  <c r="P321" i="19"/>
  <c r="O321" i="19" s="1"/>
  <c r="P322" i="19"/>
  <c r="O322" i="19" s="1"/>
  <c r="P323" i="19"/>
  <c r="O323" i="19" s="1"/>
  <c r="P324" i="19"/>
  <c r="O324" i="19" s="1"/>
  <c r="AI43" i="19"/>
  <c r="AH125" i="19"/>
  <c r="C8" i="19"/>
  <c r="D8" i="19"/>
  <c r="E8" i="19"/>
  <c r="F8" i="19"/>
  <c r="K8" i="19"/>
  <c r="L8" i="19"/>
  <c r="M8" i="19"/>
  <c r="Z8" i="19"/>
  <c r="D6" i="32" s="1"/>
  <c r="W8" i="19"/>
  <c r="X8" i="19"/>
  <c r="AA8" i="19"/>
  <c r="C9" i="19"/>
  <c r="D9" i="19"/>
  <c r="E9" i="19"/>
  <c r="F9" i="19"/>
  <c r="L9" i="19"/>
  <c r="M9" i="19"/>
  <c r="Z9" i="19"/>
  <c r="D7" i="32" s="1"/>
  <c r="W9" i="19"/>
  <c r="X9" i="19"/>
  <c r="AA9" i="19"/>
  <c r="C10" i="19"/>
  <c r="D10" i="19"/>
  <c r="E10" i="19"/>
  <c r="F10" i="19"/>
  <c r="L10" i="19"/>
  <c r="M10" i="19"/>
  <c r="Z10" i="19"/>
  <c r="D8" i="32" s="1"/>
  <c r="W10" i="19"/>
  <c r="X10" i="19"/>
  <c r="AA10" i="19"/>
  <c r="C11" i="19"/>
  <c r="D11" i="19"/>
  <c r="E11" i="19"/>
  <c r="F11" i="19"/>
  <c r="K11" i="19"/>
  <c r="L11" i="19"/>
  <c r="M11" i="19"/>
  <c r="W11" i="19"/>
  <c r="X11" i="19"/>
  <c r="AA11" i="19"/>
  <c r="C12" i="19"/>
  <c r="D12" i="19"/>
  <c r="E12" i="19"/>
  <c r="F12" i="19"/>
  <c r="L12" i="19"/>
  <c r="M12" i="19"/>
  <c r="W12" i="19"/>
  <c r="X12" i="19"/>
  <c r="AA12" i="19"/>
  <c r="C13" i="19"/>
  <c r="D13" i="19"/>
  <c r="E13" i="19"/>
  <c r="F13" i="19"/>
  <c r="K13" i="19"/>
  <c r="L13" i="19"/>
  <c r="M13" i="19"/>
  <c r="Z13" i="19"/>
  <c r="D11" i="32" s="1"/>
  <c r="W13" i="19"/>
  <c r="X13" i="19"/>
  <c r="AA13" i="19"/>
  <c r="C14" i="19"/>
  <c r="D14" i="19"/>
  <c r="E14" i="19"/>
  <c r="F14" i="19"/>
  <c r="K14" i="19"/>
  <c r="L14" i="19"/>
  <c r="M14" i="19"/>
  <c r="Z14" i="19"/>
  <c r="D12" i="32" s="1"/>
  <c r="W14" i="19"/>
  <c r="X14" i="19"/>
  <c r="AA14" i="19"/>
  <c r="C15" i="19"/>
  <c r="D15" i="19"/>
  <c r="E15" i="19"/>
  <c r="F15" i="19"/>
  <c r="K15" i="19"/>
  <c r="L15" i="19"/>
  <c r="M15" i="19"/>
  <c r="Z15" i="19"/>
  <c r="W15" i="19"/>
  <c r="X15" i="19"/>
  <c r="AA15" i="19"/>
  <c r="C16" i="19"/>
  <c r="D16" i="19"/>
  <c r="E16" i="19"/>
  <c r="F16" i="19"/>
  <c r="K16" i="19"/>
  <c r="L16" i="19"/>
  <c r="M16" i="19"/>
  <c r="Z16" i="19"/>
  <c r="D14" i="32" s="1"/>
  <c r="W16" i="19"/>
  <c r="X16" i="19"/>
  <c r="AA16" i="19"/>
  <c r="C17" i="19"/>
  <c r="D17" i="19"/>
  <c r="E17" i="19"/>
  <c r="F17" i="19"/>
  <c r="I17" i="19"/>
  <c r="K17" i="19"/>
  <c r="L17" i="19"/>
  <c r="M17" i="19"/>
  <c r="W17" i="19"/>
  <c r="X17" i="19"/>
  <c r="AA17" i="19"/>
  <c r="C18" i="19"/>
  <c r="D18" i="19"/>
  <c r="E18" i="19"/>
  <c r="F18" i="19"/>
  <c r="I18" i="19"/>
  <c r="K18" i="19"/>
  <c r="L18" i="19"/>
  <c r="M18" i="19"/>
  <c r="Z18" i="19"/>
  <c r="D16" i="32" s="1"/>
  <c r="W18" i="19"/>
  <c r="X18" i="19"/>
  <c r="AA18" i="19"/>
  <c r="C19" i="19"/>
  <c r="D19" i="19"/>
  <c r="E19" i="19"/>
  <c r="F19" i="19"/>
  <c r="I19" i="19"/>
  <c r="K19" i="19"/>
  <c r="L19" i="19"/>
  <c r="M19" i="19"/>
  <c r="Z19" i="19"/>
  <c r="D17" i="32" s="1"/>
  <c r="W19" i="19"/>
  <c r="X19" i="19"/>
  <c r="AA19" i="19"/>
  <c r="C20" i="19"/>
  <c r="D20" i="19"/>
  <c r="E20" i="19"/>
  <c r="F20" i="19"/>
  <c r="I20" i="19"/>
  <c r="K20" i="19"/>
  <c r="L20" i="19"/>
  <c r="M20" i="19"/>
  <c r="Z20" i="19"/>
  <c r="D18" i="32" s="1"/>
  <c r="W20" i="19"/>
  <c r="X20" i="19"/>
  <c r="AA20" i="19"/>
  <c r="C21" i="19"/>
  <c r="D21" i="19"/>
  <c r="E21" i="19"/>
  <c r="F21" i="19"/>
  <c r="I21" i="19"/>
  <c r="K21" i="19"/>
  <c r="L21" i="19"/>
  <c r="M21" i="19"/>
  <c r="Z21" i="19"/>
  <c r="D19" i="32" s="1"/>
  <c r="W21" i="19"/>
  <c r="X21" i="19"/>
  <c r="AA21" i="19"/>
  <c r="C22" i="19"/>
  <c r="D22" i="19"/>
  <c r="E22" i="19"/>
  <c r="F22" i="19"/>
  <c r="I22" i="19"/>
  <c r="K22" i="19"/>
  <c r="L22" i="19"/>
  <c r="M22" i="19"/>
  <c r="Z22" i="19"/>
  <c r="D20" i="32" s="1"/>
  <c r="W22" i="19"/>
  <c r="X22" i="19"/>
  <c r="AA22" i="19"/>
  <c r="C23" i="19"/>
  <c r="D23" i="19"/>
  <c r="E23" i="19"/>
  <c r="F23" i="19"/>
  <c r="I23" i="19"/>
  <c r="K23" i="19"/>
  <c r="L23" i="19"/>
  <c r="M23" i="19"/>
  <c r="Z23" i="19"/>
  <c r="D21" i="32" s="1"/>
  <c r="W23" i="19"/>
  <c r="X23" i="19"/>
  <c r="AA23" i="19"/>
  <c r="C24" i="19"/>
  <c r="D24" i="19"/>
  <c r="E24" i="19"/>
  <c r="F24" i="19"/>
  <c r="I24" i="19"/>
  <c r="K24" i="19"/>
  <c r="L24" i="19"/>
  <c r="M24" i="19"/>
  <c r="Z24" i="19"/>
  <c r="D22" i="32" s="1"/>
  <c r="W24" i="19"/>
  <c r="X24" i="19"/>
  <c r="AA24" i="19"/>
  <c r="C25" i="19"/>
  <c r="D25" i="19"/>
  <c r="E25" i="19"/>
  <c r="F25" i="19"/>
  <c r="I25" i="19"/>
  <c r="K25" i="19"/>
  <c r="L25" i="19"/>
  <c r="M25" i="19"/>
  <c r="Z25" i="19"/>
  <c r="D23" i="32" s="1"/>
  <c r="W25" i="19"/>
  <c r="X25" i="19"/>
  <c r="AA25" i="19"/>
  <c r="C26" i="19"/>
  <c r="D26" i="19"/>
  <c r="E26" i="19"/>
  <c r="F26" i="19"/>
  <c r="I26" i="19"/>
  <c r="K26" i="19"/>
  <c r="L26" i="19"/>
  <c r="M26" i="19"/>
  <c r="Z26" i="19"/>
  <c r="D24" i="32" s="1"/>
  <c r="W26" i="19"/>
  <c r="X26" i="19"/>
  <c r="AA26" i="19"/>
  <c r="C27" i="19"/>
  <c r="D27" i="19"/>
  <c r="E27" i="19"/>
  <c r="F27" i="19"/>
  <c r="I27" i="19"/>
  <c r="K27" i="19"/>
  <c r="L27" i="19"/>
  <c r="M27" i="19"/>
  <c r="Z27" i="19"/>
  <c r="D25" i="32" s="1"/>
  <c r="W27" i="19"/>
  <c r="X27" i="19"/>
  <c r="AA27" i="19"/>
  <c r="C28" i="19"/>
  <c r="D28" i="19"/>
  <c r="E28" i="19"/>
  <c r="F28" i="19"/>
  <c r="I28" i="19"/>
  <c r="K28" i="19"/>
  <c r="L28" i="19"/>
  <c r="M28" i="19"/>
  <c r="Z28" i="19"/>
  <c r="D26" i="32" s="1"/>
  <c r="W28" i="19"/>
  <c r="X28" i="19"/>
  <c r="AA28" i="19"/>
  <c r="C29" i="19"/>
  <c r="D29" i="19"/>
  <c r="E29" i="19"/>
  <c r="F29" i="19"/>
  <c r="I29" i="19"/>
  <c r="K29" i="19"/>
  <c r="L29" i="19"/>
  <c r="M29" i="19"/>
  <c r="Z29" i="19"/>
  <c r="D27" i="32" s="1"/>
  <c r="W29" i="19"/>
  <c r="X29" i="19"/>
  <c r="AA29" i="19"/>
  <c r="C30" i="19"/>
  <c r="D30" i="19"/>
  <c r="E30" i="19"/>
  <c r="F30" i="19"/>
  <c r="I30" i="19"/>
  <c r="K30" i="19"/>
  <c r="L30" i="19"/>
  <c r="M30" i="19"/>
  <c r="W30" i="19"/>
  <c r="X30" i="19"/>
  <c r="AA30" i="19"/>
  <c r="C31" i="19"/>
  <c r="D31" i="19"/>
  <c r="E31" i="19"/>
  <c r="F31" i="19"/>
  <c r="I31" i="19"/>
  <c r="K31" i="19"/>
  <c r="L31" i="19"/>
  <c r="M31" i="19"/>
  <c r="Z31" i="19"/>
  <c r="D29" i="32" s="1"/>
  <c r="W31" i="19"/>
  <c r="X31" i="19"/>
  <c r="AA31" i="19"/>
  <c r="C32" i="19"/>
  <c r="D32" i="19"/>
  <c r="E32" i="19"/>
  <c r="F32" i="19"/>
  <c r="I32" i="19"/>
  <c r="K32" i="19"/>
  <c r="L32" i="19"/>
  <c r="M32" i="19"/>
  <c r="W32" i="19"/>
  <c r="X32" i="19"/>
  <c r="AA32" i="19"/>
  <c r="C33" i="19"/>
  <c r="D33" i="19"/>
  <c r="E33" i="19"/>
  <c r="F33" i="19"/>
  <c r="I33" i="19"/>
  <c r="K33" i="19"/>
  <c r="L33" i="19"/>
  <c r="M33" i="19"/>
  <c r="Z33" i="19"/>
  <c r="W33" i="19"/>
  <c r="X33" i="19"/>
  <c r="AA33" i="19"/>
  <c r="C34" i="19"/>
  <c r="D34" i="19"/>
  <c r="E34" i="19"/>
  <c r="F34" i="19"/>
  <c r="I34" i="19"/>
  <c r="K34" i="19"/>
  <c r="L34" i="19"/>
  <c r="M34" i="19"/>
  <c r="Z34" i="19"/>
  <c r="D32" i="32" s="1"/>
  <c r="W34" i="19"/>
  <c r="X34" i="19"/>
  <c r="AA34" i="19"/>
  <c r="C35" i="19"/>
  <c r="D35" i="19"/>
  <c r="E35" i="19"/>
  <c r="F35" i="19"/>
  <c r="I35" i="19"/>
  <c r="K35" i="19"/>
  <c r="L35" i="19"/>
  <c r="M35" i="19"/>
  <c r="W35" i="19"/>
  <c r="X35" i="19"/>
  <c r="AA35" i="19"/>
  <c r="C36" i="19"/>
  <c r="D36" i="19"/>
  <c r="E36" i="19"/>
  <c r="F36" i="19"/>
  <c r="I36" i="19"/>
  <c r="K36" i="19"/>
  <c r="L36" i="19"/>
  <c r="M36" i="19"/>
  <c r="W36" i="19"/>
  <c r="X36" i="19"/>
  <c r="AA36" i="19"/>
  <c r="C37" i="19"/>
  <c r="D37" i="19"/>
  <c r="E37" i="19"/>
  <c r="F37" i="19"/>
  <c r="I37" i="19"/>
  <c r="K37" i="19"/>
  <c r="L37" i="19"/>
  <c r="M37" i="19"/>
  <c r="W37" i="19"/>
  <c r="X37" i="19"/>
  <c r="AA37" i="19"/>
  <c r="C38" i="19"/>
  <c r="D38" i="19"/>
  <c r="E38" i="19"/>
  <c r="F38" i="19"/>
  <c r="I38" i="19"/>
  <c r="K38" i="19"/>
  <c r="L38" i="19"/>
  <c r="M38" i="19"/>
  <c r="Z38" i="19"/>
  <c r="D36" i="32" s="1"/>
  <c r="W38" i="19"/>
  <c r="X38" i="19"/>
  <c r="AA38" i="19"/>
  <c r="C39" i="19"/>
  <c r="D39" i="19"/>
  <c r="E39" i="19"/>
  <c r="F39" i="19"/>
  <c r="I39" i="19"/>
  <c r="K39" i="19"/>
  <c r="L39" i="19"/>
  <c r="M39" i="19"/>
  <c r="W39" i="19"/>
  <c r="X39" i="19"/>
  <c r="AA39" i="19"/>
  <c r="C40" i="19"/>
  <c r="D40" i="19"/>
  <c r="E40" i="19"/>
  <c r="F40" i="19"/>
  <c r="H40" i="19"/>
  <c r="I40" i="19"/>
  <c r="K40" i="19"/>
  <c r="L40" i="19"/>
  <c r="M40" i="19"/>
  <c r="W40" i="19"/>
  <c r="X40" i="19"/>
  <c r="AA40" i="19"/>
  <c r="C41" i="19"/>
  <c r="D41" i="19"/>
  <c r="E41" i="19"/>
  <c r="F41" i="19"/>
  <c r="H41" i="19"/>
  <c r="I41" i="19"/>
  <c r="K41" i="19"/>
  <c r="L41" i="19"/>
  <c r="M41" i="19"/>
  <c r="W41" i="19"/>
  <c r="X41" i="19"/>
  <c r="AA41" i="19"/>
  <c r="C42" i="19"/>
  <c r="D42" i="19"/>
  <c r="E42" i="19"/>
  <c r="F42" i="19"/>
  <c r="H42" i="19"/>
  <c r="I42" i="19"/>
  <c r="K42" i="19"/>
  <c r="L42" i="19"/>
  <c r="M42" i="19"/>
  <c r="W42" i="19"/>
  <c r="X42" i="19"/>
  <c r="AA42" i="19"/>
  <c r="C43" i="19"/>
  <c r="D43" i="19"/>
  <c r="E43" i="19"/>
  <c r="F43" i="19"/>
  <c r="H43" i="19"/>
  <c r="I43" i="19"/>
  <c r="K43" i="19"/>
  <c r="L43" i="19"/>
  <c r="M43" i="19"/>
  <c r="W43" i="19"/>
  <c r="X43" i="19"/>
  <c r="AA43" i="19"/>
  <c r="C44" i="19"/>
  <c r="D44" i="19"/>
  <c r="E44" i="19"/>
  <c r="F44" i="19"/>
  <c r="H44" i="19"/>
  <c r="I44" i="19"/>
  <c r="K44" i="19"/>
  <c r="L44" i="19"/>
  <c r="M44" i="19"/>
  <c r="W44" i="19"/>
  <c r="X44" i="19"/>
  <c r="AA44" i="19"/>
  <c r="C45" i="19"/>
  <c r="D45" i="19"/>
  <c r="E45" i="19"/>
  <c r="F45" i="19"/>
  <c r="H45" i="19"/>
  <c r="I45" i="19"/>
  <c r="K45" i="19"/>
  <c r="L45" i="19"/>
  <c r="M45" i="19"/>
  <c r="W45" i="19"/>
  <c r="X45" i="19"/>
  <c r="AA45" i="19"/>
  <c r="C46" i="19"/>
  <c r="D46" i="19"/>
  <c r="E46" i="19"/>
  <c r="F46" i="19"/>
  <c r="H46" i="19"/>
  <c r="I46" i="19"/>
  <c r="K46" i="19"/>
  <c r="L46" i="19"/>
  <c r="M46" i="19"/>
  <c r="W46" i="19"/>
  <c r="AA46" i="19"/>
  <c r="C47" i="19"/>
  <c r="D47" i="19"/>
  <c r="E47" i="19"/>
  <c r="F47" i="19"/>
  <c r="H47" i="19"/>
  <c r="I47" i="19"/>
  <c r="K47" i="19"/>
  <c r="L47" i="19"/>
  <c r="M47" i="19"/>
  <c r="W47" i="19"/>
  <c r="X47" i="19"/>
  <c r="AA47" i="19"/>
  <c r="C48" i="19"/>
  <c r="D48" i="19"/>
  <c r="E48" i="19"/>
  <c r="F48" i="19"/>
  <c r="H48" i="19"/>
  <c r="I48" i="19"/>
  <c r="K48" i="19"/>
  <c r="L48" i="19"/>
  <c r="M48" i="19"/>
  <c r="Z48" i="19"/>
  <c r="D46" i="32" s="1"/>
  <c r="W48" i="19"/>
  <c r="X48" i="19"/>
  <c r="AA48" i="19"/>
  <c r="C49" i="19"/>
  <c r="D49" i="19"/>
  <c r="E49" i="19"/>
  <c r="F49" i="19"/>
  <c r="H49" i="19"/>
  <c r="I49" i="19"/>
  <c r="K49" i="19"/>
  <c r="L49" i="19"/>
  <c r="M49" i="19"/>
  <c r="W49" i="19"/>
  <c r="X49" i="19"/>
  <c r="AA49" i="19"/>
  <c r="C50" i="19"/>
  <c r="D50" i="19"/>
  <c r="E50" i="19"/>
  <c r="F50" i="19"/>
  <c r="H50" i="19"/>
  <c r="I50" i="19"/>
  <c r="K50" i="19"/>
  <c r="L50" i="19"/>
  <c r="M50" i="19"/>
  <c r="W50" i="19"/>
  <c r="X50" i="19"/>
  <c r="AA50" i="19"/>
  <c r="C51" i="19"/>
  <c r="D51" i="19"/>
  <c r="E51" i="19"/>
  <c r="F51" i="19"/>
  <c r="H51" i="19"/>
  <c r="I51" i="19"/>
  <c r="K51" i="19"/>
  <c r="L51" i="19"/>
  <c r="M51" i="19"/>
  <c r="Z51" i="19"/>
  <c r="D49" i="32" s="1"/>
  <c r="W51" i="19"/>
  <c r="X51" i="19"/>
  <c r="AA51" i="19"/>
  <c r="C52" i="19"/>
  <c r="D52" i="19"/>
  <c r="E52" i="19"/>
  <c r="F52" i="19"/>
  <c r="H52" i="19"/>
  <c r="I52" i="19"/>
  <c r="K52" i="19"/>
  <c r="L52" i="19"/>
  <c r="M52" i="19"/>
  <c r="W52" i="19"/>
  <c r="X52" i="19"/>
  <c r="AA52" i="19"/>
  <c r="C53" i="19"/>
  <c r="D53" i="19"/>
  <c r="E53" i="19"/>
  <c r="F53" i="19"/>
  <c r="H53" i="19"/>
  <c r="I53" i="19"/>
  <c r="K53" i="19"/>
  <c r="L53" i="19"/>
  <c r="M53" i="19"/>
  <c r="Z53" i="19"/>
  <c r="D51" i="32" s="1"/>
  <c r="W53" i="19"/>
  <c r="X53" i="19"/>
  <c r="AA53" i="19"/>
  <c r="C54" i="19"/>
  <c r="D54" i="19"/>
  <c r="E54" i="19"/>
  <c r="F54" i="19"/>
  <c r="H54" i="19"/>
  <c r="I54" i="19"/>
  <c r="K54" i="19"/>
  <c r="L54" i="19"/>
  <c r="M54" i="19"/>
  <c r="Z54" i="19"/>
  <c r="D52" i="32" s="1"/>
  <c r="W54" i="19"/>
  <c r="X54" i="19"/>
  <c r="AA54" i="19"/>
  <c r="C55" i="19"/>
  <c r="D55" i="19"/>
  <c r="E55" i="19"/>
  <c r="F55" i="19"/>
  <c r="H55" i="19"/>
  <c r="I55" i="19"/>
  <c r="K55" i="19"/>
  <c r="L55" i="19"/>
  <c r="M55" i="19"/>
  <c r="Z55" i="19"/>
  <c r="D53" i="32" s="1"/>
  <c r="W55" i="19"/>
  <c r="X55" i="19"/>
  <c r="AA55" i="19"/>
  <c r="C56" i="19"/>
  <c r="D56" i="19"/>
  <c r="E56" i="19"/>
  <c r="F56" i="19"/>
  <c r="H56" i="19"/>
  <c r="I56" i="19"/>
  <c r="K56" i="19"/>
  <c r="L56" i="19"/>
  <c r="M56" i="19"/>
  <c r="Z56" i="19"/>
  <c r="D54" i="32" s="1"/>
  <c r="W56" i="19"/>
  <c r="X56" i="19"/>
  <c r="AA56" i="19"/>
  <c r="C57" i="19"/>
  <c r="D57" i="19"/>
  <c r="E57" i="19"/>
  <c r="F57" i="19"/>
  <c r="H57" i="19"/>
  <c r="I57" i="19"/>
  <c r="K57" i="19"/>
  <c r="L57" i="19"/>
  <c r="M57" i="19"/>
  <c r="Z57" i="19"/>
  <c r="D55" i="32" s="1"/>
  <c r="W57" i="19"/>
  <c r="X57" i="19"/>
  <c r="AA57" i="19"/>
  <c r="C58" i="19"/>
  <c r="D58" i="19"/>
  <c r="E58" i="19"/>
  <c r="F58" i="19"/>
  <c r="H58" i="19"/>
  <c r="I58" i="19"/>
  <c r="K58" i="19"/>
  <c r="L58" i="19"/>
  <c r="M58" i="19"/>
  <c r="W58" i="19"/>
  <c r="X58" i="19"/>
  <c r="AA58" i="19"/>
  <c r="C59" i="19"/>
  <c r="D59" i="19"/>
  <c r="E59" i="19"/>
  <c r="F59" i="19"/>
  <c r="H59" i="19"/>
  <c r="I59" i="19"/>
  <c r="K59" i="19"/>
  <c r="L59" i="19"/>
  <c r="M59" i="19"/>
  <c r="Z59" i="19"/>
  <c r="D57" i="32" s="1"/>
  <c r="W59" i="19"/>
  <c r="X59" i="19"/>
  <c r="AA59" i="19"/>
  <c r="C60" i="19"/>
  <c r="D60" i="19"/>
  <c r="E60" i="19"/>
  <c r="F60" i="19"/>
  <c r="H60" i="19"/>
  <c r="I60" i="19"/>
  <c r="K60" i="19"/>
  <c r="L60" i="19"/>
  <c r="M60" i="19"/>
  <c r="Z60" i="19"/>
  <c r="D58" i="32" s="1"/>
  <c r="W60" i="19"/>
  <c r="X60" i="19"/>
  <c r="AA60" i="19"/>
  <c r="C61" i="19"/>
  <c r="D61" i="19"/>
  <c r="E61" i="19"/>
  <c r="F61" i="19"/>
  <c r="H61" i="19"/>
  <c r="I61" i="19"/>
  <c r="K61" i="19"/>
  <c r="L61" i="19"/>
  <c r="M61" i="19"/>
  <c r="Z61" i="19"/>
  <c r="D59" i="32" s="1"/>
  <c r="W61" i="19"/>
  <c r="X61" i="19"/>
  <c r="AA61" i="19"/>
  <c r="C62" i="19"/>
  <c r="D62" i="19"/>
  <c r="E62" i="19"/>
  <c r="F62" i="19"/>
  <c r="H62" i="19"/>
  <c r="I62" i="19"/>
  <c r="K62" i="19"/>
  <c r="L62" i="19"/>
  <c r="M62" i="19"/>
  <c r="W62" i="19"/>
  <c r="X62" i="19"/>
  <c r="AA62" i="19"/>
  <c r="C63" i="19"/>
  <c r="D63" i="19"/>
  <c r="E63" i="19"/>
  <c r="F63" i="19"/>
  <c r="H63" i="19"/>
  <c r="I63" i="19"/>
  <c r="K63" i="19"/>
  <c r="L63" i="19"/>
  <c r="M63" i="19"/>
  <c r="Z63" i="19"/>
  <c r="D61" i="32" s="1"/>
  <c r="W63" i="19"/>
  <c r="X63" i="19"/>
  <c r="AA63" i="19"/>
  <c r="C64" i="19"/>
  <c r="D64" i="19"/>
  <c r="E64" i="19"/>
  <c r="F64" i="19"/>
  <c r="H64" i="19"/>
  <c r="I64" i="19"/>
  <c r="K64" i="19"/>
  <c r="L64" i="19"/>
  <c r="M64" i="19"/>
  <c r="Z64" i="19"/>
  <c r="D62" i="32" s="1"/>
  <c r="W64" i="19"/>
  <c r="X64" i="19"/>
  <c r="AA64" i="19"/>
  <c r="C65" i="19"/>
  <c r="D65" i="19"/>
  <c r="E65" i="19"/>
  <c r="F65" i="19"/>
  <c r="H65" i="19"/>
  <c r="I65" i="19"/>
  <c r="K65" i="19"/>
  <c r="L65" i="19"/>
  <c r="M65" i="19"/>
  <c r="Z65" i="19"/>
  <c r="D63" i="32" s="1"/>
  <c r="W65" i="19"/>
  <c r="X65" i="19"/>
  <c r="AA65" i="19"/>
  <c r="C66" i="19"/>
  <c r="D66" i="19"/>
  <c r="E66" i="19"/>
  <c r="F66" i="19"/>
  <c r="H66" i="19"/>
  <c r="I66" i="19"/>
  <c r="K66" i="19"/>
  <c r="L66" i="19"/>
  <c r="M66" i="19"/>
  <c r="Z66" i="19"/>
  <c r="D64" i="32" s="1"/>
  <c r="W66" i="19"/>
  <c r="X66" i="19"/>
  <c r="AA66" i="19"/>
  <c r="C67" i="19"/>
  <c r="D67" i="19"/>
  <c r="E67" i="19"/>
  <c r="F67" i="19"/>
  <c r="H67" i="19"/>
  <c r="I67" i="19"/>
  <c r="K67" i="19"/>
  <c r="L67" i="19"/>
  <c r="M67" i="19"/>
  <c r="Z67" i="19"/>
  <c r="D65" i="32" s="1"/>
  <c r="W67" i="19"/>
  <c r="X67" i="19"/>
  <c r="AA67" i="19"/>
  <c r="D68" i="19"/>
  <c r="E68" i="19"/>
  <c r="F68" i="19"/>
  <c r="H68" i="19"/>
  <c r="I68" i="19"/>
  <c r="K68" i="19"/>
  <c r="L68" i="19"/>
  <c r="M68" i="19"/>
  <c r="Z68" i="19"/>
  <c r="D66" i="32" s="1"/>
  <c r="W68" i="19"/>
  <c r="X68" i="19"/>
  <c r="AA68" i="19"/>
  <c r="C69" i="19"/>
  <c r="D69" i="19"/>
  <c r="E69" i="19"/>
  <c r="F69" i="19"/>
  <c r="H69" i="19"/>
  <c r="I69" i="19"/>
  <c r="K69" i="19"/>
  <c r="L69" i="19"/>
  <c r="M69" i="19"/>
  <c r="Z69" i="19"/>
  <c r="D67" i="32" s="1"/>
  <c r="W69" i="19"/>
  <c r="X69" i="19"/>
  <c r="AA69" i="19"/>
  <c r="C70" i="19"/>
  <c r="D70" i="19"/>
  <c r="E70" i="19"/>
  <c r="F70" i="19"/>
  <c r="H70" i="19"/>
  <c r="I70" i="19"/>
  <c r="K70" i="19"/>
  <c r="L70" i="19"/>
  <c r="M70" i="19"/>
  <c r="Z70" i="19"/>
  <c r="D68" i="32" s="1"/>
  <c r="W70" i="19"/>
  <c r="X70" i="19"/>
  <c r="AA70" i="19"/>
  <c r="C71" i="19"/>
  <c r="D71" i="19"/>
  <c r="E71" i="19"/>
  <c r="F71" i="19"/>
  <c r="H71" i="19"/>
  <c r="I71" i="19"/>
  <c r="K71" i="19"/>
  <c r="L71" i="19"/>
  <c r="M71" i="19"/>
  <c r="Z71" i="19"/>
  <c r="D69" i="32" s="1"/>
  <c r="W71" i="19"/>
  <c r="X71" i="19"/>
  <c r="AA71" i="19"/>
  <c r="C72" i="19"/>
  <c r="D72" i="19"/>
  <c r="E72" i="19"/>
  <c r="F72" i="19"/>
  <c r="H72" i="19"/>
  <c r="I72" i="19"/>
  <c r="K72" i="19"/>
  <c r="L72" i="19"/>
  <c r="M72" i="19"/>
  <c r="Z72" i="19"/>
  <c r="D70" i="32" s="1"/>
  <c r="W72" i="19"/>
  <c r="X72" i="19"/>
  <c r="AA72" i="19"/>
  <c r="C73" i="19"/>
  <c r="D73" i="19"/>
  <c r="E73" i="19"/>
  <c r="F73" i="19"/>
  <c r="H73" i="19"/>
  <c r="I73" i="19"/>
  <c r="K73" i="19"/>
  <c r="L73" i="19"/>
  <c r="M73" i="19"/>
  <c r="Z73" i="19"/>
  <c r="D71" i="32" s="1"/>
  <c r="W73" i="19"/>
  <c r="X73" i="19"/>
  <c r="AA73" i="19"/>
  <c r="C74" i="19"/>
  <c r="D74" i="19"/>
  <c r="E74" i="19"/>
  <c r="F74" i="19"/>
  <c r="H74" i="19"/>
  <c r="I74" i="19"/>
  <c r="K74" i="19"/>
  <c r="L74" i="19"/>
  <c r="M74" i="19"/>
  <c r="Z74" i="19"/>
  <c r="D72" i="32" s="1"/>
  <c r="W74" i="19"/>
  <c r="X74" i="19"/>
  <c r="AA74" i="19"/>
  <c r="C75" i="19"/>
  <c r="D75" i="19"/>
  <c r="E75" i="19"/>
  <c r="F75" i="19"/>
  <c r="H75" i="19"/>
  <c r="I75" i="19"/>
  <c r="K75" i="19"/>
  <c r="L75" i="19"/>
  <c r="M75" i="19"/>
  <c r="Z75" i="19"/>
  <c r="D73" i="32" s="1"/>
  <c r="W75" i="19"/>
  <c r="X75" i="19"/>
  <c r="AA75" i="19"/>
  <c r="C76" i="19"/>
  <c r="D76" i="19"/>
  <c r="E76" i="19"/>
  <c r="F76" i="19"/>
  <c r="H76" i="19"/>
  <c r="I76" i="19"/>
  <c r="K76" i="19"/>
  <c r="L76" i="19"/>
  <c r="M76" i="19"/>
  <c r="Z76" i="19"/>
  <c r="D74" i="32" s="1"/>
  <c r="W76" i="19"/>
  <c r="X76" i="19"/>
  <c r="AA76" i="19"/>
  <c r="C77" i="19"/>
  <c r="D77" i="19"/>
  <c r="E77" i="19"/>
  <c r="F77" i="19"/>
  <c r="H77" i="19"/>
  <c r="I77" i="19"/>
  <c r="K77" i="19"/>
  <c r="L77" i="19"/>
  <c r="M77" i="19"/>
  <c r="Z77" i="19"/>
  <c r="D75" i="32" s="1"/>
  <c r="W77" i="19"/>
  <c r="X77" i="19"/>
  <c r="AA77" i="19"/>
  <c r="C78" i="19"/>
  <c r="D78" i="19"/>
  <c r="E78" i="19"/>
  <c r="F78" i="19"/>
  <c r="H78" i="19"/>
  <c r="I78" i="19"/>
  <c r="K78" i="19"/>
  <c r="L78" i="19"/>
  <c r="M78" i="19"/>
  <c r="Z78" i="19"/>
  <c r="D76" i="32" s="1"/>
  <c r="W78" i="19"/>
  <c r="X78" i="19"/>
  <c r="AA78" i="19"/>
  <c r="C79" i="19"/>
  <c r="D79" i="19"/>
  <c r="E79" i="19"/>
  <c r="F79" i="19"/>
  <c r="H79" i="19"/>
  <c r="I79" i="19"/>
  <c r="K79" i="19"/>
  <c r="L79" i="19"/>
  <c r="M79" i="19"/>
  <c r="Z79" i="19"/>
  <c r="D77" i="32" s="1"/>
  <c r="W79" i="19"/>
  <c r="X79" i="19"/>
  <c r="AA79" i="19"/>
  <c r="C80" i="19"/>
  <c r="D80" i="19"/>
  <c r="E80" i="19"/>
  <c r="F80" i="19"/>
  <c r="H80" i="19"/>
  <c r="I80" i="19"/>
  <c r="K80" i="19"/>
  <c r="L80" i="19"/>
  <c r="M80" i="19"/>
  <c r="Z80" i="19"/>
  <c r="D78" i="32" s="1"/>
  <c r="W80" i="19"/>
  <c r="X80" i="19"/>
  <c r="AA80" i="19"/>
  <c r="C81" i="19"/>
  <c r="D81" i="19"/>
  <c r="E81" i="19"/>
  <c r="F81" i="19"/>
  <c r="H81" i="19"/>
  <c r="I81" i="19"/>
  <c r="K81" i="19"/>
  <c r="L81" i="19"/>
  <c r="M81" i="19"/>
  <c r="Z81" i="19"/>
  <c r="D79" i="32" s="1"/>
  <c r="W81" i="19"/>
  <c r="X81" i="19"/>
  <c r="AA81" i="19"/>
  <c r="C82" i="19"/>
  <c r="D82" i="19"/>
  <c r="E82" i="19"/>
  <c r="F82" i="19"/>
  <c r="H82" i="19"/>
  <c r="I82" i="19"/>
  <c r="K82" i="19"/>
  <c r="L82" i="19"/>
  <c r="M82" i="19"/>
  <c r="Z82" i="19"/>
  <c r="D80" i="32" s="1"/>
  <c r="W82" i="19"/>
  <c r="X82" i="19"/>
  <c r="AA82" i="19"/>
  <c r="C83" i="19"/>
  <c r="D83" i="19"/>
  <c r="E83" i="19"/>
  <c r="F83" i="19"/>
  <c r="H83" i="19"/>
  <c r="I83" i="19"/>
  <c r="K83" i="19"/>
  <c r="L83" i="19"/>
  <c r="M83" i="19"/>
  <c r="Z83" i="19"/>
  <c r="D81" i="32" s="1"/>
  <c r="W83" i="19"/>
  <c r="X83" i="19"/>
  <c r="AA83" i="19"/>
  <c r="C84" i="19"/>
  <c r="D84" i="19"/>
  <c r="E84" i="19"/>
  <c r="F84" i="19"/>
  <c r="H84" i="19"/>
  <c r="I84" i="19"/>
  <c r="K84" i="19"/>
  <c r="L84" i="19"/>
  <c r="M84" i="19"/>
  <c r="W84" i="19"/>
  <c r="X84" i="19"/>
  <c r="AA84" i="19"/>
  <c r="C85" i="19"/>
  <c r="D85" i="19"/>
  <c r="E85" i="19"/>
  <c r="F85" i="19"/>
  <c r="H85" i="19"/>
  <c r="I85" i="19"/>
  <c r="K85" i="19"/>
  <c r="L85" i="19"/>
  <c r="M85" i="19"/>
  <c r="W85" i="19"/>
  <c r="X85" i="19"/>
  <c r="AA85" i="19"/>
  <c r="C86" i="19"/>
  <c r="D86" i="19"/>
  <c r="E86" i="19"/>
  <c r="F86" i="19"/>
  <c r="H86" i="19"/>
  <c r="I86" i="19"/>
  <c r="K86" i="19"/>
  <c r="L86" i="19"/>
  <c r="M86" i="19"/>
  <c r="Z86" i="19"/>
  <c r="D84" i="32" s="1"/>
  <c r="W86" i="19"/>
  <c r="Y86" i="19" s="1"/>
  <c r="C84" i="32" s="1"/>
  <c r="AA86" i="19"/>
  <c r="C87" i="19"/>
  <c r="D87" i="19"/>
  <c r="E87" i="19"/>
  <c r="F87" i="19"/>
  <c r="H87" i="19"/>
  <c r="I87" i="19"/>
  <c r="K87" i="19"/>
  <c r="L87" i="19"/>
  <c r="M87" i="19"/>
  <c r="Z87" i="19"/>
  <c r="D85" i="32" s="1"/>
  <c r="W87" i="19"/>
  <c r="X87" i="19"/>
  <c r="AA87" i="19"/>
  <c r="C88" i="19"/>
  <c r="D88" i="19"/>
  <c r="E88" i="19"/>
  <c r="F88" i="19"/>
  <c r="H88" i="19"/>
  <c r="I88" i="19"/>
  <c r="K88" i="19"/>
  <c r="L88" i="19"/>
  <c r="M88" i="19"/>
  <c r="AA88" i="19"/>
  <c r="C89" i="19"/>
  <c r="D89" i="19"/>
  <c r="E89" i="19"/>
  <c r="F89" i="19"/>
  <c r="H89" i="19"/>
  <c r="I89" i="19"/>
  <c r="K89" i="19"/>
  <c r="L89" i="19"/>
  <c r="M89" i="19"/>
  <c r="Z89" i="19"/>
  <c r="D87" i="32" s="1"/>
  <c r="W89" i="19"/>
  <c r="X89" i="19"/>
  <c r="AA89" i="19"/>
  <c r="C90" i="19"/>
  <c r="D90" i="19"/>
  <c r="E90" i="19"/>
  <c r="F90" i="19"/>
  <c r="H90" i="19"/>
  <c r="I90" i="19"/>
  <c r="K90" i="19"/>
  <c r="L90" i="19"/>
  <c r="M90" i="19"/>
  <c r="Z90" i="19"/>
  <c r="D88" i="32" s="1"/>
  <c r="W90" i="19"/>
  <c r="X90" i="19"/>
  <c r="AA90" i="19"/>
  <c r="C91" i="19"/>
  <c r="D91" i="19"/>
  <c r="E91" i="19"/>
  <c r="F91" i="19"/>
  <c r="H91" i="19"/>
  <c r="I91" i="19"/>
  <c r="K91" i="19"/>
  <c r="L91" i="19"/>
  <c r="M91" i="19"/>
  <c r="Z91" i="19"/>
  <c r="D89" i="32" s="1"/>
  <c r="W91" i="19"/>
  <c r="X91" i="19"/>
  <c r="AA91" i="19"/>
  <c r="C92" i="19"/>
  <c r="D92" i="19"/>
  <c r="E92" i="19"/>
  <c r="F92" i="19"/>
  <c r="H92" i="19"/>
  <c r="I92" i="19"/>
  <c r="K92" i="19"/>
  <c r="L92" i="19"/>
  <c r="M92" i="19"/>
  <c r="W92" i="19"/>
  <c r="X92" i="19"/>
  <c r="AA92" i="19"/>
  <c r="C93" i="19"/>
  <c r="D93" i="19"/>
  <c r="E93" i="19"/>
  <c r="F93" i="19"/>
  <c r="H93" i="19"/>
  <c r="I93" i="19"/>
  <c r="K93" i="19"/>
  <c r="L93" i="19"/>
  <c r="M93" i="19"/>
  <c r="Z93" i="19"/>
  <c r="D91" i="32" s="1"/>
  <c r="W93" i="19"/>
  <c r="X93" i="19"/>
  <c r="AA93" i="19"/>
  <c r="C94" i="19"/>
  <c r="D94" i="19"/>
  <c r="E94" i="19"/>
  <c r="F94" i="19"/>
  <c r="H94" i="19"/>
  <c r="I94" i="19"/>
  <c r="K94" i="19"/>
  <c r="L94" i="19"/>
  <c r="M94" i="19"/>
  <c r="Z94" i="19"/>
  <c r="D92" i="32" s="1"/>
  <c r="W94" i="19"/>
  <c r="X94" i="19"/>
  <c r="AA94" i="19"/>
  <c r="C95" i="19"/>
  <c r="D95" i="19"/>
  <c r="E95" i="19"/>
  <c r="F95" i="19"/>
  <c r="H95" i="19"/>
  <c r="I95" i="19"/>
  <c r="K95" i="19"/>
  <c r="L95" i="19"/>
  <c r="M95" i="19"/>
  <c r="W95" i="19"/>
  <c r="X95" i="19"/>
  <c r="AA95" i="19"/>
  <c r="C96" i="19"/>
  <c r="D96" i="19"/>
  <c r="E96" i="19"/>
  <c r="F96" i="19"/>
  <c r="H96" i="19"/>
  <c r="I96" i="19"/>
  <c r="K96" i="19"/>
  <c r="L96" i="19"/>
  <c r="M96" i="19"/>
  <c r="Z96" i="19"/>
  <c r="D94" i="32" s="1"/>
  <c r="W96" i="19"/>
  <c r="X96" i="19"/>
  <c r="AA96" i="19"/>
  <c r="C97" i="19"/>
  <c r="D97" i="19"/>
  <c r="E97" i="19"/>
  <c r="F97" i="19"/>
  <c r="H97" i="19"/>
  <c r="I97" i="19"/>
  <c r="K97" i="19"/>
  <c r="L97" i="19"/>
  <c r="M97" i="19"/>
  <c r="Z97" i="19"/>
  <c r="D95" i="32" s="1"/>
  <c r="W97" i="19"/>
  <c r="X97" i="19"/>
  <c r="AA97" i="19"/>
  <c r="C98" i="19"/>
  <c r="D98" i="19"/>
  <c r="E98" i="19"/>
  <c r="F98" i="19"/>
  <c r="H98" i="19"/>
  <c r="I98" i="19"/>
  <c r="K98" i="19"/>
  <c r="L98" i="19"/>
  <c r="M98" i="19"/>
  <c r="Z98" i="19"/>
  <c r="D96" i="32" s="1"/>
  <c r="W98" i="19"/>
  <c r="X98" i="19"/>
  <c r="AA98" i="19"/>
  <c r="C99" i="19"/>
  <c r="D99" i="19"/>
  <c r="E99" i="19"/>
  <c r="F99" i="19"/>
  <c r="H99" i="19"/>
  <c r="I99" i="19"/>
  <c r="K99" i="19"/>
  <c r="L99" i="19"/>
  <c r="M99" i="19"/>
  <c r="Z99" i="19"/>
  <c r="D97" i="32" s="1"/>
  <c r="W99" i="19"/>
  <c r="X99" i="19"/>
  <c r="AA99" i="19"/>
  <c r="C100" i="19"/>
  <c r="D100" i="19"/>
  <c r="E100" i="19"/>
  <c r="F100" i="19"/>
  <c r="H100" i="19"/>
  <c r="I100" i="19"/>
  <c r="K100" i="19"/>
  <c r="L100" i="19"/>
  <c r="M100" i="19"/>
  <c r="Z100" i="19"/>
  <c r="D98" i="32" s="1"/>
  <c r="W100" i="19"/>
  <c r="X100" i="19"/>
  <c r="AA100" i="19"/>
  <c r="C101" i="19"/>
  <c r="D101" i="19"/>
  <c r="E101" i="19"/>
  <c r="F101" i="19"/>
  <c r="H101" i="19"/>
  <c r="I101" i="19"/>
  <c r="K101" i="19"/>
  <c r="L101" i="19"/>
  <c r="M101" i="19"/>
  <c r="Z101" i="19"/>
  <c r="D99" i="32" s="1"/>
  <c r="W101" i="19"/>
  <c r="X101" i="19"/>
  <c r="AA101" i="19"/>
  <c r="C102" i="19"/>
  <c r="D102" i="19"/>
  <c r="E102" i="19"/>
  <c r="F102" i="19"/>
  <c r="H102" i="19"/>
  <c r="I102" i="19"/>
  <c r="K102" i="19"/>
  <c r="L102" i="19"/>
  <c r="M102" i="19"/>
  <c r="X102" i="19"/>
  <c r="AA102" i="19"/>
  <c r="C103" i="19"/>
  <c r="D103" i="19"/>
  <c r="E103" i="19"/>
  <c r="F103" i="19"/>
  <c r="H103" i="19"/>
  <c r="I103" i="19"/>
  <c r="K103" i="19"/>
  <c r="L103" i="19"/>
  <c r="M103" i="19"/>
  <c r="Z103" i="19"/>
  <c r="D101" i="32" s="1"/>
  <c r="W103" i="19"/>
  <c r="X103" i="19"/>
  <c r="AA103" i="19"/>
  <c r="C104" i="19"/>
  <c r="D104" i="19"/>
  <c r="E104" i="19"/>
  <c r="F104" i="19"/>
  <c r="H104" i="19"/>
  <c r="I104" i="19"/>
  <c r="K104" i="19"/>
  <c r="L104" i="19"/>
  <c r="M104" i="19"/>
  <c r="W104" i="19"/>
  <c r="X104" i="19"/>
  <c r="AA104" i="19"/>
  <c r="C105" i="19"/>
  <c r="D105" i="19"/>
  <c r="E105" i="19"/>
  <c r="F105" i="19"/>
  <c r="H105" i="19"/>
  <c r="I105" i="19"/>
  <c r="K105" i="19"/>
  <c r="L105" i="19"/>
  <c r="M105" i="19"/>
  <c r="Z105" i="19"/>
  <c r="D103" i="32" s="1"/>
  <c r="W105" i="19"/>
  <c r="X105" i="19"/>
  <c r="AA105" i="19"/>
  <c r="C106" i="19"/>
  <c r="D106" i="19"/>
  <c r="E106" i="19"/>
  <c r="F106" i="19"/>
  <c r="H106" i="19"/>
  <c r="I106" i="19"/>
  <c r="K106" i="19"/>
  <c r="L106" i="19"/>
  <c r="M106" i="19"/>
  <c r="W106" i="19"/>
  <c r="X106" i="19"/>
  <c r="AA106" i="19"/>
  <c r="C107" i="19"/>
  <c r="D107" i="19"/>
  <c r="E107" i="19"/>
  <c r="F107" i="19"/>
  <c r="H107" i="19"/>
  <c r="I107" i="19"/>
  <c r="K107" i="19"/>
  <c r="L107" i="19"/>
  <c r="M107" i="19"/>
  <c r="W107" i="19"/>
  <c r="X107" i="19"/>
  <c r="AA107" i="19"/>
  <c r="C108" i="19"/>
  <c r="D108" i="19"/>
  <c r="E108" i="19"/>
  <c r="F108" i="19"/>
  <c r="H108" i="19"/>
  <c r="I108" i="19"/>
  <c r="K108" i="19"/>
  <c r="L108" i="19"/>
  <c r="M108" i="19"/>
  <c r="W108" i="19"/>
  <c r="X108" i="19"/>
  <c r="AA108" i="19"/>
  <c r="C109" i="19"/>
  <c r="D109" i="19"/>
  <c r="E109" i="19"/>
  <c r="F109" i="19"/>
  <c r="H109" i="19"/>
  <c r="I109" i="19"/>
  <c r="K109" i="19"/>
  <c r="L109" i="19"/>
  <c r="M109" i="19"/>
  <c r="Z109" i="19"/>
  <c r="D107" i="32" s="1"/>
  <c r="W109" i="19"/>
  <c r="X109" i="19"/>
  <c r="AA109" i="19"/>
  <c r="C110" i="19"/>
  <c r="D110" i="19"/>
  <c r="E110" i="19"/>
  <c r="F110" i="19"/>
  <c r="H110" i="19"/>
  <c r="I110" i="19"/>
  <c r="K110" i="19"/>
  <c r="L110" i="19"/>
  <c r="M110" i="19"/>
  <c r="Z110" i="19"/>
  <c r="D108" i="32" s="1"/>
  <c r="W110" i="19"/>
  <c r="X110" i="19"/>
  <c r="AA110" i="19"/>
  <c r="C111" i="19"/>
  <c r="D111" i="19"/>
  <c r="E111" i="19"/>
  <c r="F111" i="19"/>
  <c r="H111" i="19"/>
  <c r="I111" i="19"/>
  <c r="K111" i="19"/>
  <c r="L111" i="19"/>
  <c r="M111" i="19"/>
  <c r="Z111" i="19"/>
  <c r="D109" i="32" s="1"/>
  <c r="W111" i="19"/>
  <c r="X111" i="19"/>
  <c r="AA111" i="19"/>
  <c r="C112" i="19"/>
  <c r="D112" i="19"/>
  <c r="E112" i="19"/>
  <c r="F112" i="19"/>
  <c r="H112" i="19"/>
  <c r="I112" i="19"/>
  <c r="K112" i="19"/>
  <c r="L112" i="19"/>
  <c r="M112" i="19"/>
  <c r="Z112" i="19"/>
  <c r="D110" i="32" s="1"/>
  <c r="W112" i="19"/>
  <c r="X112" i="19"/>
  <c r="AA112" i="19"/>
  <c r="C113" i="19"/>
  <c r="D113" i="19"/>
  <c r="E113" i="19"/>
  <c r="F113" i="19"/>
  <c r="H113" i="19"/>
  <c r="I113" i="19"/>
  <c r="K113" i="19"/>
  <c r="L113" i="19"/>
  <c r="M113" i="19"/>
  <c r="Z113" i="19"/>
  <c r="D111" i="32" s="1"/>
  <c r="W113" i="19"/>
  <c r="X113" i="19"/>
  <c r="AA113" i="19"/>
  <c r="C114" i="19"/>
  <c r="D114" i="19"/>
  <c r="E114" i="19"/>
  <c r="F114" i="19"/>
  <c r="H114" i="19"/>
  <c r="I114" i="19"/>
  <c r="K114" i="19"/>
  <c r="L114" i="19"/>
  <c r="M114" i="19"/>
  <c r="Z114" i="19"/>
  <c r="D112" i="32" s="1"/>
  <c r="W114" i="19"/>
  <c r="X114" i="19"/>
  <c r="AA114" i="19"/>
  <c r="C115" i="19"/>
  <c r="D115" i="19"/>
  <c r="E115" i="19"/>
  <c r="F115" i="19"/>
  <c r="H115" i="19"/>
  <c r="I115" i="19"/>
  <c r="K115" i="19"/>
  <c r="L115" i="19"/>
  <c r="M115" i="19"/>
  <c r="Z115" i="19"/>
  <c r="D113" i="32" s="1"/>
  <c r="W115" i="19"/>
  <c r="X115" i="19"/>
  <c r="AA115" i="19"/>
  <c r="C116" i="19"/>
  <c r="D116" i="19"/>
  <c r="E116" i="19"/>
  <c r="F116" i="19"/>
  <c r="H116" i="19"/>
  <c r="I116" i="19"/>
  <c r="K116" i="19"/>
  <c r="L116" i="19"/>
  <c r="M116" i="19"/>
  <c r="Z116" i="19"/>
  <c r="D114" i="32" s="1"/>
  <c r="W116" i="19"/>
  <c r="X116" i="19"/>
  <c r="AA116" i="19"/>
  <c r="C117" i="19"/>
  <c r="D117" i="19"/>
  <c r="E117" i="19"/>
  <c r="F117" i="19"/>
  <c r="H117" i="19"/>
  <c r="I117" i="19"/>
  <c r="K117" i="19"/>
  <c r="L117" i="19"/>
  <c r="M117" i="19"/>
  <c r="Z117" i="19"/>
  <c r="D115" i="32" s="1"/>
  <c r="W117" i="19"/>
  <c r="X117" i="19"/>
  <c r="AA117" i="19"/>
  <c r="C118" i="19"/>
  <c r="D118" i="19"/>
  <c r="E118" i="19"/>
  <c r="F118" i="19"/>
  <c r="H118" i="19"/>
  <c r="I118" i="19"/>
  <c r="K118" i="19"/>
  <c r="L118" i="19"/>
  <c r="M118" i="19"/>
  <c r="Z118" i="19"/>
  <c r="D116" i="32" s="1"/>
  <c r="W118" i="19"/>
  <c r="X118" i="19"/>
  <c r="AA118" i="19"/>
  <c r="C119" i="19"/>
  <c r="D119" i="19"/>
  <c r="E119" i="19"/>
  <c r="F119" i="19"/>
  <c r="H119" i="19"/>
  <c r="I119" i="19"/>
  <c r="K119" i="19"/>
  <c r="L119" i="19"/>
  <c r="M119" i="19"/>
  <c r="Z119" i="19"/>
  <c r="D117" i="32" s="1"/>
  <c r="W119" i="19"/>
  <c r="X119" i="19"/>
  <c r="AA119" i="19"/>
  <c r="C120" i="19"/>
  <c r="D120" i="19"/>
  <c r="E120" i="19"/>
  <c r="F120" i="19"/>
  <c r="H120" i="19"/>
  <c r="I120" i="19"/>
  <c r="K120" i="19"/>
  <c r="L120" i="19"/>
  <c r="M120" i="19"/>
  <c r="Z120" i="19"/>
  <c r="D118" i="32" s="1"/>
  <c r="W120" i="19"/>
  <c r="X120" i="19"/>
  <c r="AA120" i="19"/>
  <c r="C121" i="19"/>
  <c r="D121" i="19"/>
  <c r="E121" i="19"/>
  <c r="F121" i="19"/>
  <c r="H121" i="19"/>
  <c r="I121" i="19"/>
  <c r="K121" i="19"/>
  <c r="L121" i="19"/>
  <c r="M121" i="19"/>
  <c r="Z121" i="19"/>
  <c r="D119" i="32" s="1"/>
  <c r="W121" i="19"/>
  <c r="X121" i="19"/>
  <c r="AA121" i="19"/>
  <c r="C122" i="19"/>
  <c r="D122" i="19"/>
  <c r="E122" i="19"/>
  <c r="F122" i="19"/>
  <c r="H122" i="19"/>
  <c r="I122" i="19"/>
  <c r="K122" i="19"/>
  <c r="L122" i="19"/>
  <c r="M122" i="19"/>
  <c r="Z122" i="19"/>
  <c r="D120" i="32" s="1"/>
  <c r="W122" i="19"/>
  <c r="X122" i="19"/>
  <c r="AA122" i="19"/>
  <c r="C123" i="19"/>
  <c r="D123" i="19"/>
  <c r="E123" i="19"/>
  <c r="F123" i="19"/>
  <c r="H123" i="19"/>
  <c r="I123" i="19"/>
  <c r="K123" i="19"/>
  <c r="L123" i="19"/>
  <c r="M123" i="19"/>
  <c r="Z123" i="19"/>
  <c r="D121" i="32" s="1"/>
  <c r="W123" i="19"/>
  <c r="X123" i="19"/>
  <c r="AA123" i="19"/>
  <c r="C124" i="19"/>
  <c r="D124" i="19"/>
  <c r="E124" i="19"/>
  <c r="F124" i="19"/>
  <c r="H124" i="19"/>
  <c r="I124" i="19"/>
  <c r="K124" i="19"/>
  <c r="L124" i="19"/>
  <c r="M124" i="19"/>
  <c r="Z124" i="19"/>
  <c r="D122" i="32" s="1"/>
  <c r="W124" i="19"/>
  <c r="X124" i="19"/>
  <c r="AA124" i="19"/>
  <c r="C125" i="19"/>
  <c r="D125" i="19"/>
  <c r="E125" i="19"/>
  <c r="F125" i="19"/>
  <c r="H125" i="19"/>
  <c r="I125" i="19"/>
  <c r="K125" i="19"/>
  <c r="L125" i="19"/>
  <c r="M125" i="19"/>
  <c r="Z125" i="19"/>
  <c r="D123" i="32" s="1"/>
  <c r="W125" i="19"/>
  <c r="X125" i="19"/>
  <c r="AA125" i="19"/>
  <c r="C126" i="19"/>
  <c r="D126" i="19"/>
  <c r="E126" i="19"/>
  <c r="F126" i="19"/>
  <c r="H126" i="19"/>
  <c r="I126" i="19"/>
  <c r="K126" i="19"/>
  <c r="L126" i="19"/>
  <c r="M126" i="19"/>
  <c r="Z126" i="19"/>
  <c r="D124" i="32" s="1"/>
  <c r="W126" i="19"/>
  <c r="X126" i="19"/>
  <c r="AA126" i="19"/>
  <c r="C127" i="19"/>
  <c r="D127" i="19"/>
  <c r="E127" i="19"/>
  <c r="F127" i="19"/>
  <c r="H127" i="19"/>
  <c r="I127" i="19"/>
  <c r="K127" i="19"/>
  <c r="L127" i="19"/>
  <c r="M127" i="19"/>
  <c r="Z127" i="19"/>
  <c r="D125" i="32" s="1"/>
  <c r="W127" i="19"/>
  <c r="X127" i="19"/>
  <c r="AA127" i="19"/>
  <c r="C128" i="19"/>
  <c r="D128" i="19"/>
  <c r="E128" i="19"/>
  <c r="F128" i="19"/>
  <c r="H128" i="19"/>
  <c r="I128" i="19"/>
  <c r="K128" i="19"/>
  <c r="L128" i="19"/>
  <c r="M128" i="19"/>
  <c r="Z128" i="19"/>
  <c r="D126" i="32" s="1"/>
  <c r="W128" i="19"/>
  <c r="X128" i="19"/>
  <c r="AA128" i="19"/>
  <c r="C129" i="19"/>
  <c r="D129" i="19"/>
  <c r="E129" i="19"/>
  <c r="F129" i="19"/>
  <c r="H129" i="19"/>
  <c r="I129" i="19"/>
  <c r="K129" i="19"/>
  <c r="L129" i="19"/>
  <c r="M129" i="19"/>
  <c r="W129" i="19"/>
  <c r="X129" i="19"/>
  <c r="AA129" i="19"/>
  <c r="C130" i="19"/>
  <c r="D130" i="19"/>
  <c r="E130" i="19"/>
  <c r="F130" i="19"/>
  <c r="H130" i="19"/>
  <c r="I130" i="19"/>
  <c r="K130" i="19"/>
  <c r="L130" i="19"/>
  <c r="M130" i="19"/>
  <c r="W130" i="19"/>
  <c r="X130" i="19"/>
  <c r="AA130" i="19"/>
  <c r="C131" i="19"/>
  <c r="D131" i="19"/>
  <c r="E131" i="19"/>
  <c r="F131" i="19"/>
  <c r="H131" i="19"/>
  <c r="I131" i="19"/>
  <c r="K131" i="19"/>
  <c r="L131" i="19"/>
  <c r="M131" i="19"/>
  <c r="Z131" i="19"/>
  <c r="D129" i="32" s="1"/>
  <c r="W131" i="19"/>
  <c r="X131" i="19"/>
  <c r="AA131" i="19"/>
  <c r="C132" i="19"/>
  <c r="D132" i="19"/>
  <c r="E132" i="19"/>
  <c r="F132" i="19"/>
  <c r="H132" i="19"/>
  <c r="I132" i="19"/>
  <c r="K132" i="19"/>
  <c r="L132" i="19"/>
  <c r="M132" i="19"/>
  <c r="Z132" i="19"/>
  <c r="D130" i="32" s="1"/>
  <c r="W132" i="19"/>
  <c r="X132" i="19"/>
  <c r="AA132" i="19"/>
  <c r="C133" i="19"/>
  <c r="D133" i="19"/>
  <c r="E133" i="19"/>
  <c r="F133" i="19"/>
  <c r="I133" i="19"/>
  <c r="K133" i="19"/>
  <c r="L133" i="19"/>
  <c r="M133" i="19"/>
  <c r="Z133" i="19"/>
  <c r="D131" i="32" s="1"/>
  <c r="W133" i="19"/>
  <c r="X133" i="19"/>
  <c r="AA133" i="19"/>
  <c r="C134" i="19"/>
  <c r="D134" i="19"/>
  <c r="E134" i="19"/>
  <c r="F134" i="19"/>
  <c r="H134" i="19"/>
  <c r="I134" i="19"/>
  <c r="K134" i="19"/>
  <c r="L134" i="19"/>
  <c r="M134" i="19"/>
  <c r="Z134" i="19"/>
  <c r="D132" i="32" s="1"/>
  <c r="W134" i="19"/>
  <c r="X134" i="19"/>
  <c r="AA134" i="19"/>
  <c r="C135" i="19"/>
  <c r="D135" i="19"/>
  <c r="E135" i="19"/>
  <c r="F135" i="19"/>
  <c r="H135" i="19"/>
  <c r="I135" i="19"/>
  <c r="K135" i="19"/>
  <c r="L135" i="19"/>
  <c r="M135" i="19"/>
  <c r="Z135" i="19"/>
  <c r="D133" i="32" s="1"/>
  <c r="W135" i="19"/>
  <c r="X135" i="19"/>
  <c r="AA135" i="19"/>
  <c r="C136" i="19"/>
  <c r="D136" i="19"/>
  <c r="E136" i="19"/>
  <c r="F136" i="19"/>
  <c r="H136" i="19"/>
  <c r="I136" i="19"/>
  <c r="K136" i="19"/>
  <c r="L136" i="19"/>
  <c r="M136" i="19"/>
  <c r="Z136" i="19"/>
  <c r="D134" i="32" s="1"/>
  <c r="W136" i="19"/>
  <c r="X136" i="19"/>
  <c r="AA136" i="19"/>
  <c r="C137" i="19"/>
  <c r="D137" i="19"/>
  <c r="E137" i="19"/>
  <c r="F137" i="19"/>
  <c r="H137" i="19"/>
  <c r="I137" i="19"/>
  <c r="K137" i="19"/>
  <c r="L137" i="19"/>
  <c r="M137" i="19"/>
  <c r="Z137" i="19"/>
  <c r="D135" i="32" s="1"/>
  <c r="W137" i="19"/>
  <c r="X137" i="19"/>
  <c r="AA137" i="19"/>
  <c r="C138" i="19"/>
  <c r="D138" i="19"/>
  <c r="E138" i="19"/>
  <c r="F138" i="19"/>
  <c r="H138" i="19"/>
  <c r="I138" i="19"/>
  <c r="K138" i="19"/>
  <c r="L138" i="19"/>
  <c r="M138" i="19"/>
  <c r="Z138" i="19"/>
  <c r="D136" i="32" s="1"/>
  <c r="W138" i="19"/>
  <c r="X138" i="19"/>
  <c r="AA138" i="19"/>
  <c r="C139" i="19"/>
  <c r="D139" i="19"/>
  <c r="E139" i="19"/>
  <c r="F139" i="19"/>
  <c r="H139" i="19"/>
  <c r="I139" i="19"/>
  <c r="K139" i="19"/>
  <c r="L139" i="19"/>
  <c r="M139" i="19"/>
  <c r="Z139" i="19"/>
  <c r="D137" i="32" s="1"/>
  <c r="W139" i="19"/>
  <c r="X139" i="19"/>
  <c r="AA139" i="19"/>
  <c r="C140" i="19"/>
  <c r="D140" i="19"/>
  <c r="E140" i="19"/>
  <c r="F140" i="19"/>
  <c r="H140" i="19"/>
  <c r="I140" i="19"/>
  <c r="K140" i="19"/>
  <c r="L140" i="19"/>
  <c r="M140" i="19"/>
  <c r="Z140" i="19"/>
  <c r="D138" i="32" s="1"/>
  <c r="W140" i="19"/>
  <c r="X140" i="19"/>
  <c r="AA140" i="19"/>
  <c r="C141" i="19"/>
  <c r="D141" i="19"/>
  <c r="E141" i="19"/>
  <c r="F141" i="19"/>
  <c r="H141" i="19"/>
  <c r="I141" i="19"/>
  <c r="K141" i="19"/>
  <c r="L141" i="19"/>
  <c r="M141" i="19"/>
  <c r="W141" i="19"/>
  <c r="X141" i="19"/>
  <c r="AA141" i="19"/>
  <c r="C142" i="19"/>
  <c r="D142" i="19"/>
  <c r="E142" i="19"/>
  <c r="F142" i="19"/>
  <c r="H142" i="19"/>
  <c r="I142" i="19"/>
  <c r="K142" i="19"/>
  <c r="L142" i="19"/>
  <c r="M142" i="19"/>
  <c r="Z142" i="19"/>
  <c r="D140" i="32" s="1"/>
  <c r="W142" i="19"/>
  <c r="X142" i="19"/>
  <c r="AA142" i="19"/>
  <c r="C143" i="19"/>
  <c r="D143" i="19"/>
  <c r="E143" i="19"/>
  <c r="F143" i="19"/>
  <c r="H143" i="19"/>
  <c r="I143" i="19"/>
  <c r="K143" i="19"/>
  <c r="L143" i="19"/>
  <c r="M143" i="19"/>
  <c r="Z143" i="19"/>
  <c r="D141" i="32" s="1"/>
  <c r="W143" i="19"/>
  <c r="X143" i="19"/>
  <c r="AA143" i="19"/>
  <c r="C144" i="19"/>
  <c r="D144" i="19"/>
  <c r="E144" i="19"/>
  <c r="F144" i="19"/>
  <c r="H144" i="19"/>
  <c r="I144" i="19"/>
  <c r="K144" i="19"/>
  <c r="L144" i="19"/>
  <c r="M144" i="19"/>
  <c r="Z144" i="19"/>
  <c r="D142" i="32" s="1"/>
  <c r="W144" i="19"/>
  <c r="X144" i="19"/>
  <c r="AA144" i="19"/>
  <c r="C145" i="19"/>
  <c r="D145" i="19"/>
  <c r="E145" i="19"/>
  <c r="F145" i="19"/>
  <c r="H145" i="19"/>
  <c r="I145" i="19"/>
  <c r="K145" i="19"/>
  <c r="L145" i="19"/>
  <c r="M145" i="19"/>
  <c r="Z145" i="19"/>
  <c r="D143" i="32" s="1"/>
  <c r="W145" i="19"/>
  <c r="X145" i="19"/>
  <c r="AA145" i="19"/>
  <c r="C146" i="19"/>
  <c r="D146" i="19"/>
  <c r="E146" i="19"/>
  <c r="F146" i="19"/>
  <c r="H146" i="19"/>
  <c r="I146" i="19"/>
  <c r="K146" i="19"/>
  <c r="L146" i="19"/>
  <c r="M146" i="19"/>
  <c r="Z146" i="19"/>
  <c r="D144" i="32" s="1"/>
  <c r="W146" i="19"/>
  <c r="X146" i="19"/>
  <c r="AA146" i="19"/>
  <c r="C147" i="19"/>
  <c r="D147" i="19"/>
  <c r="E147" i="19"/>
  <c r="F147" i="19"/>
  <c r="H147" i="19"/>
  <c r="I147" i="19"/>
  <c r="K147" i="19"/>
  <c r="L147" i="19"/>
  <c r="M147" i="19"/>
  <c r="Z147" i="19"/>
  <c r="D145" i="32" s="1"/>
  <c r="W147" i="19"/>
  <c r="X147" i="19"/>
  <c r="AA147" i="19"/>
  <c r="C148" i="19"/>
  <c r="D148" i="19"/>
  <c r="E148" i="19"/>
  <c r="F148" i="19"/>
  <c r="H148" i="19"/>
  <c r="I148" i="19"/>
  <c r="K148" i="19"/>
  <c r="L148" i="19"/>
  <c r="M148" i="19"/>
  <c r="Z148" i="19"/>
  <c r="W148" i="19"/>
  <c r="X148" i="19"/>
  <c r="AA148" i="19"/>
  <c r="C149" i="19"/>
  <c r="D149" i="19"/>
  <c r="E149" i="19"/>
  <c r="F149" i="19"/>
  <c r="H149" i="19"/>
  <c r="I149" i="19"/>
  <c r="K149" i="19"/>
  <c r="L149" i="19"/>
  <c r="M149" i="19"/>
  <c r="Z149" i="19"/>
  <c r="D147" i="32" s="1"/>
  <c r="W149" i="19"/>
  <c r="X149" i="19"/>
  <c r="AA149" i="19"/>
  <c r="C150" i="19"/>
  <c r="D150" i="19"/>
  <c r="E150" i="19"/>
  <c r="F150" i="19"/>
  <c r="H150" i="19"/>
  <c r="I150" i="19"/>
  <c r="K150" i="19"/>
  <c r="L150" i="19"/>
  <c r="M150" i="19"/>
  <c r="Z150" i="19"/>
  <c r="D148" i="32" s="1"/>
  <c r="W150" i="19"/>
  <c r="X150" i="19"/>
  <c r="AA150" i="19"/>
  <c r="C151" i="19"/>
  <c r="D151" i="19"/>
  <c r="E151" i="19"/>
  <c r="F151" i="19"/>
  <c r="H151" i="19"/>
  <c r="I151" i="19"/>
  <c r="K151" i="19"/>
  <c r="L151" i="19"/>
  <c r="M151" i="19"/>
  <c r="Z151" i="19"/>
  <c r="D149" i="32" s="1"/>
  <c r="W151" i="19"/>
  <c r="X151" i="19"/>
  <c r="AA151" i="19"/>
  <c r="C152" i="19"/>
  <c r="D152" i="19"/>
  <c r="E152" i="19"/>
  <c r="F152" i="19"/>
  <c r="H152" i="19"/>
  <c r="I152" i="19"/>
  <c r="K152" i="19"/>
  <c r="L152" i="19"/>
  <c r="M152" i="19"/>
  <c r="Z152" i="19"/>
  <c r="D150" i="32" s="1"/>
  <c r="W152" i="19"/>
  <c r="X152" i="19"/>
  <c r="AA152" i="19"/>
  <c r="C153" i="19"/>
  <c r="D153" i="19"/>
  <c r="E153" i="19"/>
  <c r="F153" i="19"/>
  <c r="H153" i="19"/>
  <c r="I153" i="19"/>
  <c r="K153" i="19"/>
  <c r="L153" i="19"/>
  <c r="M153" i="19"/>
  <c r="Z153" i="19"/>
  <c r="D151" i="32" s="1"/>
  <c r="W153" i="19"/>
  <c r="Y153" i="19" s="1"/>
  <c r="C151" i="32" s="1"/>
  <c r="AA153" i="19"/>
  <c r="C154" i="19"/>
  <c r="D154" i="19"/>
  <c r="E154" i="19"/>
  <c r="F154" i="19"/>
  <c r="H154" i="19"/>
  <c r="I154" i="19"/>
  <c r="K154" i="19"/>
  <c r="L154" i="19"/>
  <c r="M154" i="19"/>
  <c r="Z154" i="19"/>
  <c r="D152" i="32" s="1"/>
  <c r="W154" i="19"/>
  <c r="X154" i="19"/>
  <c r="AA154" i="19"/>
  <c r="C155" i="19"/>
  <c r="D155" i="19"/>
  <c r="E155" i="19"/>
  <c r="F155" i="19"/>
  <c r="H155" i="19"/>
  <c r="I155" i="19"/>
  <c r="K155" i="19"/>
  <c r="L155" i="19"/>
  <c r="M155" i="19"/>
  <c r="Z155" i="19"/>
  <c r="D153" i="32" s="1"/>
  <c r="W155" i="19"/>
  <c r="X155" i="19"/>
  <c r="AA155" i="19"/>
  <c r="C156" i="19"/>
  <c r="D156" i="19"/>
  <c r="E156" i="19"/>
  <c r="F156" i="19"/>
  <c r="H156" i="19"/>
  <c r="I156" i="19"/>
  <c r="K156" i="19"/>
  <c r="L156" i="19"/>
  <c r="M156" i="19"/>
  <c r="Z156" i="19"/>
  <c r="D154" i="32" s="1"/>
  <c r="W156" i="19"/>
  <c r="X156" i="19"/>
  <c r="AA156" i="19"/>
  <c r="C157" i="19"/>
  <c r="D157" i="19"/>
  <c r="E157" i="19"/>
  <c r="F157" i="19"/>
  <c r="H157" i="19"/>
  <c r="I157" i="19"/>
  <c r="K157" i="19"/>
  <c r="L157" i="19"/>
  <c r="M157" i="19"/>
  <c r="Z157" i="19"/>
  <c r="D155" i="32" s="1"/>
  <c r="W157" i="19"/>
  <c r="X157" i="19"/>
  <c r="AA157" i="19"/>
  <c r="C158" i="19"/>
  <c r="D158" i="19"/>
  <c r="E158" i="19"/>
  <c r="F158" i="19"/>
  <c r="H158" i="19"/>
  <c r="I158" i="19"/>
  <c r="K158" i="19"/>
  <c r="L158" i="19"/>
  <c r="M158" i="19"/>
  <c r="Z158" i="19"/>
  <c r="D156" i="32" s="1"/>
  <c r="W158" i="19"/>
  <c r="X158" i="19"/>
  <c r="AA158" i="19"/>
  <c r="C159" i="19"/>
  <c r="D159" i="19"/>
  <c r="E159" i="19"/>
  <c r="F159" i="19"/>
  <c r="H159" i="19"/>
  <c r="I159" i="19"/>
  <c r="K159" i="19"/>
  <c r="L159" i="19"/>
  <c r="M159" i="19"/>
  <c r="Z159" i="19"/>
  <c r="D157" i="32" s="1"/>
  <c r="W159" i="19"/>
  <c r="X159" i="19"/>
  <c r="AA159" i="19"/>
  <c r="C160" i="19"/>
  <c r="D160" i="19"/>
  <c r="E160" i="19"/>
  <c r="F160" i="19"/>
  <c r="H160" i="19"/>
  <c r="I160" i="19"/>
  <c r="K160" i="19"/>
  <c r="L160" i="19"/>
  <c r="M160" i="19"/>
  <c r="Z160" i="19"/>
  <c r="D158" i="32" s="1"/>
  <c r="W160" i="19"/>
  <c r="X160" i="19"/>
  <c r="AA160" i="19"/>
  <c r="C161" i="19"/>
  <c r="D161" i="19"/>
  <c r="E161" i="19"/>
  <c r="F161" i="19"/>
  <c r="H161" i="19"/>
  <c r="I161" i="19"/>
  <c r="K161" i="19"/>
  <c r="L161" i="19"/>
  <c r="M161" i="19"/>
  <c r="Z161" i="19"/>
  <c r="D159" i="32" s="1"/>
  <c r="W161" i="19"/>
  <c r="X161" i="19"/>
  <c r="AA161" i="19"/>
  <c r="C162" i="19"/>
  <c r="D162" i="19"/>
  <c r="E162" i="19"/>
  <c r="F162" i="19"/>
  <c r="H162" i="19"/>
  <c r="I162" i="19"/>
  <c r="K162" i="19"/>
  <c r="L162" i="19"/>
  <c r="M162" i="19"/>
  <c r="Z162" i="19"/>
  <c r="D160" i="32" s="1"/>
  <c r="W162" i="19"/>
  <c r="X162" i="19"/>
  <c r="AA162" i="19"/>
  <c r="C163" i="19"/>
  <c r="D163" i="19"/>
  <c r="E163" i="19"/>
  <c r="F163" i="19"/>
  <c r="H163" i="19"/>
  <c r="I163" i="19"/>
  <c r="K163" i="19"/>
  <c r="L163" i="19"/>
  <c r="M163" i="19"/>
  <c r="Z163" i="19"/>
  <c r="D161" i="32" s="1"/>
  <c r="W163" i="19"/>
  <c r="X163" i="19"/>
  <c r="AA163" i="19"/>
  <c r="C164" i="19"/>
  <c r="D164" i="19"/>
  <c r="E164" i="19"/>
  <c r="F164" i="19"/>
  <c r="H164" i="19"/>
  <c r="I164" i="19"/>
  <c r="K164" i="19"/>
  <c r="L164" i="19"/>
  <c r="M164" i="19"/>
  <c r="Z164" i="19"/>
  <c r="D162" i="32" s="1"/>
  <c r="W164" i="19"/>
  <c r="X164" i="19"/>
  <c r="AA164" i="19"/>
  <c r="C165" i="19"/>
  <c r="D165" i="19"/>
  <c r="E165" i="19"/>
  <c r="F165" i="19"/>
  <c r="H165" i="19"/>
  <c r="I165" i="19"/>
  <c r="K165" i="19"/>
  <c r="L165" i="19"/>
  <c r="M165" i="19"/>
  <c r="W165" i="19"/>
  <c r="X165" i="19"/>
  <c r="AA165" i="19"/>
  <c r="C166" i="19"/>
  <c r="D166" i="19"/>
  <c r="E166" i="19"/>
  <c r="F166" i="19"/>
  <c r="H166" i="19"/>
  <c r="I166" i="19"/>
  <c r="K166" i="19"/>
  <c r="L166" i="19"/>
  <c r="M166" i="19"/>
  <c r="W166" i="19"/>
  <c r="X166" i="19"/>
  <c r="AA166" i="19"/>
  <c r="C167" i="19"/>
  <c r="D167" i="19"/>
  <c r="E167" i="19"/>
  <c r="F167" i="19"/>
  <c r="H167" i="19"/>
  <c r="I167" i="19"/>
  <c r="K167" i="19"/>
  <c r="L167" i="19"/>
  <c r="M167" i="19"/>
  <c r="AA167" i="19"/>
  <c r="C168" i="19"/>
  <c r="D168" i="19"/>
  <c r="E168" i="19"/>
  <c r="F168" i="19"/>
  <c r="H168" i="19"/>
  <c r="I168" i="19"/>
  <c r="K168" i="19"/>
  <c r="L168" i="19"/>
  <c r="M168" i="19"/>
  <c r="W168" i="19"/>
  <c r="X168" i="19"/>
  <c r="AA168" i="19"/>
  <c r="C169" i="19"/>
  <c r="D169" i="19"/>
  <c r="E169" i="19"/>
  <c r="F169" i="19"/>
  <c r="H169" i="19"/>
  <c r="I169" i="19"/>
  <c r="K169" i="19"/>
  <c r="L169" i="19"/>
  <c r="M169" i="19"/>
  <c r="AA169" i="19"/>
  <c r="C170" i="19"/>
  <c r="D170" i="19"/>
  <c r="E170" i="19"/>
  <c r="F170" i="19"/>
  <c r="H170" i="19"/>
  <c r="I170" i="19"/>
  <c r="K170" i="19"/>
  <c r="L170" i="19"/>
  <c r="M170" i="19"/>
  <c r="W170" i="19"/>
  <c r="X170" i="19"/>
  <c r="AA170" i="19"/>
  <c r="C171" i="19"/>
  <c r="D171" i="19"/>
  <c r="E171" i="19"/>
  <c r="F171" i="19"/>
  <c r="H171" i="19"/>
  <c r="I171" i="19"/>
  <c r="K171" i="19"/>
  <c r="L171" i="19"/>
  <c r="M171" i="19"/>
  <c r="W171" i="19"/>
  <c r="Y171" i="19" s="1"/>
  <c r="C169" i="32" s="1"/>
  <c r="AA171" i="19"/>
  <c r="C172" i="19"/>
  <c r="D172" i="19"/>
  <c r="E172" i="19"/>
  <c r="F172" i="19"/>
  <c r="H172" i="19"/>
  <c r="I172" i="19"/>
  <c r="K172" i="19"/>
  <c r="L172" i="19"/>
  <c r="M172" i="19"/>
  <c r="W172" i="19"/>
  <c r="X172" i="19"/>
  <c r="AA172" i="19"/>
  <c r="C173" i="19"/>
  <c r="D173" i="19"/>
  <c r="E173" i="19"/>
  <c r="F173" i="19"/>
  <c r="H173" i="19"/>
  <c r="I173" i="19"/>
  <c r="K173" i="19"/>
  <c r="L173" i="19"/>
  <c r="M173" i="19"/>
  <c r="Z173" i="19"/>
  <c r="D171" i="32" s="1"/>
  <c r="W173" i="19"/>
  <c r="X173" i="19"/>
  <c r="AA173" i="19"/>
  <c r="C174" i="19"/>
  <c r="D174" i="19"/>
  <c r="E174" i="19"/>
  <c r="F174" i="19"/>
  <c r="H174" i="19"/>
  <c r="I174" i="19"/>
  <c r="K174" i="19"/>
  <c r="L174" i="19"/>
  <c r="M174" i="19"/>
  <c r="Z174" i="19"/>
  <c r="D172" i="32" s="1"/>
  <c r="W174" i="19"/>
  <c r="X174" i="19"/>
  <c r="AA174" i="19"/>
  <c r="C175" i="19"/>
  <c r="D175" i="19"/>
  <c r="E175" i="19"/>
  <c r="F175" i="19"/>
  <c r="H175" i="19"/>
  <c r="I175" i="19"/>
  <c r="K175" i="19"/>
  <c r="L175" i="19"/>
  <c r="M175" i="19"/>
  <c r="Z175" i="19"/>
  <c r="D173" i="32" s="1"/>
  <c r="W175" i="19"/>
  <c r="X175" i="19"/>
  <c r="AA175" i="19"/>
  <c r="C176" i="19"/>
  <c r="D176" i="19"/>
  <c r="E176" i="19"/>
  <c r="F176" i="19"/>
  <c r="H176" i="19"/>
  <c r="I176" i="19"/>
  <c r="K176" i="19"/>
  <c r="L176" i="19"/>
  <c r="M176" i="19"/>
  <c r="Z176" i="19"/>
  <c r="D174" i="32" s="1"/>
  <c r="W176" i="19"/>
  <c r="X176" i="19"/>
  <c r="AA176" i="19"/>
  <c r="C177" i="19"/>
  <c r="D177" i="19"/>
  <c r="E177" i="19"/>
  <c r="F177" i="19"/>
  <c r="H177" i="19"/>
  <c r="I177" i="19"/>
  <c r="K177" i="19"/>
  <c r="L177" i="19"/>
  <c r="M177" i="19"/>
  <c r="W177" i="19"/>
  <c r="X177" i="19"/>
  <c r="AA177" i="19"/>
  <c r="C178" i="19"/>
  <c r="D178" i="19"/>
  <c r="E178" i="19"/>
  <c r="F178" i="19"/>
  <c r="H178" i="19"/>
  <c r="I178" i="19"/>
  <c r="K178" i="19"/>
  <c r="L178" i="19"/>
  <c r="M178" i="19"/>
  <c r="W178" i="19"/>
  <c r="Y178" i="19" s="1"/>
  <c r="C176" i="32" s="1"/>
  <c r="AA178" i="19"/>
  <c r="C179" i="19"/>
  <c r="D179" i="19"/>
  <c r="E179" i="19"/>
  <c r="F179" i="19"/>
  <c r="H179" i="19"/>
  <c r="I179" i="19"/>
  <c r="K179" i="19"/>
  <c r="L179" i="19"/>
  <c r="M179" i="19"/>
  <c r="Z179" i="19"/>
  <c r="D177" i="32" s="1"/>
  <c r="W179" i="19"/>
  <c r="X179" i="19"/>
  <c r="AA179" i="19"/>
  <c r="C180" i="19"/>
  <c r="D180" i="19"/>
  <c r="E180" i="19"/>
  <c r="F180" i="19"/>
  <c r="H180" i="19"/>
  <c r="I180" i="19"/>
  <c r="K180" i="19"/>
  <c r="L180" i="19"/>
  <c r="M180" i="19"/>
  <c r="W180" i="19"/>
  <c r="AA180" i="19"/>
  <c r="C181" i="19"/>
  <c r="D181" i="19"/>
  <c r="E181" i="19"/>
  <c r="F181" i="19"/>
  <c r="H181" i="19"/>
  <c r="I181" i="19"/>
  <c r="K181" i="19"/>
  <c r="L181" i="19"/>
  <c r="M181" i="19"/>
  <c r="W181" i="19"/>
  <c r="X181" i="19"/>
  <c r="AA181" i="19"/>
  <c r="C182" i="19"/>
  <c r="D182" i="19"/>
  <c r="E182" i="19"/>
  <c r="F182" i="19"/>
  <c r="H182" i="19"/>
  <c r="I182" i="19"/>
  <c r="K182" i="19"/>
  <c r="L182" i="19"/>
  <c r="M182" i="19"/>
  <c r="W182" i="19"/>
  <c r="X182" i="19"/>
  <c r="AA182" i="19"/>
  <c r="C183" i="19"/>
  <c r="D183" i="19"/>
  <c r="E183" i="19"/>
  <c r="F183" i="19"/>
  <c r="H183" i="19"/>
  <c r="I183" i="19"/>
  <c r="K183" i="19"/>
  <c r="L183" i="19"/>
  <c r="M183" i="19"/>
  <c r="Z183" i="19"/>
  <c r="D181" i="32" s="1"/>
  <c r="W183" i="19"/>
  <c r="X183" i="19"/>
  <c r="AA183" i="19"/>
  <c r="C184" i="19"/>
  <c r="D184" i="19"/>
  <c r="E184" i="19"/>
  <c r="F184" i="19"/>
  <c r="H184" i="19"/>
  <c r="I184" i="19"/>
  <c r="K184" i="19"/>
  <c r="L184" i="19"/>
  <c r="M184" i="19"/>
  <c r="Z184" i="19"/>
  <c r="D182" i="32" s="1"/>
  <c r="W184" i="19"/>
  <c r="X184" i="19"/>
  <c r="AA184" i="19"/>
  <c r="C185" i="19"/>
  <c r="D185" i="19"/>
  <c r="E185" i="19"/>
  <c r="F185" i="19"/>
  <c r="H185" i="19"/>
  <c r="I185" i="19"/>
  <c r="K185" i="19"/>
  <c r="L185" i="19"/>
  <c r="M185" i="19"/>
  <c r="Z185" i="19"/>
  <c r="D183" i="32" s="1"/>
  <c r="W185" i="19"/>
  <c r="X185" i="19"/>
  <c r="AA185" i="19"/>
  <c r="C186" i="19"/>
  <c r="D186" i="19"/>
  <c r="E186" i="19"/>
  <c r="F186" i="19"/>
  <c r="H186" i="19"/>
  <c r="I186" i="19"/>
  <c r="K186" i="19"/>
  <c r="L186" i="19"/>
  <c r="M186" i="19"/>
  <c r="Z186" i="19"/>
  <c r="D184" i="32" s="1"/>
  <c r="W186" i="19"/>
  <c r="X186" i="19"/>
  <c r="AA186" i="19"/>
  <c r="C187" i="19"/>
  <c r="D187" i="19"/>
  <c r="E187" i="19"/>
  <c r="F187" i="19"/>
  <c r="H187" i="19"/>
  <c r="I187" i="19"/>
  <c r="K187" i="19"/>
  <c r="L187" i="19"/>
  <c r="M187" i="19"/>
  <c r="Z187" i="19"/>
  <c r="D185" i="32" s="1"/>
  <c r="W187" i="19"/>
  <c r="X187" i="19"/>
  <c r="AA187" i="19"/>
  <c r="C188" i="19"/>
  <c r="D188" i="19"/>
  <c r="E188" i="19"/>
  <c r="F188" i="19"/>
  <c r="H188" i="19"/>
  <c r="I188" i="19"/>
  <c r="K188" i="19"/>
  <c r="L188" i="19"/>
  <c r="M188" i="19"/>
  <c r="Z188" i="19"/>
  <c r="D186" i="32" s="1"/>
  <c r="W188" i="19"/>
  <c r="X188" i="19"/>
  <c r="AA188" i="19"/>
  <c r="C189" i="19"/>
  <c r="D189" i="19"/>
  <c r="E189" i="19"/>
  <c r="F189" i="19"/>
  <c r="H189" i="19"/>
  <c r="I189" i="19"/>
  <c r="K189" i="19"/>
  <c r="L189" i="19"/>
  <c r="M189" i="19"/>
  <c r="Z189" i="19"/>
  <c r="D187" i="32" s="1"/>
  <c r="W189" i="19"/>
  <c r="X189" i="19"/>
  <c r="AA189" i="19"/>
  <c r="C190" i="19"/>
  <c r="D190" i="19"/>
  <c r="E190" i="19"/>
  <c r="F190" i="19"/>
  <c r="H190" i="19"/>
  <c r="I190" i="19"/>
  <c r="K190" i="19"/>
  <c r="L190" i="19"/>
  <c r="M190" i="19"/>
  <c r="Z190" i="19"/>
  <c r="D188" i="32" s="1"/>
  <c r="W190" i="19"/>
  <c r="X190" i="19"/>
  <c r="AA190" i="19"/>
  <c r="C191" i="19"/>
  <c r="D191" i="19"/>
  <c r="E191" i="19"/>
  <c r="F191" i="19"/>
  <c r="H191" i="19"/>
  <c r="I191" i="19"/>
  <c r="K191" i="19"/>
  <c r="L191" i="19"/>
  <c r="M191" i="19"/>
  <c r="Z191" i="19"/>
  <c r="D189" i="32" s="1"/>
  <c r="W191" i="19"/>
  <c r="X191" i="19"/>
  <c r="AA191" i="19"/>
  <c r="C192" i="19"/>
  <c r="D192" i="19"/>
  <c r="E192" i="19"/>
  <c r="F192" i="19"/>
  <c r="H192" i="19"/>
  <c r="I192" i="19"/>
  <c r="K192" i="19"/>
  <c r="L192" i="19"/>
  <c r="M192" i="19"/>
  <c r="Z192" i="19"/>
  <c r="D190" i="32" s="1"/>
  <c r="W192" i="19"/>
  <c r="X192" i="19"/>
  <c r="AA192" i="19"/>
  <c r="C193" i="19"/>
  <c r="D193" i="19"/>
  <c r="E193" i="19"/>
  <c r="F193" i="19"/>
  <c r="H193" i="19"/>
  <c r="I193" i="19"/>
  <c r="K193" i="19"/>
  <c r="L193" i="19"/>
  <c r="M193" i="19"/>
  <c r="Z193" i="19"/>
  <c r="D191" i="32" s="1"/>
  <c r="W193" i="19"/>
  <c r="X193" i="19"/>
  <c r="AA193" i="19"/>
  <c r="C194" i="19"/>
  <c r="D194" i="19"/>
  <c r="E194" i="19"/>
  <c r="F194" i="19"/>
  <c r="H194" i="19"/>
  <c r="I194" i="19"/>
  <c r="K194" i="19"/>
  <c r="L194" i="19"/>
  <c r="M194" i="19"/>
  <c r="Z194" i="19"/>
  <c r="D192" i="32" s="1"/>
  <c r="W194" i="19"/>
  <c r="X194" i="19"/>
  <c r="AA194" i="19"/>
  <c r="C195" i="19"/>
  <c r="D195" i="19"/>
  <c r="E195" i="19"/>
  <c r="F195" i="19"/>
  <c r="H195" i="19"/>
  <c r="I195" i="19"/>
  <c r="K195" i="19"/>
  <c r="L195" i="19"/>
  <c r="M195" i="19"/>
  <c r="Z195" i="19"/>
  <c r="D193" i="32" s="1"/>
  <c r="W195" i="19"/>
  <c r="X195" i="19"/>
  <c r="AA195" i="19"/>
  <c r="C196" i="19"/>
  <c r="D196" i="19"/>
  <c r="E196" i="19"/>
  <c r="F196" i="19"/>
  <c r="H196" i="19"/>
  <c r="I196" i="19"/>
  <c r="K196" i="19"/>
  <c r="L196" i="19"/>
  <c r="M196" i="19"/>
  <c r="Z196" i="19"/>
  <c r="D194" i="32" s="1"/>
  <c r="W196" i="19"/>
  <c r="X196" i="19"/>
  <c r="AA196" i="19"/>
  <c r="C197" i="19"/>
  <c r="D197" i="19"/>
  <c r="E197" i="19"/>
  <c r="F197" i="19"/>
  <c r="H197" i="19"/>
  <c r="I197" i="19"/>
  <c r="K197" i="19"/>
  <c r="L197" i="19"/>
  <c r="M197" i="19"/>
  <c r="Z197" i="19"/>
  <c r="D195" i="32" s="1"/>
  <c r="W197" i="19"/>
  <c r="X197" i="19"/>
  <c r="AA197" i="19"/>
  <c r="C198" i="19"/>
  <c r="D198" i="19"/>
  <c r="E198" i="19"/>
  <c r="F198" i="19"/>
  <c r="H198" i="19"/>
  <c r="I198" i="19"/>
  <c r="K198" i="19"/>
  <c r="L198" i="19"/>
  <c r="M198" i="19"/>
  <c r="Z198" i="19"/>
  <c r="D196" i="32" s="1"/>
  <c r="W198" i="19"/>
  <c r="X198" i="19"/>
  <c r="AA198" i="19"/>
  <c r="C199" i="19"/>
  <c r="D199" i="19"/>
  <c r="E199" i="19"/>
  <c r="F199" i="19"/>
  <c r="H199" i="19"/>
  <c r="I199" i="19"/>
  <c r="K199" i="19"/>
  <c r="L199" i="19"/>
  <c r="M199" i="19"/>
  <c r="Z199" i="19"/>
  <c r="D197" i="32" s="1"/>
  <c r="W199" i="19"/>
  <c r="X199" i="19"/>
  <c r="AA199" i="19"/>
  <c r="C200" i="19"/>
  <c r="D200" i="19"/>
  <c r="E200" i="19"/>
  <c r="F200" i="19"/>
  <c r="H200" i="19"/>
  <c r="I200" i="19"/>
  <c r="K200" i="19"/>
  <c r="L200" i="19"/>
  <c r="M200" i="19"/>
  <c r="Z200" i="19"/>
  <c r="D198" i="32" s="1"/>
  <c r="W200" i="19"/>
  <c r="X200" i="19"/>
  <c r="AA200" i="19"/>
  <c r="C201" i="19"/>
  <c r="D201" i="19"/>
  <c r="E201" i="19"/>
  <c r="F201" i="19"/>
  <c r="H201" i="19"/>
  <c r="I201" i="19"/>
  <c r="K201" i="19"/>
  <c r="L201" i="19"/>
  <c r="M201" i="19"/>
  <c r="Z201" i="19"/>
  <c r="D199" i="32" s="1"/>
  <c r="W201" i="19"/>
  <c r="X201" i="19"/>
  <c r="AA201" i="19"/>
  <c r="C202" i="19"/>
  <c r="D202" i="19"/>
  <c r="E202" i="19"/>
  <c r="F202" i="19"/>
  <c r="H202" i="19"/>
  <c r="I202" i="19"/>
  <c r="K202" i="19"/>
  <c r="L202" i="19"/>
  <c r="M202" i="19"/>
  <c r="Z202" i="19"/>
  <c r="D200" i="32" s="1"/>
  <c r="W202" i="19"/>
  <c r="X202" i="19"/>
  <c r="AA202" i="19"/>
  <c r="C203" i="19"/>
  <c r="D203" i="19"/>
  <c r="E203" i="19"/>
  <c r="F203" i="19"/>
  <c r="H203" i="19"/>
  <c r="I203" i="19"/>
  <c r="K203" i="19"/>
  <c r="L203" i="19"/>
  <c r="M203" i="19"/>
  <c r="Z203" i="19"/>
  <c r="D201" i="32" s="1"/>
  <c r="W203" i="19"/>
  <c r="X203" i="19"/>
  <c r="AA203" i="19"/>
  <c r="C204" i="19"/>
  <c r="D204" i="19"/>
  <c r="E204" i="19"/>
  <c r="F204" i="19"/>
  <c r="H204" i="19"/>
  <c r="I204" i="19"/>
  <c r="K204" i="19"/>
  <c r="L204" i="19"/>
  <c r="M204" i="19"/>
  <c r="Z204" i="19"/>
  <c r="D202" i="32" s="1"/>
  <c r="W204" i="19"/>
  <c r="X204" i="19"/>
  <c r="AA204" i="19"/>
  <c r="C205" i="19"/>
  <c r="D205" i="19"/>
  <c r="E205" i="19"/>
  <c r="F205" i="19"/>
  <c r="H205" i="19"/>
  <c r="I205" i="19"/>
  <c r="K205" i="19"/>
  <c r="L205" i="19"/>
  <c r="M205" i="19"/>
  <c r="Z205" i="19"/>
  <c r="D203" i="32" s="1"/>
  <c r="W205" i="19"/>
  <c r="X205" i="19"/>
  <c r="AA205" i="19"/>
  <c r="C206" i="19"/>
  <c r="D206" i="19"/>
  <c r="E206" i="19"/>
  <c r="F206" i="19"/>
  <c r="H206" i="19"/>
  <c r="I206" i="19"/>
  <c r="K206" i="19"/>
  <c r="L206" i="19"/>
  <c r="M206" i="19"/>
  <c r="Z206" i="19"/>
  <c r="D204" i="32" s="1"/>
  <c r="W206" i="19"/>
  <c r="X206" i="19"/>
  <c r="AA206" i="19"/>
  <c r="C207" i="19"/>
  <c r="D207" i="19"/>
  <c r="E207" i="19"/>
  <c r="F207" i="19"/>
  <c r="H207" i="19"/>
  <c r="I207" i="19"/>
  <c r="K207" i="19"/>
  <c r="L207" i="19"/>
  <c r="M207" i="19"/>
  <c r="Z207" i="19"/>
  <c r="D205" i="32" s="1"/>
  <c r="W207" i="19"/>
  <c r="X207" i="19"/>
  <c r="AA207" i="19"/>
  <c r="C208" i="19"/>
  <c r="D208" i="19"/>
  <c r="E208" i="19"/>
  <c r="F208" i="19"/>
  <c r="H208" i="19"/>
  <c r="I208" i="19"/>
  <c r="K208" i="19"/>
  <c r="L208" i="19"/>
  <c r="M208" i="19"/>
  <c r="Z208" i="19"/>
  <c r="D206" i="32" s="1"/>
  <c r="W208" i="19"/>
  <c r="X208" i="19"/>
  <c r="AA208" i="19"/>
  <c r="C209" i="19"/>
  <c r="D209" i="19"/>
  <c r="E209" i="19"/>
  <c r="F209" i="19"/>
  <c r="H209" i="19"/>
  <c r="I209" i="19"/>
  <c r="K209" i="19"/>
  <c r="L209" i="19"/>
  <c r="M209" i="19"/>
  <c r="Z209" i="19"/>
  <c r="D207" i="32" s="1"/>
  <c r="W209" i="19"/>
  <c r="X209" i="19"/>
  <c r="AA209" i="19"/>
  <c r="C210" i="19"/>
  <c r="D210" i="19"/>
  <c r="E210" i="19"/>
  <c r="F210" i="19"/>
  <c r="H210" i="19"/>
  <c r="I210" i="19"/>
  <c r="K210" i="19"/>
  <c r="L210" i="19"/>
  <c r="M210" i="19"/>
  <c r="Z210" i="19"/>
  <c r="D208" i="32" s="1"/>
  <c r="W210" i="19"/>
  <c r="X210" i="19"/>
  <c r="AA210" i="19"/>
  <c r="C211" i="19"/>
  <c r="D211" i="19"/>
  <c r="E211" i="19"/>
  <c r="F211" i="19"/>
  <c r="H211" i="19"/>
  <c r="I211" i="19"/>
  <c r="K211" i="19"/>
  <c r="L211" i="19"/>
  <c r="M211" i="19"/>
  <c r="Z211" i="19"/>
  <c r="D209" i="32" s="1"/>
  <c r="W211" i="19"/>
  <c r="X211" i="19"/>
  <c r="AA211" i="19"/>
  <c r="C212" i="19"/>
  <c r="D212" i="19"/>
  <c r="E212" i="19"/>
  <c r="F212" i="19"/>
  <c r="H212" i="19"/>
  <c r="I212" i="19"/>
  <c r="K212" i="19"/>
  <c r="L212" i="19"/>
  <c r="M212" i="19"/>
  <c r="Z212" i="19"/>
  <c r="D210" i="32" s="1"/>
  <c r="W212" i="19"/>
  <c r="X212" i="19"/>
  <c r="AA212" i="19"/>
  <c r="C213" i="19"/>
  <c r="D213" i="19"/>
  <c r="E213" i="19"/>
  <c r="F213" i="19"/>
  <c r="H213" i="19"/>
  <c r="I213" i="19"/>
  <c r="K213" i="19"/>
  <c r="L213" i="19"/>
  <c r="M213" i="19"/>
  <c r="Z213" i="19"/>
  <c r="D211" i="32" s="1"/>
  <c r="W213" i="19"/>
  <c r="X213" i="19"/>
  <c r="AA213" i="19"/>
  <c r="C214" i="19"/>
  <c r="D214" i="19"/>
  <c r="E214" i="19"/>
  <c r="F214" i="19"/>
  <c r="H214" i="19"/>
  <c r="I214" i="19"/>
  <c r="K214" i="19"/>
  <c r="L214" i="19"/>
  <c r="M214" i="19"/>
  <c r="Z214" i="19"/>
  <c r="D212" i="32" s="1"/>
  <c r="W214" i="19"/>
  <c r="X214" i="19"/>
  <c r="AA214" i="19"/>
  <c r="C215" i="19"/>
  <c r="D215" i="19"/>
  <c r="E215" i="19"/>
  <c r="F215" i="19"/>
  <c r="H215" i="19"/>
  <c r="I215" i="19"/>
  <c r="K215" i="19"/>
  <c r="L215" i="19"/>
  <c r="M215" i="19"/>
  <c r="Z215" i="19"/>
  <c r="D213" i="32" s="1"/>
  <c r="W215" i="19"/>
  <c r="X215" i="19"/>
  <c r="AA215" i="19"/>
  <c r="C216" i="19"/>
  <c r="D216" i="19"/>
  <c r="E216" i="19"/>
  <c r="F216" i="19"/>
  <c r="H216" i="19"/>
  <c r="I216" i="19"/>
  <c r="K216" i="19"/>
  <c r="L216" i="19"/>
  <c r="M216" i="19"/>
  <c r="Z216" i="19"/>
  <c r="D214" i="32" s="1"/>
  <c r="W216" i="19"/>
  <c r="X216" i="19"/>
  <c r="AA216" i="19"/>
  <c r="C217" i="19"/>
  <c r="D217" i="19"/>
  <c r="E217" i="19"/>
  <c r="F217" i="19"/>
  <c r="H217" i="19"/>
  <c r="I217" i="19"/>
  <c r="K217" i="19"/>
  <c r="L217" i="19"/>
  <c r="M217" i="19"/>
  <c r="Z217" i="19"/>
  <c r="D215" i="32" s="1"/>
  <c r="W217" i="19"/>
  <c r="X217" i="19"/>
  <c r="AA217" i="19"/>
  <c r="C218" i="19"/>
  <c r="D218" i="19"/>
  <c r="E218" i="19"/>
  <c r="F218" i="19"/>
  <c r="H218" i="19"/>
  <c r="I218" i="19"/>
  <c r="K218" i="19"/>
  <c r="L218" i="19"/>
  <c r="M218" i="19"/>
  <c r="Z218" i="19"/>
  <c r="D216" i="32" s="1"/>
  <c r="W218" i="19"/>
  <c r="X218" i="19"/>
  <c r="AA218" i="19"/>
  <c r="C219" i="19"/>
  <c r="D219" i="19"/>
  <c r="E219" i="19"/>
  <c r="F219" i="19"/>
  <c r="H219" i="19"/>
  <c r="I219" i="19"/>
  <c r="K219" i="19"/>
  <c r="L219" i="19"/>
  <c r="M219" i="19"/>
  <c r="Z219" i="19"/>
  <c r="D217" i="32" s="1"/>
  <c r="W219" i="19"/>
  <c r="X219" i="19"/>
  <c r="AA219" i="19"/>
  <c r="C220" i="19"/>
  <c r="D220" i="19"/>
  <c r="E220" i="19"/>
  <c r="F220" i="19"/>
  <c r="H220" i="19"/>
  <c r="I220" i="19"/>
  <c r="K220" i="19"/>
  <c r="L220" i="19"/>
  <c r="M220" i="19"/>
  <c r="Z220" i="19"/>
  <c r="D218" i="32" s="1"/>
  <c r="W220" i="19"/>
  <c r="X220" i="19"/>
  <c r="AA220" i="19"/>
  <c r="C221" i="19"/>
  <c r="D221" i="19"/>
  <c r="E221" i="19"/>
  <c r="F221" i="19"/>
  <c r="H221" i="19"/>
  <c r="I221" i="19"/>
  <c r="K221" i="19"/>
  <c r="L221" i="19"/>
  <c r="M221" i="19"/>
  <c r="Z221" i="19"/>
  <c r="D219" i="32" s="1"/>
  <c r="W221" i="19"/>
  <c r="X221" i="19"/>
  <c r="AA221" i="19"/>
  <c r="C222" i="19"/>
  <c r="D222" i="19"/>
  <c r="E222" i="19"/>
  <c r="F222" i="19"/>
  <c r="H222" i="19"/>
  <c r="I222" i="19"/>
  <c r="K222" i="19"/>
  <c r="L222" i="19"/>
  <c r="M222" i="19"/>
  <c r="Z222" i="19"/>
  <c r="D220" i="32" s="1"/>
  <c r="W222" i="19"/>
  <c r="X222" i="19"/>
  <c r="AA222" i="19"/>
  <c r="C223" i="19"/>
  <c r="D223" i="19"/>
  <c r="E223" i="19"/>
  <c r="F223" i="19"/>
  <c r="H223" i="19"/>
  <c r="I223" i="19"/>
  <c r="K223" i="19"/>
  <c r="L223" i="19"/>
  <c r="M223" i="19"/>
  <c r="Z223" i="19"/>
  <c r="D221" i="32" s="1"/>
  <c r="W223" i="19"/>
  <c r="X223" i="19"/>
  <c r="AA223" i="19"/>
  <c r="C224" i="19"/>
  <c r="D224" i="19"/>
  <c r="E224" i="19"/>
  <c r="F224" i="19"/>
  <c r="H224" i="19"/>
  <c r="I224" i="19"/>
  <c r="K224" i="19"/>
  <c r="L224" i="19"/>
  <c r="M224" i="19"/>
  <c r="Z224" i="19"/>
  <c r="D222" i="32" s="1"/>
  <c r="W224" i="19"/>
  <c r="X224" i="19"/>
  <c r="AA224" i="19"/>
  <c r="C225" i="19"/>
  <c r="D225" i="19"/>
  <c r="E225" i="19"/>
  <c r="F225" i="19"/>
  <c r="H225" i="19"/>
  <c r="I225" i="19"/>
  <c r="K225" i="19"/>
  <c r="L225" i="19"/>
  <c r="M225" i="19"/>
  <c r="Z225" i="19"/>
  <c r="D223" i="32" s="1"/>
  <c r="W225" i="19"/>
  <c r="X225" i="19"/>
  <c r="AA225" i="19"/>
  <c r="C226" i="19"/>
  <c r="D226" i="19"/>
  <c r="E226" i="19"/>
  <c r="F226" i="19"/>
  <c r="H226" i="19"/>
  <c r="I226" i="19"/>
  <c r="K226" i="19"/>
  <c r="L226" i="19"/>
  <c r="M226" i="19"/>
  <c r="Z226" i="19"/>
  <c r="D224" i="32" s="1"/>
  <c r="W226" i="19"/>
  <c r="Y226" i="19" s="1"/>
  <c r="C224" i="32" s="1"/>
  <c r="AA226" i="19"/>
  <c r="C227" i="19"/>
  <c r="D227" i="19"/>
  <c r="E227" i="19"/>
  <c r="F227" i="19"/>
  <c r="H227" i="19"/>
  <c r="I227" i="19"/>
  <c r="K227" i="19"/>
  <c r="L227" i="19"/>
  <c r="M227" i="19"/>
  <c r="Z227" i="19"/>
  <c r="D225" i="32" s="1"/>
  <c r="W227" i="19"/>
  <c r="X227" i="19"/>
  <c r="AA227" i="19"/>
  <c r="C228" i="19"/>
  <c r="D228" i="19"/>
  <c r="E228" i="19"/>
  <c r="F228" i="19"/>
  <c r="H228" i="19"/>
  <c r="I228" i="19"/>
  <c r="K228" i="19"/>
  <c r="L228" i="19"/>
  <c r="M228" i="19"/>
  <c r="Z228" i="19"/>
  <c r="D226" i="32" s="1"/>
  <c r="W228" i="19"/>
  <c r="X228" i="19"/>
  <c r="AA228" i="19"/>
  <c r="C229" i="19"/>
  <c r="D229" i="19"/>
  <c r="E229" i="19"/>
  <c r="F229" i="19"/>
  <c r="H229" i="19"/>
  <c r="I229" i="19"/>
  <c r="K229" i="19"/>
  <c r="L229" i="19"/>
  <c r="M229" i="19"/>
  <c r="Z229" i="19"/>
  <c r="D227" i="32" s="1"/>
  <c r="W229" i="19"/>
  <c r="X229" i="19"/>
  <c r="AA229" i="19"/>
  <c r="C230" i="19"/>
  <c r="D230" i="19"/>
  <c r="E230" i="19"/>
  <c r="F230" i="19"/>
  <c r="H230" i="19"/>
  <c r="I230" i="19"/>
  <c r="K230" i="19"/>
  <c r="L230" i="19"/>
  <c r="M230" i="19"/>
  <c r="Z230" i="19"/>
  <c r="D228" i="32" s="1"/>
  <c r="W230" i="19"/>
  <c r="X230" i="19"/>
  <c r="AA230" i="19"/>
  <c r="C231" i="19"/>
  <c r="D231" i="19"/>
  <c r="E231" i="19"/>
  <c r="F231" i="19"/>
  <c r="H231" i="19"/>
  <c r="I231" i="19"/>
  <c r="K231" i="19"/>
  <c r="L231" i="19"/>
  <c r="M231" i="19"/>
  <c r="Z231" i="19"/>
  <c r="D229" i="32" s="1"/>
  <c r="W231" i="19"/>
  <c r="X231" i="19"/>
  <c r="AA231" i="19"/>
  <c r="C232" i="19"/>
  <c r="D232" i="19"/>
  <c r="E232" i="19"/>
  <c r="F232" i="19"/>
  <c r="H232" i="19"/>
  <c r="I232" i="19"/>
  <c r="K232" i="19"/>
  <c r="L232" i="19"/>
  <c r="M232" i="19"/>
  <c r="Z232" i="19"/>
  <c r="D230" i="32" s="1"/>
  <c r="W232" i="19"/>
  <c r="X232" i="19"/>
  <c r="AA232" i="19"/>
  <c r="C233" i="19"/>
  <c r="D233" i="19"/>
  <c r="E233" i="19"/>
  <c r="F233" i="19"/>
  <c r="H233" i="19"/>
  <c r="I233" i="19"/>
  <c r="K233" i="19"/>
  <c r="L233" i="19"/>
  <c r="M233" i="19"/>
  <c r="Z233" i="19"/>
  <c r="D231" i="32" s="1"/>
  <c r="W233" i="19"/>
  <c r="X233" i="19"/>
  <c r="AA233" i="19"/>
  <c r="C234" i="19"/>
  <c r="D234" i="19"/>
  <c r="E234" i="19"/>
  <c r="F234" i="19"/>
  <c r="H234" i="19"/>
  <c r="I234" i="19"/>
  <c r="K234" i="19"/>
  <c r="L234" i="19"/>
  <c r="M234" i="19"/>
  <c r="Z234" i="19"/>
  <c r="D232" i="32" s="1"/>
  <c r="W234" i="19"/>
  <c r="X234" i="19"/>
  <c r="AA234" i="19"/>
  <c r="C235" i="19"/>
  <c r="D235" i="19"/>
  <c r="E235" i="19"/>
  <c r="F235" i="19"/>
  <c r="H235" i="19"/>
  <c r="I235" i="19"/>
  <c r="K235" i="19"/>
  <c r="L235" i="19"/>
  <c r="M235" i="19"/>
  <c r="Z235" i="19"/>
  <c r="D233" i="32" s="1"/>
  <c r="W235" i="19"/>
  <c r="X235" i="19"/>
  <c r="AA235" i="19"/>
  <c r="C236" i="19"/>
  <c r="D236" i="19"/>
  <c r="E236" i="19"/>
  <c r="F236" i="19"/>
  <c r="H236" i="19"/>
  <c r="I236" i="19"/>
  <c r="K236" i="19"/>
  <c r="L236" i="19"/>
  <c r="M236" i="19"/>
  <c r="Z236" i="19"/>
  <c r="D234" i="32" s="1"/>
  <c r="W236" i="19"/>
  <c r="X236" i="19"/>
  <c r="AA236" i="19"/>
  <c r="C237" i="19"/>
  <c r="D237" i="19"/>
  <c r="E237" i="19"/>
  <c r="F237" i="19"/>
  <c r="H237" i="19"/>
  <c r="I237" i="19"/>
  <c r="K237" i="19"/>
  <c r="L237" i="19"/>
  <c r="M237" i="19"/>
  <c r="Z237" i="19"/>
  <c r="D235" i="32" s="1"/>
  <c r="W237" i="19"/>
  <c r="AA237" i="19"/>
  <c r="C238" i="19"/>
  <c r="D238" i="19"/>
  <c r="E238" i="19"/>
  <c r="F238" i="19"/>
  <c r="H238" i="19"/>
  <c r="I238" i="19"/>
  <c r="K238" i="19"/>
  <c r="L238" i="19"/>
  <c r="M238" i="19"/>
  <c r="Z238" i="19"/>
  <c r="D236" i="32" s="1"/>
  <c r="W238" i="19"/>
  <c r="X238" i="19"/>
  <c r="AA238" i="19"/>
  <c r="C239" i="19"/>
  <c r="D239" i="19"/>
  <c r="E239" i="19"/>
  <c r="F239" i="19"/>
  <c r="H239" i="19"/>
  <c r="I239" i="19"/>
  <c r="K239" i="19"/>
  <c r="L239" i="19"/>
  <c r="M239" i="19"/>
  <c r="Z239" i="19"/>
  <c r="D237" i="32" s="1"/>
  <c r="W239" i="19"/>
  <c r="X239" i="19"/>
  <c r="AA239" i="19"/>
  <c r="C240" i="19"/>
  <c r="D240" i="19"/>
  <c r="E240" i="19"/>
  <c r="F240" i="19"/>
  <c r="H240" i="19"/>
  <c r="I240" i="19"/>
  <c r="K240" i="19"/>
  <c r="L240" i="19"/>
  <c r="M240" i="19"/>
  <c r="Z240" i="19"/>
  <c r="D238" i="32" s="1"/>
  <c r="W240" i="19"/>
  <c r="X240" i="19"/>
  <c r="AA240" i="19"/>
  <c r="C241" i="19"/>
  <c r="D241" i="19"/>
  <c r="E241" i="19"/>
  <c r="F241" i="19"/>
  <c r="H241" i="19"/>
  <c r="I241" i="19"/>
  <c r="K241" i="19"/>
  <c r="L241" i="19"/>
  <c r="M241" i="19"/>
  <c r="Z241" i="19"/>
  <c r="D239" i="32" s="1"/>
  <c r="W241" i="19"/>
  <c r="X241" i="19"/>
  <c r="AA241" i="19"/>
  <c r="C242" i="19"/>
  <c r="D242" i="19"/>
  <c r="E242" i="19"/>
  <c r="F242" i="19"/>
  <c r="H242" i="19"/>
  <c r="I242" i="19"/>
  <c r="K242" i="19"/>
  <c r="L242" i="19"/>
  <c r="M242" i="19"/>
  <c r="Z242" i="19"/>
  <c r="D240" i="32" s="1"/>
  <c r="W242" i="19"/>
  <c r="X242" i="19"/>
  <c r="AA242" i="19"/>
  <c r="C243" i="19"/>
  <c r="D243" i="19"/>
  <c r="E243" i="19"/>
  <c r="F243" i="19"/>
  <c r="H243" i="19"/>
  <c r="I243" i="19"/>
  <c r="K243" i="19"/>
  <c r="L243" i="19"/>
  <c r="M243" i="19"/>
  <c r="Z243" i="19"/>
  <c r="D241" i="32" s="1"/>
  <c r="W243" i="19"/>
  <c r="X243" i="19"/>
  <c r="AA243" i="19"/>
  <c r="C244" i="19"/>
  <c r="D244" i="19"/>
  <c r="E244" i="19"/>
  <c r="F244" i="19"/>
  <c r="H244" i="19"/>
  <c r="I244" i="19"/>
  <c r="K244" i="19"/>
  <c r="L244" i="19"/>
  <c r="M244" i="19"/>
  <c r="Z244" i="19"/>
  <c r="D242" i="32" s="1"/>
  <c r="W244" i="19"/>
  <c r="AA244" i="19"/>
  <c r="C245" i="19"/>
  <c r="D245" i="19"/>
  <c r="E245" i="19"/>
  <c r="F245" i="19"/>
  <c r="H245" i="19"/>
  <c r="I245" i="19"/>
  <c r="K245" i="19"/>
  <c r="L245" i="19"/>
  <c r="M245" i="19"/>
  <c r="Z245" i="19"/>
  <c r="D243" i="32" s="1"/>
  <c r="W245" i="19"/>
  <c r="X245" i="19"/>
  <c r="AA245" i="19"/>
  <c r="C246" i="19"/>
  <c r="D246" i="19"/>
  <c r="E246" i="19"/>
  <c r="F246" i="19"/>
  <c r="H246" i="19"/>
  <c r="I246" i="19"/>
  <c r="K246" i="19"/>
  <c r="L246" i="19"/>
  <c r="M246" i="19"/>
  <c r="Z246" i="19"/>
  <c r="D244" i="32" s="1"/>
  <c r="W246" i="19"/>
  <c r="X246" i="19"/>
  <c r="AA246" i="19"/>
  <c r="C247" i="19"/>
  <c r="D247" i="19"/>
  <c r="E247" i="19"/>
  <c r="F247" i="19"/>
  <c r="H247" i="19"/>
  <c r="I247" i="19"/>
  <c r="K247" i="19"/>
  <c r="L247" i="19"/>
  <c r="M247" i="19"/>
  <c r="Z247" i="19"/>
  <c r="D245" i="32" s="1"/>
  <c r="W247" i="19"/>
  <c r="X247" i="19"/>
  <c r="AA247" i="19"/>
  <c r="C248" i="19"/>
  <c r="D248" i="19"/>
  <c r="E248" i="19"/>
  <c r="F248" i="19"/>
  <c r="H248" i="19"/>
  <c r="I248" i="19"/>
  <c r="K248" i="19"/>
  <c r="L248" i="19"/>
  <c r="M248" i="19"/>
  <c r="Z248" i="19"/>
  <c r="D246" i="32" s="1"/>
  <c r="W248" i="19"/>
  <c r="X248" i="19"/>
  <c r="AA248" i="19"/>
  <c r="C249" i="19"/>
  <c r="D249" i="19"/>
  <c r="E249" i="19"/>
  <c r="F249" i="19"/>
  <c r="H249" i="19"/>
  <c r="I249" i="19"/>
  <c r="K249" i="19"/>
  <c r="L249" i="19"/>
  <c r="M249" i="19"/>
  <c r="Z249" i="19"/>
  <c r="D247" i="32" s="1"/>
  <c r="W249" i="19"/>
  <c r="X249" i="19"/>
  <c r="AA249" i="19"/>
  <c r="C250" i="19"/>
  <c r="D250" i="19"/>
  <c r="E250" i="19"/>
  <c r="F250" i="19"/>
  <c r="H250" i="19"/>
  <c r="I250" i="19"/>
  <c r="K250" i="19"/>
  <c r="L250" i="19"/>
  <c r="M250" i="19"/>
  <c r="Z250" i="19"/>
  <c r="D248" i="32" s="1"/>
  <c r="W250" i="19"/>
  <c r="X250" i="19"/>
  <c r="AA250" i="19"/>
  <c r="C251" i="19"/>
  <c r="D251" i="19"/>
  <c r="E251" i="19"/>
  <c r="F251" i="19"/>
  <c r="H251" i="19"/>
  <c r="I251" i="19"/>
  <c r="K251" i="19"/>
  <c r="L251" i="19"/>
  <c r="M251" i="19"/>
  <c r="Z251" i="19"/>
  <c r="D249" i="32" s="1"/>
  <c r="W251" i="19"/>
  <c r="X251" i="19"/>
  <c r="AA251" i="19"/>
  <c r="C252" i="19"/>
  <c r="D252" i="19"/>
  <c r="E252" i="19"/>
  <c r="F252" i="19"/>
  <c r="H252" i="19"/>
  <c r="I252" i="19"/>
  <c r="K252" i="19"/>
  <c r="L252" i="19"/>
  <c r="M252" i="19"/>
  <c r="Z252" i="19"/>
  <c r="D250" i="32" s="1"/>
  <c r="W252" i="19"/>
  <c r="X252" i="19"/>
  <c r="AA252" i="19"/>
  <c r="C253" i="19"/>
  <c r="D253" i="19"/>
  <c r="E253" i="19"/>
  <c r="F253" i="19"/>
  <c r="H253" i="19"/>
  <c r="I253" i="19"/>
  <c r="K253" i="19"/>
  <c r="L253" i="19"/>
  <c r="M253" i="19"/>
  <c r="Z253" i="19"/>
  <c r="D251" i="32" s="1"/>
  <c r="W253" i="19"/>
  <c r="X253" i="19"/>
  <c r="AA253" i="19"/>
  <c r="C254" i="19"/>
  <c r="D254" i="19"/>
  <c r="E254" i="19"/>
  <c r="F254" i="19"/>
  <c r="H254" i="19"/>
  <c r="I254" i="19"/>
  <c r="K254" i="19"/>
  <c r="L254" i="19"/>
  <c r="M254" i="19"/>
  <c r="Z254" i="19"/>
  <c r="D252" i="32" s="1"/>
  <c r="W254" i="19"/>
  <c r="X254" i="19"/>
  <c r="AA254" i="19"/>
  <c r="C255" i="19"/>
  <c r="D255" i="19"/>
  <c r="E255" i="19"/>
  <c r="F255" i="19"/>
  <c r="H255" i="19"/>
  <c r="I255" i="19"/>
  <c r="K255" i="19"/>
  <c r="L255" i="19"/>
  <c r="M255" i="19"/>
  <c r="Z255" i="19"/>
  <c r="D253" i="32" s="1"/>
  <c r="W255" i="19"/>
  <c r="X255" i="19"/>
  <c r="AA255" i="19"/>
  <c r="C256" i="19"/>
  <c r="D256" i="19"/>
  <c r="E256" i="19"/>
  <c r="F256" i="19"/>
  <c r="H256" i="19"/>
  <c r="I256" i="19"/>
  <c r="K256" i="19"/>
  <c r="L256" i="19"/>
  <c r="M256" i="19"/>
  <c r="Z256" i="19"/>
  <c r="D254" i="32" s="1"/>
  <c r="W256" i="19"/>
  <c r="X256" i="19"/>
  <c r="AA256" i="19"/>
  <c r="C257" i="19"/>
  <c r="D257" i="19"/>
  <c r="E257" i="19"/>
  <c r="F257" i="19"/>
  <c r="H257" i="19"/>
  <c r="I257" i="19"/>
  <c r="K257" i="19"/>
  <c r="L257" i="19"/>
  <c r="M257" i="19"/>
  <c r="Z257" i="19"/>
  <c r="D255" i="32" s="1"/>
  <c r="W257" i="19"/>
  <c r="X257" i="19"/>
  <c r="AA257" i="19"/>
  <c r="C258" i="19"/>
  <c r="D258" i="19"/>
  <c r="E258" i="19"/>
  <c r="F258" i="19"/>
  <c r="H258" i="19"/>
  <c r="I258" i="19"/>
  <c r="K258" i="19"/>
  <c r="L258" i="19"/>
  <c r="M258" i="19"/>
  <c r="Z258" i="19"/>
  <c r="D256" i="32" s="1"/>
  <c r="W258" i="19"/>
  <c r="X258" i="19"/>
  <c r="AA258" i="19"/>
  <c r="C259" i="19"/>
  <c r="D259" i="19"/>
  <c r="E259" i="19"/>
  <c r="F259" i="19"/>
  <c r="H259" i="19"/>
  <c r="I259" i="19"/>
  <c r="K259" i="19"/>
  <c r="L259" i="19"/>
  <c r="M259" i="19"/>
  <c r="Z259" i="19"/>
  <c r="D257" i="32" s="1"/>
  <c r="W259" i="19"/>
  <c r="X259" i="19"/>
  <c r="AA259" i="19"/>
  <c r="C260" i="19"/>
  <c r="D260" i="19"/>
  <c r="E260" i="19"/>
  <c r="F260" i="19"/>
  <c r="H260" i="19"/>
  <c r="I260" i="19"/>
  <c r="K260" i="19"/>
  <c r="L260" i="19"/>
  <c r="M260" i="19"/>
  <c r="Z260" i="19"/>
  <c r="D258" i="32" s="1"/>
  <c r="W260" i="19"/>
  <c r="X260" i="19"/>
  <c r="AA260" i="19"/>
  <c r="C261" i="19"/>
  <c r="D261" i="19"/>
  <c r="E261" i="19"/>
  <c r="F261" i="19"/>
  <c r="H261" i="19"/>
  <c r="I261" i="19"/>
  <c r="K261" i="19"/>
  <c r="L261" i="19"/>
  <c r="M261" i="19"/>
  <c r="Z261" i="19"/>
  <c r="D259" i="32" s="1"/>
  <c r="W261" i="19"/>
  <c r="X261" i="19"/>
  <c r="AA261" i="19"/>
  <c r="C262" i="19"/>
  <c r="D262" i="19"/>
  <c r="E262" i="19"/>
  <c r="F262" i="19"/>
  <c r="H262" i="19"/>
  <c r="I262" i="19"/>
  <c r="K262" i="19"/>
  <c r="L262" i="19"/>
  <c r="M262" i="19"/>
  <c r="Z262" i="19"/>
  <c r="D260" i="32" s="1"/>
  <c r="W262" i="19"/>
  <c r="X262" i="19"/>
  <c r="AA262" i="19"/>
  <c r="C263" i="19"/>
  <c r="D263" i="19"/>
  <c r="E263" i="19"/>
  <c r="F263" i="19"/>
  <c r="H263" i="19"/>
  <c r="I263" i="19"/>
  <c r="K263" i="19"/>
  <c r="L263" i="19"/>
  <c r="M263" i="19"/>
  <c r="Z263" i="19"/>
  <c r="D261" i="32" s="1"/>
  <c r="W263" i="19"/>
  <c r="X263" i="19"/>
  <c r="AA263" i="19"/>
  <c r="C264" i="19"/>
  <c r="D264" i="19"/>
  <c r="E264" i="19"/>
  <c r="F264" i="19"/>
  <c r="H264" i="19"/>
  <c r="I264" i="19"/>
  <c r="K264" i="19"/>
  <c r="L264" i="19"/>
  <c r="M264" i="19"/>
  <c r="Z264" i="19"/>
  <c r="D262" i="32" s="1"/>
  <c r="W264" i="19"/>
  <c r="X264" i="19"/>
  <c r="AA264" i="19"/>
  <c r="C265" i="19"/>
  <c r="D265" i="19"/>
  <c r="E265" i="19"/>
  <c r="F265" i="19"/>
  <c r="H265" i="19"/>
  <c r="I265" i="19"/>
  <c r="K265" i="19"/>
  <c r="L265" i="19"/>
  <c r="M265" i="19"/>
  <c r="Z265" i="19"/>
  <c r="D263" i="32" s="1"/>
  <c r="W265" i="19"/>
  <c r="X265" i="19"/>
  <c r="AA265" i="19"/>
  <c r="C266" i="19"/>
  <c r="D266" i="19"/>
  <c r="E266" i="19"/>
  <c r="F266" i="19"/>
  <c r="H266" i="19"/>
  <c r="I266" i="19"/>
  <c r="K266" i="19"/>
  <c r="L266" i="19"/>
  <c r="M266" i="19"/>
  <c r="Z266" i="19"/>
  <c r="D264" i="32" s="1"/>
  <c r="W266" i="19"/>
  <c r="X266" i="19"/>
  <c r="AA266" i="19"/>
  <c r="C267" i="19"/>
  <c r="D267" i="19"/>
  <c r="E267" i="19"/>
  <c r="F267" i="19"/>
  <c r="H267" i="19"/>
  <c r="I267" i="19"/>
  <c r="K267" i="19"/>
  <c r="L267" i="19"/>
  <c r="M267" i="19"/>
  <c r="Z267" i="19"/>
  <c r="D265" i="32" s="1"/>
  <c r="W267" i="19"/>
  <c r="X267" i="19"/>
  <c r="AA267" i="19"/>
  <c r="C268" i="19"/>
  <c r="D268" i="19"/>
  <c r="E268" i="19"/>
  <c r="F268" i="19"/>
  <c r="H268" i="19"/>
  <c r="I268" i="19"/>
  <c r="K268" i="19"/>
  <c r="L268" i="19"/>
  <c r="M268" i="19"/>
  <c r="Z268" i="19"/>
  <c r="D266" i="32" s="1"/>
  <c r="W268" i="19"/>
  <c r="X268" i="19"/>
  <c r="AA268" i="19"/>
  <c r="C269" i="19"/>
  <c r="D269" i="19"/>
  <c r="E269" i="19"/>
  <c r="F269" i="19"/>
  <c r="H269" i="19"/>
  <c r="I269" i="19"/>
  <c r="K269" i="19"/>
  <c r="L269" i="19"/>
  <c r="M269" i="19"/>
  <c r="Z269" i="19"/>
  <c r="D267" i="32" s="1"/>
  <c r="W269" i="19"/>
  <c r="AA269" i="19"/>
  <c r="C270" i="19"/>
  <c r="D270" i="19"/>
  <c r="E270" i="19"/>
  <c r="F270" i="19"/>
  <c r="H270" i="19"/>
  <c r="I270" i="19"/>
  <c r="K270" i="19"/>
  <c r="L270" i="19"/>
  <c r="M270" i="19"/>
  <c r="Z270" i="19"/>
  <c r="D268" i="32" s="1"/>
  <c r="W270" i="19"/>
  <c r="X270" i="19"/>
  <c r="AA270" i="19"/>
  <c r="C271" i="19"/>
  <c r="D271" i="19"/>
  <c r="E271" i="19"/>
  <c r="F271" i="19"/>
  <c r="H271" i="19"/>
  <c r="I271" i="19"/>
  <c r="K271" i="19"/>
  <c r="L271" i="19"/>
  <c r="M271" i="19"/>
  <c r="Z271" i="19"/>
  <c r="D269" i="32" s="1"/>
  <c r="W271" i="19"/>
  <c r="X271" i="19"/>
  <c r="AA271" i="19"/>
  <c r="C272" i="19"/>
  <c r="D272" i="19"/>
  <c r="E272" i="19"/>
  <c r="F272" i="19"/>
  <c r="H272" i="19"/>
  <c r="I272" i="19"/>
  <c r="K272" i="19"/>
  <c r="L272" i="19"/>
  <c r="M272" i="19"/>
  <c r="Z272" i="19"/>
  <c r="D270" i="32" s="1"/>
  <c r="W272" i="19"/>
  <c r="X272" i="19"/>
  <c r="AA272" i="19"/>
  <c r="C273" i="19"/>
  <c r="D273" i="19"/>
  <c r="E273" i="19"/>
  <c r="F273" i="19"/>
  <c r="H273" i="19"/>
  <c r="I273" i="19"/>
  <c r="K273" i="19"/>
  <c r="L273" i="19"/>
  <c r="M273" i="19"/>
  <c r="Z273" i="19"/>
  <c r="D271" i="32" s="1"/>
  <c r="W273" i="19"/>
  <c r="X273" i="19"/>
  <c r="AA273" i="19"/>
  <c r="C274" i="19"/>
  <c r="D274" i="19"/>
  <c r="E274" i="19"/>
  <c r="F274" i="19"/>
  <c r="H274" i="19"/>
  <c r="I274" i="19"/>
  <c r="K274" i="19"/>
  <c r="L274" i="19"/>
  <c r="M274" i="19"/>
  <c r="Z274" i="19"/>
  <c r="D272" i="32" s="1"/>
  <c r="W274" i="19"/>
  <c r="X274" i="19"/>
  <c r="AA274" i="19"/>
  <c r="C275" i="19"/>
  <c r="D275" i="19"/>
  <c r="E275" i="19"/>
  <c r="F275" i="19"/>
  <c r="H275" i="19"/>
  <c r="I275" i="19"/>
  <c r="K275" i="19"/>
  <c r="L275" i="19"/>
  <c r="M275" i="19"/>
  <c r="Z275" i="19"/>
  <c r="D273" i="32" s="1"/>
  <c r="W275" i="19"/>
  <c r="X275" i="19"/>
  <c r="AA275" i="19"/>
  <c r="C276" i="19"/>
  <c r="D276" i="19"/>
  <c r="E276" i="19"/>
  <c r="F276" i="19"/>
  <c r="H276" i="19"/>
  <c r="I276" i="19"/>
  <c r="K276" i="19"/>
  <c r="L276" i="19"/>
  <c r="M276" i="19"/>
  <c r="Z276" i="19"/>
  <c r="D274" i="32" s="1"/>
  <c r="W276" i="19"/>
  <c r="X276" i="19"/>
  <c r="AA276" i="19"/>
  <c r="C277" i="19"/>
  <c r="D277" i="19"/>
  <c r="E277" i="19"/>
  <c r="F277" i="19"/>
  <c r="H277" i="19"/>
  <c r="I277" i="19"/>
  <c r="K277" i="19"/>
  <c r="L277" i="19"/>
  <c r="M277" i="19"/>
  <c r="Z277" i="19"/>
  <c r="D275" i="32" s="1"/>
  <c r="W277" i="19"/>
  <c r="X277" i="19"/>
  <c r="AA277" i="19"/>
  <c r="C278" i="19"/>
  <c r="D278" i="19"/>
  <c r="E278" i="19"/>
  <c r="F278" i="19"/>
  <c r="H278" i="19"/>
  <c r="I278" i="19"/>
  <c r="K278" i="19"/>
  <c r="L278" i="19"/>
  <c r="M278" i="19"/>
  <c r="Z278" i="19"/>
  <c r="D276" i="32" s="1"/>
  <c r="W278" i="19"/>
  <c r="X278" i="19"/>
  <c r="AA278" i="19"/>
  <c r="C279" i="19"/>
  <c r="D279" i="19"/>
  <c r="E279" i="19"/>
  <c r="F279" i="19"/>
  <c r="H279" i="19"/>
  <c r="I279" i="19"/>
  <c r="K279" i="19"/>
  <c r="L279" i="19"/>
  <c r="M279" i="19"/>
  <c r="Z279" i="19"/>
  <c r="D277" i="32" s="1"/>
  <c r="W279" i="19"/>
  <c r="X279" i="19"/>
  <c r="AA279" i="19"/>
  <c r="C280" i="19"/>
  <c r="D280" i="19"/>
  <c r="E280" i="19"/>
  <c r="F280" i="19"/>
  <c r="H280" i="19"/>
  <c r="I280" i="19"/>
  <c r="K280" i="19"/>
  <c r="L280" i="19"/>
  <c r="M280" i="19"/>
  <c r="Z280" i="19"/>
  <c r="D278" i="32" s="1"/>
  <c r="W280" i="19"/>
  <c r="X280" i="19"/>
  <c r="AA280" i="19"/>
  <c r="C281" i="19"/>
  <c r="D281" i="19"/>
  <c r="E281" i="19"/>
  <c r="F281" i="19"/>
  <c r="H281" i="19"/>
  <c r="I281" i="19"/>
  <c r="K281" i="19"/>
  <c r="L281" i="19"/>
  <c r="M281" i="19"/>
  <c r="Z281" i="19"/>
  <c r="D279" i="32" s="1"/>
  <c r="W281" i="19"/>
  <c r="X281" i="19"/>
  <c r="AA281" i="19"/>
  <c r="C282" i="19"/>
  <c r="D282" i="19"/>
  <c r="E282" i="19"/>
  <c r="F282" i="19"/>
  <c r="H282" i="19"/>
  <c r="I282" i="19"/>
  <c r="K282" i="19"/>
  <c r="L282" i="19"/>
  <c r="M282" i="19"/>
  <c r="Z282" i="19"/>
  <c r="D280" i="32" s="1"/>
  <c r="W282" i="19"/>
  <c r="X282" i="19"/>
  <c r="AA282" i="19"/>
  <c r="C283" i="19"/>
  <c r="D283" i="19"/>
  <c r="E283" i="19"/>
  <c r="F283" i="19"/>
  <c r="H283" i="19"/>
  <c r="I283" i="19"/>
  <c r="K283" i="19"/>
  <c r="L283" i="19"/>
  <c r="M283" i="19"/>
  <c r="Z283" i="19"/>
  <c r="D281" i="32" s="1"/>
  <c r="W283" i="19"/>
  <c r="X283" i="19"/>
  <c r="AA283" i="19"/>
  <c r="C284" i="19"/>
  <c r="D284" i="19"/>
  <c r="E284" i="19"/>
  <c r="F284" i="19"/>
  <c r="H284" i="19"/>
  <c r="I284" i="19"/>
  <c r="K284" i="19"/>
  <c r="L284" i="19"/>
  <c r="M284" i="19"/>
  <c r="Z284" i="19"/>
  <c r="D282" i="32" s="1"/>
  <c r="W284" i="19"/>
  <c r="X284" i="19"/>
  <c r="AA284" i="19"/>
  <c r="C285" i="19"/>
  <c r="D285" i="19"/>
  <c r="E285" i="19"/>
  <c r="F285" i="19"/>
  <c r="H285" i="19"/>
  <c r="I285" i="19"/>
  <c r="K285" i="19"/>
  <c r="L285" i="19"/>
  <c r="M285" i="19"/>
  <c r="Z285" i="19"/>
  <c r="D283" i="32" s="1"/>
  <c r="W285" i="19"/>
  <c r="X285" i="19"/>
  <c r="AA285" i="19"/>
  <c r="C286" i="19"/>
  <c r="D286" i="19"/>
  <c r="E286" i="19"/>
  <c r="F286" i="19"/>
  <c r="H286" i="19"/>
  <c r="I286" i="19"/>
  <c r="K286" i="19"/>
  <c r="L286" i="19"/>
  <c r="M286" i="19"/>
  <c r="Z286" i="19"/>
  <c r="D284" i="32" s="1"/>
  <c r="W286" i="19"/>
  <c r="X286" i="19"/>
  <c r="AA286" i="19"/>
  <c r="C287" i="19"/>
  <c r="D287" i="19"/>
  <c r="E287" i="19"/>
  <c r="F287" i="19"/>
  <c r="H287" i="19"/>
  <c r="I287" i="19"/>
  <c r="K287" i="19"/>
  <c r="L287" i="19"/>
  <c r="M287" i="19"/>
  <c r="Z287" i="19"/>
  <c r="D285" i="32" s="1"/>
  <c r="W287" i="19"/>
  <c r="X287" i="19"/>
  <c r="AA287" i="19"/>
  <c r="C288" i="19"/>
  <c r="D288" i="19"/>
  <c r="E288" i="19"/>
  <c r="F288" i="19"/>
  <c r="H288" i="19"/>
  <c r="I288" i="19"/>
  <c r="K288" i="19"/>
  <c r="L288" i="19"/>
  <c r="M288" i="19"/>
  <c r="Z288" i="19"/>
  <c r="D286" i="32" s="1"/>
  <c r="W288" i="19"/>
  <c r="X288" i="19"/>
  <c r="AA288" i="19"/>
  <c r="C289" i="19"/>
  <c r="D289" i="19"/>
  <c r="E289" i="19"/>
  <c r="F289" i="19"/>
  <c r="H289" i="19"/>
  <c r="I289" i="19"/>
  <c r="K289" i="19"/>
  <c r="L289" i="19"/>
  <c r="M289" i="19"/>
  <c r="Z289" i="19"/>
  <c r="D287" i="32" s="1"/>
  <c r="W289" i="19"/>
  <c r="X289" i="19"/>
  <c r="AA289" i="19"/>
  <c r="C290" i="19"/>
  <c r="D290" i="19"/>
  <c r="E290" i="19"/>
  <c r="F290" i="19"/>
  <c r="H290" i="19"/>
  <c r="I290" i="19"/>
  <c r="K290" i="19"/>
  <c r="L290" i="19"/>
  <c r="M290" i="19"/>
  <c r="Z290" i="19"/>
  <c r="D288" i="32" s="1"/>
  <c r="W290" i="19"/>
  <c r="X290" i="19"/>
  <c r="AA290" i="19"/>
  <c r="C291" i="19"/>
  <c r="D291" i="19"/>
  <c r="E291" i="19"/>
  <c r="F291" i="19"/>
  <c r="H291" i="19"/>
  <c r="I291" i="19"/>
  <c r="K291" i="19"/>
  <c r="L291" i="19"/>
  <c r="M291" i="19"/>
  <c r="Z291" i="19"/>
  <c r="D289" i="32" s="1"/>
  <c r="W291" i="19"/>
  <c r="X291" i="19"/>
  <c r="AA291" i="19"/>
  <c r="C292" i="19"/>
  <c r="D292" i="19"/>
  <c r="E292" i="19"/>
  <c r="F292" i="19"/>
  <c r="H292" i="19"/>
  <c r="I292" i="19"/>
  <c r="K292" i="19"/>
  <c r="L292" i="19"/>
  <c r="M292" i="19"/>
  <c r="Z292" i="19"/>
  <c r="D290" i="32" s="1"/>
  <c r="W292" i="19"/>
  <c r="X292" i="19"/>
  <c r="AA292" i="19"/>
  <c r="C293" i="19"/>
  <c r="D293" i="19"/>
  <c r="E293" i="19"/>
  <c r="F293" i="19"/>
  <c r="H293" i="19"/>
  <c r="I293" i="19"/>
  <c r="K293" i="19"/>
  <c r="L293" i="19"/>
  <c r="M293" i="19"/>
  <c r="Z293" i="19"/>
  <c r="D291" i="32" s="1"/>
  <c r="W293" i="19"/>
  <c r="X293" i="19"/>
  <c r="AA293" i="19"/>
  <c r="C294" i="19"/>
  <c r="D294" i="19"/>
  <c r="E294" i="19"/>
  <c r="F294" i="19"/>
  <c r="H294" i="19"/>
  <c r="I294" i="19"/>
  <c r="K294" i="19"/>
  <c r="L294" i="19"/>
  <c r="M294" i="19"/>
  <c r="Z294" i="19"/>
  <c r="D292" i="32" s="1"/>
  <c r="W294" i="19"/>
  <c r="X294" i="19"/>
  <c r="AA294" i="19"/>
  <c r="C295" i="19"/>
  <c r="D295" i="19"/>
  <c r="E295" i="19"/>
  <c r="F295" i="19"/>
  <c r="H295" i="19"/>
  <c r="I295" i="19"/>
  <c r="K295" i="19"/>
  <c r="L295" i="19"/>
  <c r="M295" i="19"/>
  <c r="Z295" i="19"/>
  <c r="D293" i="32" s="1"/>
  <c r="W295" i="19"/>
  <c r="X295" i="19"/>
  <c r="AA295" i="19"/>
  <c r="C296" i="19"/>
  <c r="D296" i="19"/>
  <c r="E296" i="19"/>
  <c r="F296" i="19"/>
  <c r="H296" i="19"/>
  <c r="I296" i="19"/>
  <c r="K296" i="19"/>
  <c r="L296" i="19"/>
  <c r="M296" i="19"/>
  <c r="Z296" i="19"/>
  <c r="D294" i="32" s="1"/>
  <c r="W296" i="19"/>
  <c r="X296" i="19"/>
  <c r="AA296" i="19"/>
  <c r="C297" i="19"/>
  <c r="D297" i="19"/>
  <c r="E297" i="19"/>
  <c r="F297" i="19"/>
  <c r="H297" i="19"/>
  <c r="I297" i="19"/>
  <c r="K297" i="19"/>
  <c r="L297" i="19"/>
  <c r="M297" i="19"/>
  <c r="Z297" i="19"/>
  <c r="D295" i="32" s="1"/>
  <c r="W297" i="19"/>
  <c r="X297" i="19"/>
  <c r="AA297" i="19"/>
  <c r="C298" i="19"/>
  <c r="D298" i="19"/>
  <c r="E298" i="19"/>
  <c r="F298" i="19"/>
  <c r="H298" i="19"/>
  <c r="I298" i="19"/>
  <c r="K298" i="19"/>
  <c r="L298" i="19"/>
  <c r="M298" i="19"/>
  <c r="Z298" i="19"/>
  <c r="D296" i="32" s="1"/>
  <c r="W298" i="19"/>
  <c r="X298" i="19"/>
  <c r="AA298" i="19"/>
  <c r="C299" i="19"/>
  <c r="D299" i="19"/>
  <c r="E299" i="19"/>
  <c r="F299" i="19"/>
  <c r="H299" i="19"/>
  <c r="I299" i="19"/>
  <c r="K299" i="19"/>
  <c r="L299" i="19"/>
  <c r="M299" i="19"/>
  <c r="Z299" i="19"/>
  <c r="D297" i="32" s="1"/>
  <c r="W299" i="19"/>
  <c r="X299" i="19"/>
  <c r="AA299" i="19"/>
  <c r="C300" i="19"/>
  <c r="D300" i="19"/>
  <c r="E300" i="19"/>
  <c r="F300" i="19"/>
  <c r="H300" i="19"/>
  <c r="I300" i="19"/>
  <c r="K300" i="19"/>
  <c r="L300" i="19"/>
  <c r="M300" i="19"/>
  <c r="Z300" i="19"/>
  <c r="D298" i="32" s="1"/>
  <c r="W300" i="19"/>
  <c r="X300" i="19"/>
  <c r="AA300" i="19"/>
  <c r="C301" i="19"/>
  <c r="D301" i="19"/>
  <c r="E301" i="19"/>
  <c r="F301" i="19"/>
  <c r="H301" i="19"/>
  <c r="I301" i="19"/>
  <c r="K301" i="19"/>
  <c r="L301" i="19"/>
  <c r="M301" i="19"/>
  <c r="Z301" i="19"/>
  <c r="D299" i="32" s="1"/>
  <c r="W301" i="19"/>
  <c r="X301" i="19"/>
  <c r="AA301" i="19"/>
  <c r="C302" i="19"/>
  <c r="D302" i="19"/>
  <c r="E302" i="19"/>
  <c r="F302" i="19"/>
  <c r="H302" i="19"/>
  <c r="I302" i="19"/>
  <c r="K302" i="19"/>
  <c r="L302" i="19"/>
  <c r="M302" i="19"/>
  <c r="Z302" i="19"/>
  <c r="D300" i="32" s="1"/>
  <c r="W302" i="19"/>
  <c r="X302" i="19"/>
  <c r="AA302" i="19"/>
  <c r="C303" i="19"/>
  <c r="D303" i="19"/>
  <c r="E303" i="19"/>
  <c r="F303" i="19"/>
  <c r="H303" i="19"/>
  <c r="I303" i="19"/>
  <c r="K303" i="19"/>
  <c r="L303" i="19"/>
  <c r="M303" i="19"/>
  <c r="Z303" i="19"/>
  <c r="D301" i="32" s="1"/>
  <c r="X303" i="19"/>
  <c r="Y303" i="19" s="1"/>
  <c r="C301" i="32" s="1"/>
  <c r="AA303" i="19"/>
  <c r="C304" i="19"/>
  <c r="D304" i="19"/>
  <c r="E304" i="19"/>
  <c r="F304" i="19"/>
  <c r="H304" i="19"/>
  <c r="I304" i="19"/>
  <c r="K304" i="19"/>
  <c r="L304" i="19"/>
  <c r="M304" i="19"/>
  <c r="Z304" i="19"/>
  <c r="D302" i="32" s="1"/>
  <c r="W304" i="19"/>
  <c r="X304" i="19"/>
  <c r="AA304" i="19"/>
  <c r="C305" i="19"/>
  <c r="D305" i="19"/>
  <c r="E305" i="19"/>
  <c r="F305" i="19"/>
  <c r="H305" i="19"/>
  <c r="I305" i="19"/>
  <c r="K305" i="19"/>
  <c r="L305" i="19"/>
  <c r="M305" i="19"/>
  <c r="Z305" i="19"/>
  <c r="D303" i="32" s="1"/>
  <c r="W305" i="19"/>
  <c r="X305" i="19"/>
  <c r="AA305" i="19"/>
  <c r="C306" i="19"/>
  <c r="D306" i="19"/>
  <c r="E306" i="19"/>
  <c r="F306" i="19"/>
  <c r="H306" i="19"/>
  <c r="I306" i="19"/>
  <c r="K306" i="19"/>
  <c r="L306" i="19"/>
  <c r="M306" i="19"/>
  <c r="Z306" i="19"/>
  <c r="D304" i="32" s="1"/>
  <c r="W306" i="19"/>
  <c r="X306" i="19"/>
  <c r="AA306" i="19"/>
  <c r="C307" i="19"/>
  <c r="D307" i="19"/>
  <c r="E307" i="19"/>
  <c r="F307" i="19"/>
  <c r="H307" i="19"/>
  <c r="I307" i="19"/>
  <c r="K307" i="19"/>
  <c r="L307" i="19"/>
  <c r="M307" i="19"/>
  <c r="Z307" i="19"/>
  <c r="D305" i="32" s="1"/>
  <c r="W307" i="19"/>
  <c r="X307" i="19"/>
  <c r="AA307" i="19"/>
  <c r="C308" i="19"/>
  <c r="D308" i="19"/>
  <c r="E308" i="19"/>
  <c r="F308" i="19"/>
  <c r="H308" i="19"/>
  <c r="I308" i="19"/>
  <c r="K308" i="19"/>
  <c r="L308" i="19"/>
  <c r="M308" i="19"/>
  <c r="Z308" i="19"/>
  <c r="D306" i="32" s="1"/>
  <c r="AA308" i="19"/>
  <c r="C309" i="19"/>
  <c r="D309" i="19"/>
  <c r="E309" i="19"/>
  <c r="F309" i="19"/>
  <c r="H309" i="19"/>
  <c r="I309" i="19"/>
  <c r="K309" i="19"/>
  <c r="L309" i="19"/>
  <c r="M309" i="19"/>
  <c r="Z309" i="19"/>
  <c r="D307" i="32" s="1"/>
  <c r="W309" i="19"/>
  <c r="X309" i="19"/>
  <c r="AA309" i="19"/>
  <c r="C310" i="19"/>
  <c r="D310" i="19"/>
  <c r="E310" i="19"/>
  <c r="F310" i="19"/>
  <c r="H310" i="19"/>
  <c r="I310" i="19"/>
  <c r="K310" i="19"/>
  <c r="L310" i="19"/>
  <c r="M310" i="19"/>
  <c r="Z310" i="19"/>
  <c r="D308" i="32" s="1"/>
  <c r="W310" i="19"/>
  <c r="X310" i="19"/>
  <c r="AA310" i="19"/>
  <c r="C311" i="19"/>
  <c r="D311" i="19"/>
  <c r="E311" i="19"/>
  <c r="F311" i="19"/>
  <c r="H311" i="19"/>
  <c r="I311" i="19"/>
  <c r="K311" i="19"/>
  <c r="L311" i="19"/>
  <c r="M311" i="19"/>
  <c r="Z311" i="19"/>
  <c r="D309" i="32" s="1"/>
  <c r="W311" i="19"/>
  <c r="X311" i="19"/>
  <c r="AA311" i="19"/>
  <c r="C312" i="19"/>
  <c r="D312" i="19"/>
  <c r="E312" i="19"/>
  <c r="F312" i="19"/>
  <c r="H312" i="19"/>
  <c r="I312" i="19"/>
  <c r="K312" i="19"/>
  <c r="L312" i="19"/>
  <c r="M312" i="19"/>
  <c r="Z312" i="19"/>
  <c r="D310" i="32" s="1"/>
  <c r="W312" i="19"/>
  <c r="X312" i="19"/>
  <c r="AA312" i="19"/>
  <c r="C313" i="19"/>
  <c r="D313" i="19"/>
  <c r="E313" i="19"/>
  <c r="F313" i="19"/>
  <c r="H313" i="19"/>
  <c r="I313" i="19"/>
  <c r="K313" i="19"/>
  <c r="L313" i="19"/>
  <c r="M313" i="19"/>
  <c r="Z313" i="19"/>
  <c r="D311" i="32" s="1"/>
  <c r="W313" i="19"/>
  <c r="X313" i="19"/>
  <c r="AA313" i="19"/>
  <c r="C314" i="19"/>
  <c r="D314" i="19"/>
  <c r="E314" i="19"/>
  <c r="F314" i="19"/>
  <c r="H314" i="19"/>
  <c r="I314" i="19"/>
  <c r="K314" i="19"/>
  <c r="L314" i="19"/>
  <c r="M314" i="19"/>
  <c r="Z314" i="19"/>
  <c r="D312" i="32" s="1"/>
  <c r="W314" i="19"/>
  <c r="X314" i="19"/>
  <c r="AA314" i="19"/>
  <c r="C315" i="19"/>
  <c r="D315" i="19"/>
  <c r="E315" i="19"/>
  <c r="F315" i="19"/>
  <c r="H315" i="19"/>
  <c r="I315" i="19"/>
  <c r="K315" i="19"/>
  <c r="L315" i="19"/>
  <c r="M315" i="19"/>
  <c r="Z315" i="19"/>
  <c r="D313" i="32" s="1"/>
  <c r="W315" i="19"/>
  <c r="X315" i="19"/>
  <c r="AA315" i="19"/>
  <c r="C316" i="19"/>
  <c r="D316" i="19"/>
  <c r="E316" i="19"/>
  <c r="F316" i="19"/>
  <c r="H316" i="19"/>
  <c r="I316" i="19"/>
  <c r="K316" i="19"/>
  <c r="L316" i="19"/>
  <c r="M316" i="19"/>
  <c r="Z316" i="19"/>
  <c r="D314" i="32" s="1"/>
  <c r="W316" i="19"/>
  <c r="X316" i="19"/>
  <c r="AA316" i="19"/>
  <c r="C317" i="19"/>
  <c r="D317" i="19"/>
  <c r="E317" i="19"/>
  <c r="F317" i="19"/>
  <c r="H317" i="19"/>
  <c r="I317" i="19"/>
  <c r="K317" i="19"/>
  <c r="L317" i="19"/>
  <c r="M317" i="19"/>
  <c r="Z317" i="19"/>
  <c r="D315" i="32" s="1"/>
  <c r="W317" i="19"/>
  <c r="X317" i="19"/>
  <c r="AA317" i="19"/>
  <c r="C318" i="19"/>
  <c r="D318" i="19"/>
  <c r="E318" i="19"/>
  <c r="F318" i="19"/>
  <c r="H318" i="19"/>
  <c r="I318" i="19"/>
  <c r="K318" i="19"/>
  <c r="L318" i="19"/>
  <c r="M318" i="19"/>
  <c r="Z318" i="19"/>
  <c r="D316" i="32" s="1"/>
  <c r="W318" i="19"/>
  <c r="X318" i="19"/>
  <c r="AA318" i="19"/>
  <c r="C319" i="19"/>
  <c r="D319" i="19"/>
  <c r="E319" i="19"/>
  <c r="F319" i="19"/>
  <c r="H319" i="19"/>
  <c r="I319" i="19"/>
  <c r="K319" i="19"/>
  <c r="L319" i="19"/>
  <c r="M319" i="19"/>
  <c r="Z319" i="19"/>
  <c r="D317" i="32" s="1"/>
  <c r="W319" i="19"/>
  <c r="X319" i="19"/>
  <c r="AA319" i="19"/>
  <c r="C320" i="19"/>
  <c r="D320" i="19"/>
  <c r="E320" i="19"/>
  <c r="F320" i="19"/>
  <c r="H320" i="19"/>
  <c r="I320" i="19"/>
  <c r="K320" i="19"/>
  <c r="L320" i="19"/>
  <c r="M320" i="19"/>
  <c r="Z320" i="19"/>
  <c r="D318" i="32" s="1"/>
  <c r="AA320" i="19"/>
  <c r="C321" i="19"/>
  <c r="D321" i="19"/>
  <c r="E321" i="19"/>
  <c r="F321" i="19"/>
  <c r="H321" i="19"/>
  <c r="I321" i="19"/>
  <c r="K321" i="19"/>
  <c r="L321" i="19"/>
  <c r="M321" i="19"/>
  <c r="Z321" i="19"/>
  <c r="D319" i="32" s="1"/>
  <c r="W321" i="19"/>
  <c r="X321" i="19"/>
  <c r="AA321" i="19"/>
  <c r="C322" i="19"/>
  <c r="D322" i="19"/>
  <c r="E322" i="19"/>
  <c r="F322" i="19"/>
  <c r="H322" i="19"/>
  <c r="I322" i="19"/>
  <c r="K322" i="19"/>
  <c r="L322" i="19"/>
  <c r="M322" i="19"/>
  <c r="Z322" i="19"/>
  <c r="D320" i="32" s="1"/>
  <c r="W322" i="19"/>
  <c r="X322" i="19"/>
  <c r="AA322" i="19"/>
  <c r="C323" i="19"/>
  <c r="D323" i="19"/>
  <c r="E323" i="19"/>
  <c r="F323" i="19"/>
  <c r="H323" i="19"/>
  <c r="I323" i="19"/>
  <c r="K323" i="19"/>
  <c r="L323" i="19"/>
  <c r="M323" i="19"/>
  <c r="Z323" i="19"/>
  <c r="D321" i="32" s="1"/>
  <c r="W323" i="19"/>
  <c r="X323" i="19"/>
  <c r="AA323" i="19"/>
  <c r="AA324" i="19"/>
  <c r="AL292" i="42"/>
  <c r="AL217" i="42"/>
  <c r="AL27" i="42"/>
  <c r="AL32" i="42"/>
  <c r="AL46" i="42"/>
  <c r="AL103" i="42"/>
  <c r="AL104" i="42"/>
  <c r="AL179" i="42"/>
  <c r="AL189" i="42"/>
  <c r="AL221" i="42"/>
  <c r="AL226" i="42"/>
  <c r="AL232" i="42"/>
  <c r="AL303" i="42"/>
  <c r="M8" i="42"/>
  <c r="M9" i="42"/>
  <c r="M10" i="42"/>
  <c r="X10" i="42" s="1"/>
  <c r="M11" i="42"/>
  <c r="M12" i="42"/>
  <c r="X12" i="42" s="1"/>
  <c r="M13" i="42"/>
  <c r="X13" i="42"/>
  <c r="M14" i="42"/>
  <c r="X14" i="42" s="1"/>
  <c r="M15" i="42"/>
  <c r="X15" i="42" s="1"/>
  <c r="M16" i="42"/>
  <c r="X16" i="42" s="1"/>
  <c r="M17" i="42"/>
  <c r="X17" i="42" s="1"/>
  <c r="M18" i="42"/>
  <c r="X18" i="42" s="1"/>
  <c r="M19" i="42"/>
  <c r="X19" i="42" s="1"/>
  <c r="M20" i="42"/>
  <c r="X20" i="42" s="1"/>
  <c r="M21" i="42"/>
  <c r="X21" i="42" s="1"/>
  <c r="M22" i="42"/>
  <c r="X22" i="42" s="1"/>
  <c r="M23" i="42"/>
  <c r="X23" i="42" s="1"/>
  <c r="M24" i="42"/>
  <c r="X24" i="42" s="1"/>
  <c r="M25" i="42"/>
  <c r="X25" i="42" s="1"/>
  <c r="M26" i="42"/>
  <c r="X26" i="42" s="1"/>
  <c r="M27" i="42"/>
  <c r="X27" i="42" s="1"/>
  <c r="M28" i="42"/>
  <c r="X28" i="42" s="1"/>
  <c r="M29" i="42"/>
  <c r="X29" i="42" s="1"/>
  <c r="M30" i="42"/>
  <c r="X30" i="42" s="1"/>
  <c r="M31" i="42"/>
  <c r="X31" i="42" s="1"/>
  <c r="M32" i="42"/>
  <c r="X32" i="42" s="1"/>
  <c r="M33" i="42"/>
  <c r="X33" i="42" s="1"/>
  <c r="M34" i="42"/>
  <c r="X34" i="42" s="1"/>
  <c r="M35" i="42"/>
  <c r="X35" i="42" s="1"/>
  <c r="M36" i="42"/>
  <c r="X36" i="42" s="1"/>
  <c r="M37" i="42"/>
  <c r="X37" i="42" s="1"/>
  <c r="M38" i="42"/>
  <c r="X38" i="42" s="1"/>
  <c r="M39" i="42"/>
  <c r="X39" i="42" s="1"/>
  <c r="M40" i="42"/>
  <c r="X40" i="42" s="1"/>
  <c r="M41" i="42"/>
  <c r="X41" i="42" s="1"/>
  <c r="M42" i="42"/>
  <c r="X42" i="42" s="1"/>
  <c r="M43" i="42"/>
  <c r="X43" i="42" s="1"/>
  <c r="M44" i="42"/>
  <c r="X44" i="42" s="1"/>
  <c r="M45" i="42"/>
  <c r="X45" i="42" s="1"/>
  <c r="M46" i="42"/>
  <c r="X46" i="42" s="1"/>
  <c r="M47" i="42"/>
  <c r="X47" i="42" s="1"/>
  <c r="M48" i="42"/>
  <c r="X48" i="42" s="1"/>
  <c r="M49" i="42"/>
  <c r="X49" i="42" s="1"/>
  <c r="M50" i="42"/>
  <c r="X50" i="42" s="1"/>
  <c r="M51" i="42"/>
  <c r="X51" i="42" s="1"/>
  <c r="M52" i="42"/>
  <c r="X52" i="42" s="1"/>
  <c r="M53" i="42"/>
  <c r="X53" i="42" s="1"/>
  <c r="M54" i="42"/>
  <c r="X54" i="42" s="1"/>
  <c r="M55" i="42"/>
  <c r="X55" i="42" s="1"/>
  <c r="M56" i="42"/>
  <c r="X56" i="42" s="1"/>
  <c r="M57" i="42"/>
  <c r="X57" i="42" s="1"/>
  <c r="M58" i="42"/>
  <c r="X58" i="42" s="1"/>
  <c r="M59" i="42"/>
  <c r="X59" i="42" s="1"/>
  <c r="M60" i="42"/>
  <c r="X60" i="42" s="1"/>
  <c r="M61" i="42"/>
  <c r="X61" i="42" s="1"/>
  <c r="M62" i="42"/>
  <c r="X62" i="42" s="1"/>
  <c r="M63" i="42"/>
  <c r="X63" i="42" s="1"/>
  <c r="M64" i="42"/>
  <c r="X64" i="42" s="1"/>
  <c r="M65" i="42"/>
  <c r="X65" i="42" s="1"/>
  <c r="M66" i="42"/>
  <c r="X66" i="42" s="1"/>
  <c r="M67" i="42"/>
  <c r="X67" i="42" s="1"/>
  <c r="M69" i="42"/>
  <c r="X69" i="42" s="1"/>
  <c r="M70" i="42"/>
  <c r="X70" i="42" s="1"/>
  <c r="M71" i="42"/>
  <c r="X71" i="42" s="1"/>
  <c r="M72" i="42"/>
  <c r="X72" i="42" s="1"/>
  <c r="M73" i="42"/>
  <c r="X73" i="42" s="1"/>
  <c r="M74" i="42"/>
  <c r="X74" i="42" s="1"/>
  <c r="M75" i="42"/>
  <c r="X75" i="42" s="1"/>
  <c r="M76" i="42"/>
  <c r="X76" i="42" s="1"/>
  <c r="M77" i="42"/>
  <c r="X77" i="42" s="1"/>
  <c r="M78" i="42"/>
  <c r="X78" i="42" s="1"/>
  <c r="M79" i="42"/>
  <c r="X79" i="42" s="1"/>
  <c r="M80" i="42"/>
  <c r="X80" i="42" s="1"/>
  <c r="M81" i="42"/>
  <c r="X81" i="42" s="1"/>
  <c r="M82" i="42"/>
  <c r="X82" i="42" s="1"/>
  <c r="M83" i="42"/>
  <c r="X83" i="42" s="1"/>
  <c r="M84" i="42"/>
  <c r="X84" i="42" s="1"/>
  <c r="M85" i="42"/>
  <c r="X85" i="42" s="1"/>
  <c r="M86" i="42"/>
  <c r="X86" i="42" s="1"/>
  <c r="M87" i="42"/>
  <c r="X87" i="42" s="1"/>
  <c r="M88" i="42"/>
  <c r="X88" i="42" s="1"/>
  <c r="M89" i="42"/>
  <c r="X89" i="42" s="1"/>
  <c r="M90" i="42"/>
  <c r="X90" i="42" s="1"/>
  <c r="M91" i="42"/>
  <c r="X91" i="42" s="1"/>
  <c r="M92" i="42"/>
  <c r="X92" i="42" s="1"/>
  <c r="M93" i="42"/>
  <c r="X93" i="42" s="1"/>
  <c r="M94" i="42"/>
  <c r="X94" i="42" s="1"/>
  <c r="M95" i="42"/>
  <c r="X95" i="42" s="1"/>
  <c r="M96" i="42"/>
  <c r="X96" i="42" s="1"/>
  <c r="M97" i="42"/>
  <c r="X97" i="42" s="1"/>
  <c r="M98" i="42"/>
  <c r="X98" i="42"/>
  <c r="M99" i="42"/>
  <c r="X99" i="42" s="1"/>
  <c r="M100" i="42"/>
  <c r="X100" i="42" s="1"/>
  <c r="M101" i="42"/>
  <c r="X101" i="42" s="1"/>
  <c r="M102" i="42"/>
  <c r="X102" i="42" s="1"/>
  <c r="M103" i="42"/>
  <c r="X103" i="42" s="1"/>
  <c r="M104" i="42"/>
  <c r="X104" i="42" s="1"/>
  <c r="M105" i="42"/>
  <c r="X105" i="42" s="1"/>
  <c r="M106" i="42"/>
  <c r="X106" i="42" s="1"/>
  <c r="M107" i="42"/>
  <c r="X107" i="42" s="1"/>
  <c r="M108" i="42"/>
  <c r="X108" i="42" s="1"/>
  <c r="M109" i="42"/>
  <c r="X109" i="42" s="1"/>
  <c r="M110" i="42"/>
  <c r="X110" i="42" s="1"/>
  <c r="M111" i="42"/>
  <c r="X111" i="42" s="1"/>
  <c r="M112" i="42"/>
  <c r="X112" i="42" s="1"/>
  <c r="M113" i="42"/>
  <c r="X113" i="42" s="1"/>
  <c r="M114" i="42"/>
  <c r="X114" i="42" s="1"/>
  <c r="M115" i="42"/>
  <c r="X115" i="42" s="1"/>
  <c r="M116" i="42"/>
  <c r="X116" i="42" s="1"/>
  <c r="M117" i="42"/>
  <c r="X117" i="42" s="1"/>
  <c r="M118" i="42"/>
  <c r="X118" i="42" s="1"/>
  <c r="M119" i="42"/>
  <c r="X119" i="42" s="1"/>
  <c r="M120" i="42"/>
  <c r="X120" i="42" s="1"/>
  <c r="M121" i="42"/>
  <c r="X121" i="42" s="1"/>
  <c r="M122" i="42"/>
  <c r="X122" i="42" s="1"/>
  <c r="M123" i="42"/>
  <c r="X123" i="42" s="1"/>
  <c r="M124" i="42"/>
  <c r="X124" i="42" s="1"/>
  <c r="M125" i="42"/>
  <c r="X125" i="42" s="1"/>
  <c r="M126" i="42"/>
  <c r="X126" i="42" s="1"/>
  <c r="M127" i="42"/>
  <c r="X127" i="42" s="1"/>
  <c r="M128" i="42"/>
  <c r="X128" i="42" s="1"/>
  <c r="M129" i="42"/>
  <c r="X129" i="42" s="1"/>
  <c r="M130" i="42"/>
  <c r="X130" i="42" s="1"/>
  <c r="M131" i="42"/>
  <c r="X131" i="42" s="1"/>
  <c r="M132" i="42"/>
  <c r="X132" i="42" s="1"/>
  <c r="M133" i="42"/>
  <c r="X133" i="42" s="1"/>
  <c r="M134" i="42"/>
  <c r="X134" i="42" s="1"/>
  <c r="M135" i="42"/>
  <c r="X135" i="42" s="1"/>
  <c r="M136" i="42"/>
  <c r="X136" i="42" s="1"/>
  <c r="M137" i="42"/>
  <c r="X137" i="42" s="1"/>
  <c r="M138" i="42"/>
  <c r="X138" i="42" s="1"/>
  <c r="M139" i="42"/>
  <c r="X139" i="42" s="1"/>
  <c r="M140" i="42"/>
  <c r="X140" i="42" s="1"/>
  <c r="M141" i="42"/>
  <c r="X141" i="42" s="1"/>
  <c r="M142" i="42"/>
  <c r="X142" i="42" s="1"/>
  <c r="M143" i="42"/>
  <c r="X143" i="42" s="1"/>
  <c r="M144" i="42"/>
  <c r="X144" i="42" s="1"/>
  <c r="M145" i="42"/>
  <c r="X145" i="42" s="1"/>
  <c r="M146" i="42"/>
  <c r="X146" i="42" s="1"/>
  <c r="M147" i="42"/>
  <c r="X147" i="42" s="1"/>
  <c r="M148" i="42"/>
  <c r="X148" i="42" s="1"/>
  <c r="M149" i="42"/>
  <c r="X149" i="42" s="1"/>
  <c r="M150" i="42"/>
  <c r="X150" i="42" s="1"/>
  <c r="M151" i="42"/>
  <c r="X151" i="42" s="1"/>
  <c r="M152" i="42"/>
  <c r="X152" i="42" s="1"/>
  <c r="M153" i="42"/>
  <c r="X153" i="42" s="1"/>
  <c r="M154" i="42"/>
  <c r="X154" i="42" s="1"/>
  <c r="M155" i="42"/>
  <c r="X155" i="42" s="1"/>
  <c r="M156" i="42"/>
  <c r="X156" i="42" s="1"/>
  <c r="M157" i="42"/>
  <c r="X157" i="42" s="1"/>
  <c r="M158" i="42"/>
  <c r="X158" i="42" s="1"/>
  <c r="M159" i="42"/>
  <c r="X159" i="42" s="1"/>
  <c r="M160" i="42"/>
  <c r="X160" i="42" s="1"/>
  <c r="M161" i="42"/>
  <c r="X161" i="42" s="1"/>
  <c r="M162" i="42"/>
  <c r="X162" i="42" s="1"/>
  <c r="M163" i="42"/>
  <c r="X163" i="42" s="1"/>
  <c r="M164" i="42"/>
  <c r="X164" i="42" s="1"/>
  <c r="M165" i="42"/>
  <c r="X165" i="42" s="1"/>
  <c r="M166" i="42"/>
  <c r="X166" i="42" s="1"/>
  <c r="M167" i="42"/>
  <c r="X167" i="42" s="1"/>
  <c r="M168" i="42"/>
  <c r="X168" i="42" s="1"/>
  <c r="M169" i="42"/>
  <c r="X169" i="42" s="1"/>
  <c r="M170" i="42"/>
  <c r="X170" i="42" s="1"/>
  <c r="M171" i="42"/>
  <c r="X171" i="42" s="1"/>
  <c r="M172" i="42"/>
  <c r="X172" i="42" s="1"/>
  <c r="M173" i="42"/>
  <c r="X173" i="42" s="1"/>
  <c r="M174" i="42"/>
  <c r="X174" i="42" s="1"/>
  <c r="M175" i="42"/>
  <c r="X175" i="42" s="1"/>
  <c r="M176" i="42"/>
  <c r="X176" i="42" s="1"/>
  <c r="M177" i="42"/>
  <c r="X177" i="42" s="1"/>
  <c r="M178" i="42"/>
  <c r="X178" i="42" s="1"/>
  <c r="M179" i="42"/>
  <c r="X179" i="42" s="1"/>
  <c r="M180" i="42"/>
  <c r="X180" i="42" s="1"/>
  <c r="M181" i="42"/>
  <c r="X181" i="42" s="1"/>
  <c r="M182" i="42"/>
  <c r="X182" i="42" s="1"/>
  <c r="M183" i="42"/>
  <c r="X183" i="42" s="1"/>
  <c r="M184" i="42"/>
  <c r="X184" i="42" s="1"/>
  <c r="M185" i="42"/>
  <c r="X185" i="42" s="1"/>
  <c r="M186" i="42"/>
  <c r="X186" i="42" s="1"/>
  <c r="M187" i="42"/>
  <c r="X187" i="42" s="1"/>
  <c r="M188" i="42"/>
  <c r="X188" i="42" s="1"/>
  <c r="M189" i="42"/>
  <c r="X189" i="42" s="1"/>
  <c r="M190" i="42"/>
  <c r="X190" i="42"/>
  <c r="M191" i="42"/>
  <c r="X191" i="42" s="1"/>
  <c r="M192" i="42"/>
  <c r="X192" i="42" s="1"/>
  <c r="M193" i="42"/>
  <c r="X193" i="42" s="1"/>
  <c r="M194" i="42"/>
  <c r="X194" i="42" s="1"/>
  <c r="M195" i="42"/>
  <c r="X195" i="42" s="1"/>
  <c r="M196" i="42"/>
  <c r="X196" i="42" s="1"/>
  <c r="M197" i="42"/>
  <c r="X197" i="42" s="1"/>
  <c r="M198" i="42"/>
  <c r="X198" i="42" s="1"/>
  <c r="M199" i="42"/>
  <c r="X199" i="42" s="1"/>
  <c r="M200" i="42"/>
  <c r="X200" i="42" s="1"/>
  <c r="M201" i="42"/>
  <c r="X201" i="42" s="1"/>
  <c r="M202" i="42"/>
  <c r="X202" i="42" s="1"/>
  <c r="M203" i="42"/>
  <c r="X203" i="42" s="1"/>
  <c r="M204" i="42"/>
  <c r="X204" i="42" s="1"/>
  <c r="M205" i="42"/>
  <c r="X205" i="42" s="1"/>
  <c r="M206" i="42"/>
  <c r="X206" i="42" s="1"/>
  <c r="M207" i="42"/>
  <c r="X207" i="42" s="1"/>
  <c r="M208" i="42"/>
  <c r="X208" i="42" s="1"/>
  <c r="M209" i="42"/>
  <c r="X209" i="42" s="1"/>
  <c r="M210" i="42"/>
  <c r="X210" i="42" s="1"/>
  <c r="M211" i="42"/>
  <c r="X211" i="42" s="1"/>
  <c r="M212" i="42"/>
  <c r="X212" i="42" s="1"/>
  <c r="M213" i="42"/>
  <c r="X213" i="42" s="1"/>
  <c r="M214" i="42"/>
  <c r="X214" i="42" s="1"/>
  <c r="M215" i="42"/>
  <c r="X215" i="42" s="1"/>
  <c r="M216" i="42"/>
  <c r="X216" i="42" s="1"/>
  <c r="M217" i="42"/>
  <c r="X217" i="42" s="1"/>
  <c r="M218" i="42"/>
  <c r="X218" i="42" s="1"/>
  <c r="M219" i="42"/>
  <c r="X219" i="42" s="1"/>
  <c r="M220" i="42"/>
  <c r="X220" i="42" s="1"/>
  <c r="M221" i="42"/>
  <c r="X221" i="42" s="1"/>
  <c r="M222" i="42"/>
  <c r="X222" i="42"/>
  <c r="M223" i="42"/>
  <c r="X223" i="42" s="1"/>
  <c r="M224" i="42"/>
  <c r="X224" i="42" s="1"/>
  <c r="M225" i="42"/>
  <c r="X225" i="42" s="1"/>
  <c r="M226" i="42"/>
  <c r="X226" i="42" s="1"/>
  <c r="M227" i="42"/>
  <c r="X227" i="42" s="1"/>
  <c r="M228" i="42"/>
  <c r="X228" i="42" s="1"/>
  <c r="M229" i="42"/>
  <c r="X229" i="42" s="1"/>
  <c r="M230" i="42"/>
  <c r="X230" i="42" s="1"/>
  <c r="M231" i="42"/>
  <c r="X231" i="42" s="1"/>
  <c r="M232" i="42"/>
  <c r="X232" i="42" s="1"/>
  <c r="M233" i="42"/>
  <c r="X233" i="42" s="1"/>
  <c r="M234" i="42"/>
  <c r="X234" i="42" s="1"/>
  <c r="M235" i="42"/>
  <c r="X235" i="42" s="1"/>
  <c r="M236" i="42"/>
  <c r="X236" i="42" s="1"/>
  <c r="M237" i="42"/>
  <c r="X237" i="42" s="1"/>
  <c r="M238" i="42"/>
  <c r="X238" i="42" s="1"/>
  <c r="M239" i="42"/>
  <c r="X239" i="42" s="1"/>
  <c r="M240" i="42"/>
  <c r="X240" i="42" s="1"/>
  <c r="M241" i="42"/>
  <c r="X241" i="42" s="1"/>
  <c r="M242" i="42"/>
  <c r="X242" i="42" s="1"/>
  <c r="M243" i="42"/>
  <c r="X243" i="42" s="1"/>
  <c r="M244" i="42"/>
  <c r="X244" i="42" s="1"/>
  <c r="M245" i="42"/>
  <c r="X245" i="42" s="1"/>
  <c r="M246" i="42"/>
  <c r="X246" i="42" s="1"/>
  <c r="M247" i="42"/>
  <c r="X247" i="42" s="1"/>
  <c r="M248" i="42"/>
  <c r="X248" i="42" s="1"/>
  <c r="M249" i="42"/>
  <c r="X249" i="42" s="1"/>
  <c r="M250" i="42"/>
  <c r="X250" i="42" s="1"/>
  <c r="M251" i="42"/>
  <c r="X251" i="42" s="1"/>
  <c r="M252" i="42"/>
  <c r="X252" i="42" s="1"/>
  <c r="M253" i="42"/>
  <c r="X253" i="42" s="1"/>
  <c r="M254" i="42"/>
  <c r="X254" i="42"/>
  <c r="M255" i="42"/>
  <c r="X255" i="42" s="1"/>
  <c r="M256" i="42"/>
  <c r="X256" i="42" s="1"/>
  <c r="M257" i="42"/>
  <c r="X257" i="42" s="1"/>
  <c r="M258" i="42"/>
  <c r="X258" i="42" s="1"/>
  <c r="M259" i="42"/>
  <c r="X259" i="42" s="1"/>
  <c r="M260" i="42"/>
  <c r="X260" i="42" s="1"/>
  <c r="M261" i="42"/>
  <c r="X261" i="42" s="1"/>
  <c r="M262" i="42"/>
  <c r="X262" i="42" s="1"/>
  <c r="M263" i="42"/>
  <c r="X263" i="42" s="1"/>
  <c r="M264" i="42"/>
  <c r="X264" i="42" s="1"/>
  <c r="M265" i="42"/>
  <c r="X265" i="42" s="1"/>
  <c r="M266" i="42"/>
  <c r="X266" i="42" s="1"/>
  <c r="M267" i="42"/>
  <c r="X267" i="42" s="1"/>
  <c r="M268" i="42"/>
  <c r="X268" i="42" s="1"/>
  <c r="M269" i="42"/>
  <c r="X269" i="42" s="1"/>
  <c r="M270" i="42"/>
  <c r="X270" i="42" s="1"/>
  <c r="M271" i="42"/>
  <c r="X271" i="42" s="1"/>
  <c r="M272" i="42"/>
  <c r="X272" i="42" s="1"/>
  <c r="M273" i="42"/>
  <c r="X273" i="42" s="1"/>
  <c r="M274" i="42"/>
  <c r="X274" i="42" s="1"/>
  <c r="M275" i="42"/>
  <c r="X275" i="42" s="1"/>
  <c r="M276" i="42"/>
  <c r="X276" i="42" s="1"/>
  <c r="M277" i="42"/>
  <c r="X277" i="42" s="1"/>
  <c r="M278" i="42"/>
  <c r="X278" i="42" s="1"/>
  <c r="M279" i="42"/>
  <c r="X279" i="42" s="1"/>
  <c r="M280" i="42"/>
  <c r="X280" i="42" s="1"/>
  <c r="M281" i="42"/>
  <c r="X281" i="42" s="1"/>
  <c r="M282" i="42"/>
  <c r="X282" i="42" s="1"/>
  <c r="M283" i="42"/>
  <c r="X283" i="42" s="1"/>
  <c r="M284" i="42"/>
  <c r="X284" i="42" s="1"/>
  <c r="M285" i="42"/>
  <c r="X285" i="42" s="1"/>
  <c r="M286" i="42"/>
  <c r="X286" i="42" s="1"/>
  <c r="M287" i="42"/>
  <c r="X287" i="42" s="1"/>
  <c r="M288" i="42"/>
  <c r="X288" i="42" s="1"/>
  <c r="M289" i="42"/>
  <c r="X289" i="42" s="1"/>
  <c r="M290" i="42"/>
  <c r="X290" i="42" s="1"/>
  <c r="M291" i="42"/>
  <c r="X291" i="42" s="1"/>
  <c r="M292" i="42"/>
  <c r="X292" i="42" s="1"/>
  <c r="M293" i="42"/>
  <c r="X293" i="42" s="1"/>
  <c r="M294" i="42"/>
  <c r="X294" i="42" s="1"/>
  <c r="M295" i="42"/>
  <c r="X295" i="42" s="1"/>
  <c r="M296" i="42"/>
  <c r="X296" i="42" s="1"/>
  <c r="M297" i="42"/>
  <c r="X297" i="42" s="1"/>
  <c r="M298" i="42"/>
  <c r="X298" i="42" s="1"/>
  <c r="M299" i="42"/>
  <c r="X299" i="42" s="1"/>
  <c r="M300" i="42"/>
  <c r="X300" i="42" s="1"/>
  <c r="M301" i="42"/>
  <c r="X301" i="42" s="1"/>
  <c r="M302" i="42"/>
  <c r="X302" i="42" s="1"/>
  <c r="M303" i="42"/>
  <c r="X303" i="42" s="1"/>
  <c r="M304" i="42"/>
  <c r="X304" i="42" s="1"/>
  <c r="M305" i="42"/>
  <c r="X305" i="42" s="1"/>
  <c r="M306" i="42"/>
  <c r="X306" i="42" s="1"/>
  <c r="M307" i="42"/>
  <c r="X307" i="42" s="1"/>
  <c r="M308" i="42"/>
  <c r="X308" i="42" s="1"/>
  <c r="M309" i="42"/>
  <c r="X309" i="42" s="1"/>
  <c r="M310" i="42"/>
  <c r="X310" i="42" s="1"/>
  <c r="M311" i="42"/>
  <c r="X311" i="42" s="1"/>
  <c r="M312" i="42"/>
  <c r="X312" i="42" s="1"/>
  <c r="M313" i="42"/>
  <c r="X313" i="42" s="1"/>
  <c r="M314" i="42"/>
  <c r="X314" i="42" s="1"/>
  <c r="M315" i="42"/>
  <c r="X315" i="42" s="1"/>
  <c r="M316" i="42"/>
  <c r="X316" i="42" s="1"/>
  <c r="M317" i="42"/>
  <c r="X317" i="42" s="1"/>
  <c r="M318" i="42"/>
  <c r="X318" i="42" s="1"/>
  <c r="M319" i="42"/>
  <c r="X319" i="42" s="1"/>
  <c r="M320" i="42"/>
  <c r="X320" i="42" s="1"/>
  <c r="M321" i="42"/>
  <c r="X321" i="42" s="1"/>
  <c r="M322" i="42"/>
  <c r="X322" i="42" s="1"/>
  <c r="M323" i="42"/>
  <c r="X323" i="42" s="1"/>
  <c r="M324" i="42"/>
  <c r="X324" i="42" s="1"/>
  <c r="X7" i="42"/>
  <c r="AL7" i="42"/>
  <c r="AL8" i="42"/>
  <c r="AL9" i="42"/>
  <c r="AL10" i="42"/>
  <c r="AL11" i="42"/>
  <c r="AL12" i="42"/>
  <c r="AL13" i="42"/>
  <c r="AL14" i="42"/>
  <c r="AL15" i="42"/>
  <c r="AL16" i="42"/>
  <c r="AL17" i="42"/>
  <c r="AL18" i="42"/>
  <c r="AL19" i="42"/>
  <c r="AL20" i="42"/>
  <c r="AL21" i="42"/>
  <c r="AL22" i="42"/>
  <c r="AL23" i="42"/>
  <c r="AL24" i="42"/>
  <c r="AL25" i="42"/>
  <c r="AL26" i="42"/>
  <c r="AL28" i="42"/>
  <c r="AL29" i="42"/>
  <c r="AL30" i="42"/>
  <c r="AL31" i="42"/>
  <c r="AL33" i="42"/>
  <c r="AL34" i="42"/>
  <c r="AL35" i="42"/>
  <c r="AL36" i="42"/>
  <c r="AL37" i="42"/>
  <c r="AL38" i="42"/>
  <c r="AL39" i="42"/>
  <c r="AL40" i="42"/>
  <c r="AL41" i="42"/>
  <c r="AL42" i="42"/>
  <c r="AL43" i="42"/>
  <c r="AL44" i="42"/>
  <c r="AL45" i="42"/>
  <c r="AL47" i="42"/>
  <c r="AL48" i="42"/>
  <c r="AL49" i="42"/>
  <c r="AL50" i="42"/>
  <c r="AL51" i="42"/>
  <c r="AL52" i="42"/>
  <c r="AL53" i="42"/>
  <c r="AL54" i="42"/>
  <c r="AL55" i="42"/>
  <c r="AL56" i="42"/>
  <c r="AL57" i="42"/>
  <c r="AL58" i="42"/>
  <c r="AL59" i="42"/>
  <c r="AL60" i="42"/>
  <c r="AL61" i="42"/>
  <c r="AL62" i="42"/>
  <c r="AL63" i="42"/>
  <c r="AL64" i="42"/>
  <c r="AL65" i="42"/>
  <c r="AL66" i="42"/>
  <c r="AL67" i="42"/>
  <c r="AL68" i="42"/>
  <c r="AL69" i="42"/>
  <c r="AL70" i="42"/>
  <c r="AL71" i="42"/>
  <c r="AL72" i="42"/>
  <c r="AL73" i="42"/>
  <c r="AL74" i="42"/>
  <c r="AL75" i="42"/>
  <c r="AL76" i="42"/>
  <c r="AL77" i="42"/>
  <c r="AL78" i="42"/>
  <c r="AL79" i="42"/>
  <c r="AL80" i="42"/>
  <c r="AL81" i="42"/>
  <c r="AL82" i="42"/>
  <c r="AL83" i="42"/>
  <c r="AL84" i="42"/>
  <c r="AL85" i="42"/>
  <c r="AL86" i="42"/>
  <c r="AL87" i="42"/>
  <c r="AL88" i="42"/>
  <c r="AL89" i="42"/>
  <c r="AL90" i="42"/>
  <c r="AL91" i="42"/>
  <c r="AL92" i="42"/>
  <c r="AL93" i="42"/>
  <c r="AL94" i="42"/>
  <c r="AL95" i="42"/>
  <c r="AL96" i="42"/>
  <c r="AL97" i="42"/>
  <c r="AL98" i="42"/>
  <c r="AL99" i="42"/>
  <c r="AL100" i="42"/>
  <c r="AL101" i="42"/>
  <c r="AL102" i="42"/>
  <c r="AL105" i="42"/>
  <c r="AL106" i="42"/>
  <c r="AL107" i="42"/>
  <c r="AL108" i="42"/>
  <c r="AL109" i="42"/>
  <c r="AL110" i="42"/>
  <c r="AL111" i="42"/>
  <c r="AL112" i="42"/>
  <c r="AL113" i="42"/>
  <c r="AL114" i="42"/>
  <c r="AL115" i="42"/>
  <c r="AL116" i="42"/>
  <c r="AL117" i="42"/>
  <c r="AL118" i="42"/>
  <c r="AL119" i="42"/>
  <c r="AL120" i="42"/>
  <c r="AL121" i="42"/>
  <c r="AL122" i="42"/>
  <c r="AL123" i="42"/>
  <c r="AL124" i="42"/>
  <c r="AL125" i="42"/>
  <c r="AL126" i="42"/>
  <c r="AL127" i="42"/>
  <c r="AL128" i="42"/>
  <c r="AL129" i="42"/>
  <c r="AL130" i="42"/>
  <c r="AL131" i="42"/>
  <c r="AL132" i="42"/>
  <c r="AL133" i="42"/>
  <c r="AL134" i="42"/>
  <c r="AL135" i="42"/>
  <c r="AL136" i="42"/>
  <c r="AL137" i="42"/>
  <c r="AL138" i="42"/>
  <c r="AL139" i="42"/>
  <c r="AL140" i="42"/>
  <c r="AL141" i="42"/>
  <c r="AL142" i="42"/>
  <c r="AL143" i="42"/>
  <c r="AL144" i="42"/>
  <c r="AL145" i="42"/>
  <c r="AL146" i="42"/>
  <c r="AL147" i="42"/>
  <c r="AL148" i="42"/>
  <c r="AL149" i="42"/>
  <c r="AL150" i="42"/>
  <c r="AL151" i="42"/>
  <c r="AL152" i="42"/>
  <c r="AL153" i="42"/>
  <c r="AL154" i="42"/>
  <c r="AL155" i="42"/>
  <c r="AL156" i="42"/>
  <c r="AL157" i="42"/>
  <c r="AL158" i="42"/>
  <c r="AL159" i="42"/>
  <c r="AL160" i="42"/>
  <c r="AL161" i="42"/>
  <c r="AL162" i="42"/>
  <c r="AL163" i="42"/>
  <c r="AL164" i="42"/>
  <c r="AL165" i="42"/>
  <c r="AL166" i="42"/>
  <c r="AL167" i="42"/>
  <c r="AL168" i="42"/>
  <c r="AL169" i="42"/>
  <c r="AL170" i="42"/>
  <c r="AL171" i="42"/>
  <c r="AL172" i="42"/>
  <c r="AL173" i="42"/>
  <c r="AL174" i="42"/>
  <c r="AL175" i="42"/>
  <c r="AL176" i="42"/>
  <c r="AL177" i="42"/>
  <c r="AL178" i="42"/>
  <c r="AL180" i="42"/>
  <c r="AL181" i="42"/>
  <c r="AL182" i="42"/>
  <c r="AL183" i="42"/>
  <c r="AL184" i="42"/>
  <c r="AL185" i="42"/>
  <c r="AL186" i="42"/>
  <c r="AL187" i="42"/>
  <c r="AL188" i="42"/>
  <c r="AL190" i="42"/>
  <c r="AL191" i="42"/>
  <c r="AL192" i="42"/>
  <c r="AL193" i="42"/>
  <c r="AL194" i="42"/>
  <c r="AL195" i="42"/>
  <c r="AL196" i="42"/>
  <c r="AL197" i="42"/>
  <c r="AL198" i="42"/>
  <c r="AL199" i="42"/>
  <c r="AL200" i="42"/>
  <c r="AL201" i="42"/>
  <c r="AL202" i="42"/>
  <c r="AL203" i="42"/>
  <c r="AL204" i="42"/>
  <c r="AL205" i="42"/>
  <c r="AL206" i="42"/>
  <c r="AL207" i="42"/>
  <c r="AL208" i="42"/>
  <c r="AL209" i="42"/>
  <c r="AL210" i="42"/>
  <c r="AL211" i="42"/>
  <c r="AL212" i="42"/>
  <c r="AL213" i="42"/>
  <c r="AL214" i="42"/>
  <c r="AL215" i="42"/>
  <c r="AL216" i="42"/>
  <c r="AL218" i="42"/>
  <c r="AL219" i="42"/>
  <c r="AL220" i="42"/>
  <c r="AL222" i="42"/>
  <c r="AL223" i="42"/>
  <c r="AL224" i="42"/>
  <c r="AL225" i="42"/>
  <c r="AL227" i="42"/>
  <c r="AL228" i="42"/>
  <c r="AL229" i="42"/>
  <c r="AL230" i="42"/>
  <c r="AL231" i="42"/>
  <c r="AL233" i="42"/>
  <c r="AL234" i="42"/>
  <c r="AL235" i="42"/>
  <c r="AL236" i="42"/>
  <c r="AL237" i="42"/>
  <c r="AL238" i="42"/>
  <c r="AL239" i="42"/>
  <c r="AL240" i="42"/>
  <c r="AL241" i="42"/>
  <c r="AL242" i="42"/>
  <c r="AL243" i="42"/>
  <c r="AL244" i="42"/>
  <c r="AL245" i="42"/>
  <c r="AL246" i="42"/>
  <c r="AL247" i="42"/>
  <c r="AL248" i="42"/>
  <c r="AL249" i="42"/>
  <c r="AL250" i="42"/>
  <c r="AL251" i="42"/>
  <c r="AL252" i="42"/>
  <c r="AL253" i="42"/>
  <c r="AL254" i="42"/>
  <c r="AL255" i="42"/>
  <c r="AL256" i="42"/>
  <c r="AL257" i="42"/>
  <c r="AL258" i="42"/>
  <c r="AL259" i="42"/>
  <c r="AL260" i="42"/>
  <c r="AL261" i="42"/>
  <c r="AL262" i="42"/>
  <c r="AL263" i="42"/>
  <c r="AL264" i="42"/>
  <c r="AL265" i="42"/>
  <c r="AL266" i="42"/>
  <c r="AL267" i="42"/>
  <c r="AL268" i="42"/>
  <c r="AL269" i="42"/>
  <c r="AL270" i="42"/>
  <c r="AL271" i="42"/>
  <c r="AL272" i="42"/>
  <c r="AL273" i="42"/>
  <c r="AL274" i="42"/>
  <c r="AL275" i="42"/>
  <c r="AL276" i="42"/>
  <c r="AL277" i="42"/>
  <c r="AL278" i="42"/>
  <c r="AL279" i="42"/>
  <c r="AL280" i="42"/>
  <c r="AL281" i="42"/>
  <c r="AL282" i="42"/>
  <c r="AL283" i="42"/>
  <c r="AL284" i="42"/>
  <c r="AL285" i="42"/>
  <c r="AL286" i="42"/>
  <c r="AL287" i="42"/>
  <c r="AL288" i="42"/>
  <c r="AL289" i="42"/>
  <c r="AL290" i="42"/>
  <c r="AL291" i="42"/>
  <c r="AL293" i="42"/>
  <c r="AL294" i="42"/>
  <c r="AL295" i="42"/>
  <c r="AL296" i="42"/>
  <c r="AL297" i="42"/>
  <c r="AL298" i="42"/>
  <c r="AL299" i="42"/>
  <c r="AL300" i="42"/>
  <c r="AL301" i="42"/>
  <c r="AL302" i="42"/>
  <c r="AL304" i="42"/>
  <c r="AL305" i="42"/>
  <c r="AL306" i="42"/>
  <c r="AL307" i="42"/>
  <c r="AL308" i="42"/>
  <c r="AL309" i="42"/>
  <c r="AL310" i="42"/>
  <c r="AL311" i="42"/>
  <c r="AL312" i="42"/>
  <c r="AL313" i="42"/>
  <c r="AL314" i="42"/>
  <c r="AL315" i="42"/>
  <c r="AL316" i="42"/>
  <c r="AL317" i="42"/>
  <c r="AL318" i="42"/>
  <c r="AL319" i="42"/>
  <c r="AL320" i="42"/>
  <c r="AL321" i="42"/>
  <c r="AL322" i="42"/>
  <c r="AL323" i="42"/>
  <c r="AL324" i="42"/>
  <c r="C7" i="19"/>
  <c r="D7" i="19"/>
  <c r="E7" i="19"/>
  <c r="F7" i="19"/>
  <c r="I7" i="19"/>
  <c r="J7" i="19"/>
  <c r="K7" i="19"/>
  <c r="L7" i="19"/>
  <c r="M7" i="19"/>
  <c r="S7" i="19"/>
  <c r="S8" i="19"/>
  <c r="S9" i="19"/>
  <c r="S10" i="19"/>
  <c r="S11" i="19"/>
  <c r="S12" i="19"/>
  <c r="E11" i="49" s="1"/>
  <c r="S13" i="19"/>
  <c r="S14" i="19"/>
  <c r="S15" i="19"/>
  <c r="S16" i="19"/>
  <c r="E15" i="49" s="1"/>
  <c r="S17" i="19"/>
  <c r="S18" i="19"/>
  <c r="S19" i="19"/>
  <c r="S20" i="19"/>
  <c r="E19" i="49" s="1"/>
  <c r="S21" i="19"/>
  <c r="S22" i="19"/>
  <c r="S23" i="19"/>
  <c r="S24" i="19"/>
  <c r="E23" i="49" s="1"/>
  <c r="S25" i="19"/>
  <c r="E24" i="49" s="1"/>
  <c r="S26" i="19"/>
  <c r="S27" i="19"/>
  <c r="S28" i="19"/>
  <c r="E27" i="49" s="1"/>
  <c r="S29" i="19"/>
  <c r="E28" i="49" s="1"/>
  <c r="S30" i="19"/>
  <c r="S31" i="19"/>
  <c r="S32" i="19"/>
  <c r="E31" i="49" s="1"/>
  <c r="S33" i="19"/>
  <c r="S34" i="19"/>
  <c r="S35" i="19"/>
  <c r="S36" i="19"/>
  <c r="E35" i="49" s="1"/>
  <c r="S37" i="19"/>
  <c r="S38" i="19"/>
  <c r="S39" i="19"/>
  <c r="S40" i="19"/>
  <c r="E39" i="49" s="1"/>
  <c r="S41" i="19"/>
  <c r="S42" i="19"/>
  <c r="S43" i="19"/>
  <c r="S44" i="19"/>
  <c r="E43" i="49" s="1"/>
  <c r="S45" i="19"/>
  <c r="S46" i="19"/>
  <c r="S47" i="19"/>
  <c r="S48" i="19"/>
  <c r="S49" i="19"/>
  <c r="S50" i="19"/>
  <c r="S51" i="19"/>
  <c r="S52" i="19"/>
  <c r="S53" i="19"/>
  <c r="S54" i="19"/>
  <c r="S55" i="19"/>
  <c r="S56" i="19"/>
  <c r="E55" i="49" s="1"/>
  <c r="S57" i="19"/>
  <c r="S58" i="19"/>
  <c r="S59" i="19"/>
  <c r="S60" i="19"/>
  <c r="S61" i="19"/>
  <c r="S62" i="19"/>
  <c r="S63" i="19"/>
  <c r="S64" i="19"/>
  <c r="E63" i="49" s="1"/>
  <c r="S65" i="19"/>
  <c r="S66" i="19"/>
  <c r="S67" i="19"/>
  <c r="S68" i="19"/>
  <c r="E67" i="49" s="1"/>
  <c r="S69" i="19"/>
  <c r="S70" i="19"/>
  <c r="S71" i="19"/>
  <c r="S72" i="19"/>
  <c r="E71" i="49" s="1"/>
  <c r="S73" i="19"/>
  <c r="S74" i="19"/>
  <c r="S75" i="19"/>
  <c r="S76" i="19"/>
  <c r="E75" i="49" s="1"/>
  <c r="S77" i="19"/>
  <c r="S78" i="19"/>
  <c r="S79" i="19"/>
  <c r="S80" i="19"/>
  <c r="E79" i="49" s="1"/>
  <c r="S81" i="19"/>
  <c r="S82" i="19"/>
  <c r="S83" i="19"/>
  <c r="S84" i="19"/>
  <c r="E83" i="49" s="1"/>
  <c r="S85" i="19"/>
  <c r="S86" i="19"/>
  <c r="S87" i="19"/>
  <c r="E86" i="49" s="1"/>
  <c r="S88" i="19"/>
  <c r="E87" i="49" s="1"/>
  <c r="S89" i="19"/>
  <c r="S90" i="19"/>
  <c r="S91" i="19"/>
  <c r="S92" i="19"/>
  <c r="E91" i="49" s="1"/>
  <c r="S93" i="19"/>
  <c r="S94" i="19"/>
  <c r="S95" i="19"/>
  <c r="S96" i="19"/>
  <c r="E95" i="49" s="1"/>
  <c r="S97" i="19"/>
  <c r="E96" i="49" s="1"/>
  <c r="S98" i="19"/>
  <c r="S99" i="19"/>
  <c r="S100" i="19"/>
  <c r="E99" i="49" s="1"/>
  <c r="S101" i="19"/>
  <c r="S102" i="19"/>
  <c r="S103" i="19"/>
  <c r="S104" i="19"/>
  <c r="E103" i="49" s="1"/>
  <c r="S105" i="19"/>
  <c r="S106" i="19"/>
  <c r="S107" i="19"/>
  <c r="S108" i="19"/>
  <c r="E107" i="49" s="1"/>
  <c r="S109" i="19"/>
  <c r="S110" i="19"/>
  <c r="S111" i="19"/>
  <c r="S112" i="19"/>
  <c r="E111" i="49" s="1"/>
  <c r="S113" i="19"/>
  <c r="S114" i="19"/>
  <c r="S115" i="19"/>
  <c r="S116" i="19"/>
  <c r="E115" i="49" s="1"/>
  <c r="S117" i="19"/>
  <c r="S118" i="19"/>
  <c r="S119" i="19"/>
  <c r="E118" i="49" s="1"/>
  <c r="S120" i="19"/>
  <c r="E119" i="49" s="1"/>
  <c r="S121" i="19"/>
  <c r="E120" i="49" s="1"/>
  <c r="S122" i="19"/>
  <c r="E121" i="49" s="1"/>
  <c r="S123" i="19"/>
  <c r="S124" i="19"/>
  <c r="E123" i="49" s="1"/>
  <c r="S125" i="19"/>
  <c r="S126" i="19"/>
  <c r="S127" i="19"/>
  <c r="S128" i="19"/>
  <c r="E127" i="49" s="1"/>
  <c r="S129" i="19"/>
  <c r="E128" i="49" s="1"/>
  <c r="S130" i="19"/>
  <c r="S131" i="19"/>
  <c r="S132" i="19"/>
  <c r="E131" i="49" s="1"/>
  <c r="S133" i="19"/>
  <c r="E132" i="49" s="1"/>
  <c r="S134" i="19"/>
  <c r="S135" i="19"/>
  <c r="E134" i="49" s="1"/>
  <c r="S136" i="19"/>
  <c r="S137" i="19"/>
  <c r="E136" i="49" s="1"/>
  <c r="S138" i="19"/>
  <c r="S139" i="19"/>
  <c r="S140" i="19"/>
  <c r="E139" i="49" s="1"/>
  <c r="S141" i="19"/>
  <c r="S142" i="19"/>
  <c r="S143" i="19"/>
  <c r="E142" i="49" s="1"/>
  <c r="S144" i="19"/>
  <c r="E143" i="49" s="1"/>
  <c r="S145" i="19"/>
  <c r="S146" i="19"/>
  <c r="S147" i="19"/>
  <c r="E146" i="49" s="1"/>
  <c r="S148" i="19"/>
  <c r="S149" i="19"/>
  <c r="S150" i="19"/>
  <c r="E149" i="49" s="1"/>
  <c r="S151" i="19"/>
  <c r="S152" i="19"/>
  <c r="S153" i="19"/>
  <c r="E152" i="49" s="1"/>
  <c r="S154" i="19"/>
  <c r="S155" i="19"/>
  <c r="S156" i="19"/>
  <c r="S157" i="19"/>
  <c r="S158" i="19"/>
  <c r="S159" i="19"/>
  <c r="S160" i="19"/>
  <c r="S161" i="19"/>
  <c r="S162" i="19"/>
  <c r="S163" i="19"/>
  <c r="S164" i="19"/>
  <c r="S165" i="19"/>
  <c r="E164" i="49" s="1"/>
  <c r="S166" i="19"/>
  <c r="S167" i="19"/>
  <c r="S168" i="19"/>
  <c r="E167" i="49" s="1"/>
  <c r="S169" i="19"/>
  <c r="E168" i="49" s="1"/>
  <c r="S170" i="19"/>
  <c r="S171" i="19"/>
  <c r="S172" i="19"/>
  <c r="E171" i="49" s="1"/>
  <c r="S173" i="19"/>
  <c r="E172" i="49" s="1"/>
  <c r="S174" i="19"/>
  <c r="S175" i="19"/>
  <c r="E174" i="49" s="1"/>
  <c r="S176" i="19"/>
  <c r="E175" i="49" s="1"/>
  <c r="S177" i="19"/>
  <c r="S178" i="19"/>
  <c r="E177" i="49" s="1"/>
  <c r="S179" i="19"/>
  <c r="S180" i="19"/>
  <c r="S181" i="19"/>
  <c r="S182" i="19"/>
  <c r="S183" i="19"/>
  <c r="S184" i="19"/>
  <c r="S185" i="19"/>
  <c r="S186" i="19"/>
  <c r="E185" i="49" s="1"/>
  <c r="S187" i="19"/>
  <c r="S188" i="19"/>
  <c r="S189" i="19"/>
  <c r="E188" i="49" s="1"/>
  <c r="S190" i="19"/>
  <c r="S191" i="19"/>
  <c r="S192" i="19"/>
  <c r="S193" i="19"/>
  <c r="S194" i="19"/>
  <c r="S195" i="19"/>
  <c r="S196" i="19"/>
  <c r="S197" i="19"/>
  <c r="S198" i="19"/>
  <c r="S199" i="19"/>
  <c r="S200" i="19"/>
  <c r="S201" i="19"/>
  <c r="E200" i="49" s="1"/>
  <c r="S202" i="19"/>
  <c r="E201" i="49" s="1"/>
  <c r="S203" i="19"/>
  <c r="E202" i="49" s="1"/>
  <c r="S204" i="19"/>
  <c r="S205" i="19"/>
  <c r="E204" i="49" s="1"/>
  <c r="S206" i="19"/>
  <c r="S207" i="19"/>
  <c r="S208" i="19"/>
  <c r="S209" i="19"/>
  <c r="S210" i="19"/>
  <c r="S211" i="19"/>
  <c r="S212" i="19"/>
  <c r="S213" i="19"/>
  <c r="S214" i="19"/>
  <c r="S215" i="19"/>
  <c r="S216" i="19"/>
  <c r="S217" i="19"/>
  <c r="S218" i="19"/>
  <c r="S219" i="19"/>
  <c r="S220" i="19"/>
  <c r="S221" i="19"/>
  <c r="E220" i="49" s="1"/>
  <c r="S222" i="19"/>
  <c r="S223" i="19"/>
  <c r="S224" i="19"/>
  <c r="S225" i="19"/>
  <c r="E224" i="49" s="1"/>
  <c r="S226" i="19"/>
  <c r="E225" i="49" s="1"/>
  <c r="S227" i="19"/>
  <c r="S228" i="19"/>
  <c r="E227" i="49" s="1"/>
  <c r="S229" i="19"/>
  <c r="E228" i="49" s="1"/>
  <c r="S230" i="19"/>
  <c r="S231" i="19"/>
  <c r="S232" i="19"/>
  <c r="S233" i="19"/>
  <c r="S234" i="19"/>
  <c r="E233" i="49" s="1"/>
  <c r="S235" i="19"/>
  <c r="S236" i="19"/>
  <c r="E235" i="49" s="1"/>
  <c r="S237" i="19"/>
  <c r="S238" i="19"/>
  <c r="S239" i="19"/>
  <c r="S240" i="19"/>
  <c r="S241" i="19"/>
  <c r="E240" i="49" s="1"/>
  <c r="S242" i="19"/>
  <c r="S243" i="19"/>
  <c r="S244" i="19"/>
  <c r="S245" i="19"/>
  <c r="E244" i="49" s="1"/>
  <c r="S246" i="19"/>
  <c r="S247" i="19"/>
  <c r="S248" i="19"/>
  <c r="S249" i="19"/>
  <c r="E248" i="49" s="1"/>
  <c r="S250" i="19"/>
  <c r="S251" i="19"/>
  <c r="S252" i="19"/>
  <c r="E251" i="49" s="1"/>
  <c r="S253" i="19"/>
  <c r="E252" i="49" s="1"/>
  <c r="S254" i="19"/>
  <c r="E253" i="49" s="1"/>
  <c r="S255" i="19"/>
  <c r="E254" i="49" s="1"/>
  <c r="S256" i="19"/>
  <c r="S257" i="19"/>
  <c r="S258" i="19"/>
  <c r="S259" i="19"/>
  <c r="S260" i="19"/>
  <c r="S261" i="19"/>
  <c r="S262" i="19"/>
  <c r="S263" i="19"/>
  <c r="S264" i="19"/>
  <c r="S265" i="19"/>
  <c r="E264" i="49" s="1"/>
  <c r="S266" i="19"/>
  <c r="E265" i="49" s="1"/>
  <c r="S267" i="19"/>
  <c r="S268" i="19"/>
  <c r="S269" i="19"/>
  <c r="S270" i="19"/>
  <c r="E269" i="49" s="1"/>
  <c r="S271" i="19"/>
  <c r="S272" i="19"/>
  <c r="S273" i="19"/>
  <c r="S274" i="19"/>
  <c r="S275" i="19"/>
  <c r="S276" i="19"/>
  <c r="S277" i="19"/>
  <c r="S278" i="19"/>
  <c r="E277" i="49" s="1"/>
  <c r="S279" i="19"/>
  <c r="E278" i="49" s="1"/>
  <c r="S280" i="19"/>
  <c r="S281" i="19"/>
  <c r="S282" i="19"/>
  <c r="S283" i="19"/>
  <c r="S284" i="19"/>
  <c r="S285" i="19"/>
  <c r="E284" i="49" s="1"/>
  <c r="S286" i="19"/>
  <c r="S287" i="19"/>
  <c r="S288" i="19"/>
  <c r="S289" i="19"/>
  <c r="S290" i="19"/>
  <c r="S291" i="19"/>
  <c r="S292" i="19"/>
  <c r="S293" i="19"/>
  <c r="S294" i="19"/>
  <c r="S295" i="19"/>
  <c r="S296" i="19"/>
  <c r="S297" i="19"/>
  <c r="E296" i="49" s="1"/>
  <c r="S298" i="19"/>
  <c r="E297" i="49" s="1"/>
  <c r="S299" i="19"/>
  <c r="S300" i="19"/>
  <c r="S301" i="19"/>
  <c r="S302" i="19"/>
  <c r="E301" i="49" s="1"/>
  <c r="S303" i="19"/>
  <c r="S304" i="19"/>
  <c r="S305" i="19"/>
  <c r="E304" i="49" s="1"/>
  <c r="S306" i="19"/>
  <c r="S307" i="19"/>
  <c r="E306" i="49" s="1"/>
  <c r="S308" i="19"/>
  <c r="S309" i="19"/>
  <c r="S310" i="19"/>
  <c r="S311" i="19"/>
  <c r="E310" i="49" s="1"/>
  <c r="S312" i="19"/>
  <c r="S313" i="19"/>
  <c r="S314" i="19"/>
  <c r="E313" i="49" s="1"/>
  <c r="S315" i="19"/>
  <c r="S316" i="19"/>
  <c r="S317" i="19"/>
  <c r="S318" i="19"/>
  <c r="S319" i="19"/>
  <c r="S320" i="19"/>
  <c r="S321" i="19"/>
  <c r="S322" i="19"/>
  <c r="E321" i="49" s="1"/>
  <c r="S323" i="19"/>
  <c r="E322" i="49" s="1"/>
  <c r="C324" i="19"/>
  <c r="D324" i="19"/>
  <c r="E324" i="19"/>
  <c r="F324" i="19"/>
  <c r="H324" i="19"/>
  <c r="I324" i="19"/>
  <c r="K324" i="19"/>
  <c r="L324" i="19"/>
  <c r="M324" i="19"/>
  <c r="S324" i="19"/>
  <c r="W7" i="19"/>
  <c r="X7" i="19"/>
  <c r="Z7" i="19"/>
  <c r="D4" i="32"/>
  <c r="AR7" i="19"/>
  <c r="D6" i="49" s="1"/>
  <c r="AR8" i="19"/>
  <c r="D7" i="49" s="1"/>
  <c r="AR9" i="19"/>
  <c r="D8" i="49" s="1"/>
  <c r="AR10" i="19"/>
  <c r="D9" i="49" s="1"/>
  <c r="AR11" i="19"/>
  <c r="D10" i="49" s="1"/>
  <c r="AR12" i="19"/>
  <c r="D11" i="49" s="1"/>
  <c r="AR13" i="19"/>
  <c r="D12" i="49" s="1"/>
  <c r="AR14" i="19"/>
  <c r="D13" i="49" s="1"/>
  <c r="AR15" i="19"/>
  <c r="D14" i="49" s="1"/>
  <c r="AR16" i="19"/>
  <c r="D15" i="49" s="1"/>
  <c r="AR17" i="19"/>
  <c r="D16" i="49" s="1"/>
  <c r="AR18" i="19"/>
  <c r="D17" i="49" s="1"/>
  <c r="AR19" i="19"/>
  <c r="D18" i="49" s="1"/>
  <c r="AR20" i="19"/>
  <c r="D19" i="49" s="1"/>
  <c r="AR21" i="19"/>
  <c r="D20" i="49" s="1"/>
  <c r="AR22" i="19"/>
  <c r="D21" i="49" s="1"/>
  <c r="AR23" i="19"/>
  <c r="D22" i="49" s="1"/>
  <c r="AR24" i="19"/>
  <c r="D23" i="49" s="1"/>
  <c r="AR25" i="19"/>
  <c r="D24" i="49" s="1"/>
  <c r="AR26" i="19"/>
  <c r="D25" i="49" s="1"/>
  <c r="AR27" i="19"/>
  <c r="D26" i="49" s="1"/>
  <c r="AR28" i="19"/>
  <c r="D27" i="49" s="1"/>
  <c r="AR29" i="19"/>
  <c r="D28" i="49" s="1"/>
  <c r="AR30" i="19"/>
  <c r="D29" i="49" s="1"/>
  <c r="AR31" i="19"/>
  <c r="D30" i="49" s="1"/>
  <c r="AR32" i="19"/>
  <c r="D31" i="49" s="1"/>
  <c r="AR33" i="19"/>
  <c r="D32" i="49" s="1"/>
  <c r="AR34" i="19"/>
  <c r="D33" i="49" s="1"/>
  <c r="AR35" i="19"/>
  <c r="D34" i="49" s="1"/>
  <c r="AR36" i="19"/>
  <c r="D35" i="49" s="1"/>
  <c r="AR37" i="19"/>
  <c r="D36" i="49" s="1"/>
  <c r="AR38" i="19"/>
  <c r="D37" i="49" s="1"/>
  <c r="AR39" i="19"/>
  <c r="D38" i="49" s="1"/>
  <c r="AR40" i="19"/>
  <c r="D39" i="49" s="1"/>
  <c r="AR41" i="19"/>
  <c r="D40" i="49" s="1"/>
  <c r="AR42" i="19"/>
  <c r="D41" i="49" s="1"/>
  <c r="AR43" i="19"/>
  <c r="D42" i="49" s="1"/>
  <c r="AR44" i="19"/>
  <c r="D43" i="49" s="1"/>
  <c r="AR45" i="19"/>
  <c r="D44" i="49" s="1"/>
  <c r="AR46" i="19"/>
  <c r="D45" i="49" s="1"/>
  <c r="AR47" i="19"/>
  <c r="D46" i="49" s="1"/>
  <c r="AR48" i="19"/>
  <c r="D47" i="49" s="1"/>
  <c r="AR49" i="19"/>
  <c r="D48" i="49" s="1"/>
  <c r="AR50" i="19"/>
  <c r="D49" i="49" s="1"/>
  <c r="AR51" i="19"/>
  <c r="D50" i="49" s="1"/>
  <c r="AR52" i="19"/>
  <c r="D51" i="49" s="1"/>
  <c r="AR53" i="19"/>
  <c r="D52" i="49" s="1"/>
  <c r="AR54" i="19"/>
  <c r="D53" i="49" s="1"/>
  <c r="AR55" i="19"/>
  <c r="D54" i="49" s="1"/>
  <c r="AR56" i="19"/>
  <c r="D55" i="49" s="1"/>
  <c r="AR57" i="19"/>
  <c r="D56" i="49" s="1"/>
  <c r="AR58" i="19"/>
  <c r="D57" i="49" s="1"/>
  <c r="AR59" i="19"/>
  <c r="D58" i="49" s="1"/>
  <c r="AR60" i="19"/>
  <c r="D59" i="49" s="1"/>
  <c r="AR61" i="19"/>
  <c r="D60" i="49" s="1"/>
  <c r="AR62" i="19"/>
  <c r="D61" i="49" s="1"/>
  <c r="AR63" i="19"/>
  <c r="D62" i="49" s="1"/>
  <c r="AR64" i="19"/>
  <c r="D63" i="49" s="1"/>
  <c r="AR65" i="19"/>
  <c r="D64" i="49" s="1"/>
  <c r="AR66" i="19"/>
  <c r="D65" i="49" s="1"/>
  <c r="AR67" i="19"/>
  <c r="D66" i="49" s="1"/>
  <c r="AR68" i="19"/>
  <c r="D67" i="49" s="1"/>
  <c r="AR69" i="19"/>
  <c r="D68" i="49" s="1"/>
  <c r="AR70" i="19"/>
  <c r="D69" i="49" s="1"/>
  <c r="AR71" i="19"/>
  <c r="D70" i="49" s="1"/>
  <c r="AR72" i="19"/>
  <c r="D71" i="49" s="1"/>
  <c r="AR73" i="19"/>
  <c r="D72" i="49" s="1"/>
  <c r="AR74" i="19"/>
  <c r="D73" i="49" s="1"/>
  <c r="AR75" i="19"/>
  <c r="D74" i="49" s="1"/>
  <c r="AR76" i="19"/>
  <c r="D75" i="49" s="1"/>
  <c r="AR77" i="19"/>
  <c r="D76" i="49" s="1"/>
  <c r="AR78" i="19"/>
  <c r="D77" i="49" s="1"/>
  <c r="AR79" i="19"/>
  <c r="D78" i="49" s="1"/>
  <c r="AR80" i="19"/>
  <c r="D79" i="49" s="1"/>
  <c r="AR81" i="19"/>
  <c r="D80" i="49" s="1"/>
  <c r="AR82" i="19"/>
  <c r="D81" i="49" s="1"/>
  <c r="AR83" i="19"/>
  <c r="D82" i="49" s="1"/>
  <c r="AR84" i="19"/>
  <c r="D83" i="49" s="1"/>
  <c r="AR85" i="19"/>
  <c r="D84" i="49" s="1"/>
  <c r="AR86" i="19"/>
  <c r="D85" i="49" s="1"/>
  <c r="AR87" i="19"/>
  <c r="D86" i="49" s="1"/>
  <c r="AR88" i="19"/>
  <c r="D87" i="49" s="1"/>
  <c r="AR89" i="19"/>
  <c r="D88" i="49" s="1"/>
  <c r="AR90" i="19"/>
  <c r="D89" i="49" s="1"/>
  <c r="AR91" i="19"/>
  <c r="D90" i="49" s="1"/>
  <c r="AR92" i="19"/>
  <c r="D91" i="49" s="1"/>
  <c r="AR93" i="19"/>
  <c r="D92" i="49" s="1"/>
  <c r="AR94" i="19"/>
  <c r="D93" i="49" s="1"/>
  <c r="AR95" i="19"/>
  <c r="D94" i="49" s="1"/>
  <c r="AR96" i="19"/>
  <c r="D95" i="49" s="1"/>
  <c r="AR97" i="19"/>
  <c r="D96" i="49" s="1"/>
  <c r="AR98" i="19"/>
  <c r="D97" i="49" s="1"/>
  <c r="AR99" i="19"/>
  <c r="D98" i="49" s="1"/>
  <c r="AR100" i="19"/>
  <c r="D99" i="49" s="1"/>
  <c r="AR101" i="19"/>
  <c r="D100" i="49" s="1"/>
  <c r="AR102" i="19"/>
  <c r="D101" i="49" s="1"/>
  <c r="AR103" i="19"/>
  <c r="D102" i="49" s="1"/>
  <c r="AR104" i="19"/>
  <c r="D103" i="49" s="1"/>
  <c r="AR105" i="19"/>
  <c r="D104" i="49" s="1"/>
  <c r="AR106" i="19"/>
  <c r="D105" i="49" s="1"/>
  <c r="AR107" i="19"/>
  <c r="D106" i="49" s="1"/>
  <c r="AR108" i="19"/>
  <c r="D107" i="49" s="1"/>
  <c r="AR109" i="19"/>
  <c r="D108" i="49" s="1"/>
  <c r="AR110" i="19"/>
  <c r="D109" i="49" s="1"/>
  <c r="AR111" i="19"/>
  <c r="D110" i="49" s="1"/>
  <c r="AR112" i="19"/>
  <c r="D111" i="49" s="1"/>
  <c r="AR113" i="19"/>
  <c r="D112" i="49" s="1"/>
  <c r="AR114" i="19"/>
  <c r="D113" i="49" s="1"/>
  <c r="AR115" i="19"/>
  <c r="D114" i="49" s="1"/>
  <c r="AR116" i="19"/>
  <c r="D115" i="49" s="1"/>
  <c r="AR117" i="19"/>
  <c r="D116" i="49" s="1"/>
  <c r="AR118" i="19"/>
  <c r="D117" i="49" s="1"/>
  <c r="AR119" i="19"/>
  <c r="D118" i="49" s="1"/>
  <c r="AR120" i="19"/>
  <c r="D119" i="49" s="1"/>
  <c r="AR121" i="19"/>
  <c r="D120" i="49" s="1"/>
  <c r="AR122" i="19"/>
  <c r="D121" i="49" s="1"/>
  <c r="AR123" i="19"/>
  <c r="D122" i="49" s="1"/>
  <c r="AR124" i="19"/>
  <c r="D123" i="49" s="1"/>
  <c r="AR125" i="19"/>
  <c r="D124" i="49" s="1"/>
  <c r="AR126" i="19"/>
  <c r="D125" i="49" s="1"/>
  <c r="AR127" i="19"/>
  <c r="D126" i="49" s="1"/>
  <c r="AR128" i="19"/>
  <c r="D127" i="49" s="1"/>
  <c r="AR129" i="19"/>
  <c r="D128" i="49" s="1"/>
  <c r="AR130" i="19"/>
  <c r="D129" i="49" s="1"/>
  <c r="AR131" i="19"/>
  <c r="D130" i="49" s="1"/>
  <c r="AR132" i="19"/>
  <c r="D131" i="49" s="1"/>
  <c r="AR133" i="19"/>
  <c r="D132" i="49" s="1"/>
  <c r="AR134" i="19"/>
  <c r="D133" i="49" s="1"/>
  <c r="AR135" i="19"/>
  <c r="D134" i="49" s="1"/>
  <c r="AR136" i="19"/>
  <c r="D135" i="49" s="1"/>
  <c r="AR137" i="19"/>
  <c r="D136" i="49" s="1"/>
  <c r="AR138" i="19"/>
  <c r="D137" i="49" s="1"/>
  <c r="AR139" i="19"/>
  <c r="D138" i="49" s="1"/>
  <c r="AR140" i="19"/>
  <c r="D139" i="49" s="1"/>
  <c r="AR141" i="19"/>
  <c r="D140" i="49" s="1"/>
  <c r="AR142" i="19"/>
  <c r="D141" i="49" s="1"/>
  <c r="AR143" i="19"/>
  <c r="D142" i="49" s="1"/>
  <c r="AR144" i="19"/>
  <c r="D143" i="49" s="1"/>
  <c r="AR145" i="19"/>
  <c r="D144" i="49" s="1"/>
  <c r="AR146" i="19"/>
  <c r="D145" i="49" s="1"/>
  <c r="AR147" i="19"/>
  <c r="D146" i="49" s="1"/>
  <c r="AR148" i="19"/>
  <c r="D147" i="49" s="1"/>
  <c r="AR149" i="19"/>
  <c r="D148" i="49" s="1"/>
  <c r="AR150" i="19"/>
  <c r="D149" i="49" s="1"/>
  <c r="AR151" i="19"/>
  <c r="D150" i="49" s="1"/>
  <c r="AR152" i="19"/>
  <c r="D151" i="49" s="1"/>
  <c r="AR153" i="19"/>
  <c r="D152" i="49" s="1"/>
  <c r="AR154" i="19"/>
  <c r="D153" i="49" s="1"/>
  <c r="AR155" i="19"/>
  <c r="D154" i="49" s="1"/>
  <c r="AR156" i="19"/>
  <c r="D155" i="49" s="1"/>
  <c r="AR157" i="19"/>
  <c r="D156" i="49" s="1"/>
  <c r="AR158" i="19"/>
  <c r="D157" i="49" s="1"/>
  <c r="AR159" i="19"/>
  <c r="D158" i="49" s="1"/>
  <c r="AR160" i="19"/>
  <c r="D159" i="49" s="1"/>
  <c r="AR161" i="19"/>
  <c r="D160" i="49" s="1"/>
  <c r="AR162" i="19"/>
  <c r="D161" i="49" s="1"/>
  <c r="AR163" i="19"/>
  <c r="D162" i="49" s="1"/>
  <c r="AR164" i="19"/>
  <c r="D163" i="49" s="1"/>
  <c r="AR165" i="19"/>
  <c r="D164" i="49" s="1"/>
  <c r="AR166" i="19"/>
  <c r="D165" i="49" s="1"/>
  <c r="AR167" i="19"/>
  <c r="D166" i="49" s="1"/>
  <c r="AR168" i="19"/>
  <c r="D167" i="49" s="1"/>
  <c r="AR169" i="19"/>
  <c r="D168" i="49" s="1"/>
  <c r="AR170" i="19"/>
  <c r="D169" i="49" s="1"/>
  <c r="AR171" i="19"/>
  <c r="D170" i="49" s="1"/>
  <c r="AR172" i="19"/>
  <c r="D171" i="49" s="1"/>
  <c r="AR173" i="19"/>
  <c r="D172" i="49" s="1"/>
  <c r="AR174" i="19"/>
  <c r="D173" i="49" s="1"/>
  <c r="AR175" i="19"/>
  <c r="D174" i="49" s="1"/>
  <c r="AR176" i="19"/>
  <c r="D175" i="49" s="1"/>
  <c r="AR177" i="19"/>
  <c r="D176" i="49" s="1"/>
  <c r="AR178" i="19"/>
  <c r="D177" i="49" s="1"/>
  <c r="AR179" i="19"/>
  <c r="D178" i="49" s="1"/>
  <c r="AR180" i="19"/>
  <c r="D179" i="49" s="1"/>
  <c r="AR181" i="19"/>
  <c r="D180" i="49" s="1"/>
  <c r="AR182" i="19"/>
  <c r="D181" i="49" s="1"/>
  <c r="AR183" i="19"/>
  <c r="D182" i="49" s="1"/>
  <c r="AR184" i="19"/>
  <c r="D183" i="49" s="1"/>
  <c r="AR185" i="19"/>
  <c r="D184" i="49" s="1"/>
  <c r="AR186" i="19"/>
  <c r="D185" i="49" s="1"/>
  <c r="AR187" i="19"/>
  <c r="D186" i="49" s="1"/>
  <c r="AR188" i="19"/>
  <c r="D187" i="49" s="1"/>
  <c r="AR189" i="19"/>
  <c r="D188" i="49" s="1"/>
  <c r="AR190" i="19"/>
  <c r="D189" i="49" s="1"/>
  <c r="AR191" i="19"/>
  <c r="D190" i="49" s="1"/>
  <c r="AR192" i="19"/>
  <c r="D191" i="49" s="1"/>
  <c r="AR193" i="19"/>
  <c r="D192" i="49" s="1"/>
  <c r="AR194" i="19"/>
  <c r="D193" i="49" s="1"/>
  <c r="AR195" i="19"/>
  <c r="D194" i="49" s="1"/>
  <c r="AR196" i="19"/>
  <c r="D195" i="49" s="1"/>
  <c r="AR197" i="19"/>
  <c r="D196" i="49" s="1"/>
  <c r="AR198" i="19"/>
  <c r="D197" i="49" s="1"/>
  <c r="AR199" i="19"/>
  <c r="D198" i="49" s="1"/>
  <c r="AR200" i="19"/>
  <c r="D199" i="49" s="1"/>
  <c r="AR201" i="19"/>
  <c r="D200" i="49" s="1"/>
  <c r="AR202" i="19"/>
  <c r="D201" i="49" s="1"/>
  <c r="AR203" i="19"/>
  <c r="D202" i="49" s="1"/>
  <c r="AR204" i="19"/>
  <c r="D203" i="49" s="1"/>
  <c r="AR205" i="19"/>
  <c r="D204" i="49" s="1"/>
  <c r="AR206" i="19"/>
  <c r="D205" i="49" s="1"/>
  <c r="AR207" i="19"/>
  <c r="D206" i="49" s="1"/>
  <c r="AR208" i="19"/>
  <c r="D207" i="49" s="1"/>
  <c r="AR209" i="19"/>
  <c r="D208" i="49" s="1"/>
  <c r="AR210" i="19"/>
  <c r="D209" i="49" s="1"/>
  <c r="AR211" i="19"/>
  <c r="D210" i="49" s="1"/>
  <c r="AR212" i="19"/>
  <c r="D211" i="49" s="1"/>
  <c r="AR213" i="19"/>
  <c r="D212" i="49" s="1"/>
  <c r="AR214" i="19"/>
  <c r="D213" i="49" s="1"/>
  <c r="AR215" i="19"/>
  <c r="D214" i="49" s="1"/>
  <c r="AR216" i="19"/>
  <c r="D215" i="49" s="1"/>
  <c r="AR217" i="19"/>
  <c r="D216" i="49" s="1"/>
  <c r="AR218" i="19"/>
  <c r="D217" i="49" s="1"/>
  <c r="AR219" i="19"/>
  <c r="D218" i="49" s="1"/>
  <c r="AR220" i="19"/>
  <c r="D219" i="49" s="1"/>
  <c r="AR221" i="19"/>
  <c r="D220" i="49" s="1"/>
  <c r="AR222" i="19"/>
  <c r="D221" i="49" s="1"/>
  <c r="AR223" i="19"/>
  <c r="D222" i="49" s="1"/>
  <c r="AR224" i="19"/>
  <c r="D223" i="49" s="1"/>
  <c r="AR225" i="19"/>
  <c r="D224" i="49" s="1"/>
  <c r="AR226" i="19"/>
  <c r="D225" i="49" s="1"/>
  <c r="AR227" i="19"/>
  <c r="D226" i="49" s="1"/>
  <c r="AR228" i="19"/>
  <c r="D227" i="49" s="1"/>
  <c r="AR229" i="19"/>
  <c r="D228" i="49" s="1"/>
  <c r="AR230" i="19"/>
  <c r="D229" i="49" s="1"/>
  <c r="AR231" i="19"/>
  <c r="D230" i="49" s="1"/>
  <c r="AR232" i="19"/>
  <c r="D231" i="49" s="1"/>
  <c r="AR233" i="19"/>
  <c r="D232" i="49" s="1"/>
  <c r="AR234" i="19"/>
  <c r="D233" i="49" s="1"/>
  <c r="AR235" i="19"/>
  <c r="D234" i="49" s="1"/>
  <c r="AR236" i="19"/>
  <c r="D235" i="49" s="1"/>
  <c r="AR237" i="19"/>
  <c r="D236" i="49" s="1"/>
  <c r="AR238" i="19"/>
  <c r="D237" i="49" s="1"/>
  <c r="AR239" i="19"/>
  <c r="D238" i="49" s="1"/>
  <c r="AR240" i="19"/>
  <c r="D239" i="49" s="1"/>
  <c r="AR241" i="19"/>
  <c r="D240" i="49" s="1"/>
  <c r="AR242" i="19"/>
  <c r="D241" i="49" s="1"/>
  <c r="AR243" i="19"/>
  <c r="D242" i="49" s="1"/>
  <c r="AR244" i="19"/>
  <c r="D243" i="49" s="1"/>
  <c r="AR245" i="19"/>
  <c r="D244" i="49" s="1"/>
  <c r="AR246" i="19"/>
  <c r="D245" i="49" s="1"/>
  <c r="AR247" i="19"/>
  <c r="D246" i="49" s="1"/>
  <c r="AR248" i="19"/>
  <c r="D247" i="49" s="1"/>
  <c r="AR249" i="19"/>
  <c r="D248" i="49" s="1"/>
  <c r="AR250" i="19"/>
  <c r="D249" i="49" s="1"/>
  <c r="AR251" i="19"/>
  <c r="D250" i="49" s="1"/>
  <c r="AR252" i="19"/>
  <c r="D251" i="49" s="1"/>
  <c r="AR253" i="19"/>
  <c r="D252" i="49" s="1"/>
  <c r="AR254" i="19"/>
  <c r="D253" i="49" s="1"/>
  <c r="AR255" i="19"/>
  <c r="D254" i="49" s="1"/>
  <c r="AR256" i="19"/>
  <c r="D255" i="49" s="1"/>
  <c r="AR257" i="19"/>
  <c r="D256" i="49" s="1"/>
  <c r="AR258" i="19"/>
  <c r="D257" i="49" s="1"/>
  <c r="AR259" i="19"/>
  <c r="D258" i="49" s="1"/>
  <c r="AR260" i="19"/>
  <c r="D259" i="49" s="1"/>
  <c r="AR261" i="19"/>
  <c r="D260" i="49" s="1"/>
  <c r="AR262" i="19"/>
  <c r="D261" i="49" s="1"/>
  <c r="AR263" i="19"/>
  <c r="D262" i="49" s="1"/>
  <c r="AR264" i="19"/>
  <c r="D263" i="49" s="1"/>
  <c r="AR265" i="19"/>
  <c r="D264" i="49" s="1"/>
  <c r="AR266" i="19"/>
  <c r="D265" i="49" s="1"/>
  <c r="AR267" i="19"/>
  <c r="D266" i="49" s="1"/>
  <c r="AR268" i="19"/>
  <c r="D267" i="49" s="1"/>
  <c r="AR269" i="19"/>
  <c r="D268" i="49" s="1"/>
  <c r="AR270" i="19"/>
  <c r="D269" i="49" s="1"/>
  <c r="AR271" i="19"/>
  <c r="D270" i="49" s="1"/>
  <c r="AR272" i="19"/>
  <c r="D271" i="49" s="1"/>
  <c r="AR273" i="19"/>
  <c r="D272" i="49" s="1"/>
  <c r="AR274" i="19"/>
  <c r="D273" i="49" s="1"/>
  <c r="AR275" i="19"/>
  <c r="D274" i="49" s="1"/>
  <c r="AR276" i="19"/>
  <c r="D275" i="49" s="1"/>
  <c r="AR277" i="19"/>
  <c r="D276" i="49" s="1"/>
  <c r="AR278" i="19"/>
  <c r="D277" i="49" s="1"/>
  <c r="AR279" i="19"/>
  <c r="D278" i="49" s="1"/>
  <c r="AR280" i="19"/>
  <c r="D279" i="49" s="1"/>
  <c r="AR281" i="19"/>
  <c r="D280" i="49" s="1"/>
  <c r="AR282" i="19"/>
  <c r="D281" i="49" s="1"/>
  <c r="AR283" i="19"/>
  <c r="D282" i="49" s="1"/>
  <c r="AR284" i="19"/>
  <c r="D283" i="49" s="1"/>
  <c r="AR285" i="19"/>
  <c r="D284" i="49" s="1"/>
  <c r="AR286" i="19"/>
  <c r="D285" i="49" s="1"/>
  <c r="AR287" i="19"/>
  <c r="D286" i="49" s="1"/>
  <c r="AR288" i="19"/>
  <c r="D287" i="49" s="1"/>
  <c r="AR289" i="19"/>
  <c r="D288" i="49" s="1"/>
  <c r="AR290" i="19"/>
  <c r="D289" i="49" s="1"/>
  <c r="AR291" i="19"/>
  <c r="D290" i="49" s="1"/>
  <c r="AR292" i="19"/>
  <c r="D291" i="49" s="1"/>
  <c r="AR293" i="19"/>
  <c r="D292" i="49" s="1"/>
  <c r="AR294" i="19"/>
  <c r="D293" i="49" s="1"/>
  <c r="AR295" i="19"/>
  <c r="D294" i="49" s="1"/>
  <c r="AR296" i="19"/>
  <c r="D295" i="49" s="1"/>
  <c r="AR297" i="19"/>
  <c r="D296" i="49" s="1"/>
  <c r="AR298" i="19"/>
  <c r="D297" i="49" s="1"/>
  <c r="AR299" i="19"/>
  <c r="D298" i="49" s="1"/>
  <c r="AR300" i="19"/>
  <c r="D299" i="49" s="1"/>
  <c r="AR301" i="19"/>
  <c r="D300" i="49" s="1"/>
  <c r="AR302" i="19"/>
  <c r="D301" i="49" s="1"/>
  <c r="AR303" i="19"/>
  <c r="D302" i="49" s="1"/>
  <c r="AR304" i="19"/>
  <c r="D303" i="49" s="1"/>
  <c r="AR305" i="19"/>
  <c r="D304" i="49" s="1"/>
  <c r="AR306" i="19"/>
  <c r="D305" i="49" s="1"/>
  <c r="AR307" i="19"/>
  <c r="D306" i="49" s="1"/>
  <c r="AR308" i="19"/>
  <c r="D307" i="49" s="1"/>
  <c r="AR309" i="19"/>
  <c r="D308" i="49" s="1"/>
  <c r="AR310" i="19"/>
  <c r="D309" i="49" s="1"/>
  <c r="AR311" i="19"/>
  <c r="D310" i="49" s="1"/>
  <c r="AR312" i="19"/>
  <c r="D311" i="49" s="1"/>
  <c r="AR313" i="19"/>
  <c r="D312" i="49" s="1"/>
  <c r="AR314" i="19"/>
  <c r="D313" i="49" s="1"/>
  <c r="AR315" i="19"/>
  <c r="D314" i="49" s="1"/>
  <c r="AR316" i="19"/>
  <c r="D315" i="49" s="1"/>
  <c r="AR317" i="19"/>
  <c r="D316" i="49" s="1"/>
  <c r="AR318" i="19"/>
  <c r="D317" i="49" s="1"/>
  <c r="AR319" i="19"/>
  <c r="D318" i="49" s="1"/>
  <c r="AR320" i="19"/>
  <c r="D319" i="49" s="1"/>
  <c r="AR321" i="19"/>
  <c r="D320" i="49" s="1"/>
  <c r="AR322" i="19"/>
  <c r="D321" i="49" s="1"/>
  <c r="AR323" i="19"/>
  <c r="D322" i="49" s="1"/>
  <c r="AR324" i="19"/>
  <c r="D323" i="49" s="1"/>
  <c r="W324" i="19"/>
  <c r="X324" i="19"/>
  <c r="Z324" i="19"/>
  <c r="D322" i="32" s="1"/>
  <c r="D9" i="32"/>
  <c r="D10" i="32"/>
  <c r="D13" i="32"/>
  <c r="D15" i="32"/>
  <c r="D28" i="32"/>
  <c r="D30" i="32"/>
  <c r="D31" i="32"/>
  <c r="D33" i="32"/>
  <c r="D34" i="32"/>
  <c r="D35" i="32"/>
  <c r="D37" i="32"/>
  <c r="D38" i="32"/>
  <c r="D39" i="32"/>
  <c r="D40" i="32"/>
  <c r="D41" i="32"/>
  <c r="D42" i="32"/>
  <c r="D43" i="32"/>
  <c r="D44" i="32"/>
  <c r="D45" i="32"/>
  <c r="D47" i="32"/>
  <c r="D48" i="32"/>
  <c r="D50" i="32"/>
  <c r="D56" i="32"/>
  <c r="D60" i="32"/>
  <c r="D82" i="32"/>
  <c r="D83" i="32"/>
  <c r="D86" i="32"/>
  <c r="D90" i="32"/>
  <c r="D93" i="32"/>
  <c r="D100" i="32"/>
  <c r="D102" i="32"/>
  <c r="D104" i="32"/>
  <c r="D105" i="32"/>
  <c r="D106" i="32"/>
  <c r="D127" i="32"/>
  <c r="D128" i="32"/>
  <c r="D139" i="32"/>
  <c r="D146" i="32"/>
  <c r="D163" i="32"/>
  <c r="D164" i="32"/>
  <c r="D165" i="32"/>
  <c r="D166" i="32"/>
  <c r="D167" i="32"/>
  <c r="E167" i="32" s="1"/>
  <c r="D168" i="32"/>
  <c r="D169" i="32"/>
  <c r="D170" i="32"/>
  <c r="D175" i="32"/>
  <c r="D176" i="32"/>
  <c r="D178" i="32"/>
  <c r="D179" i="32"/>
  <c r="D180" i="32"/>
  <c r="H14" i="13"/>
  <c r="K14" i="13" s="1"/>
  <c r="H88" i="13"/>
  <c r="K88" i="13"/>
  <c r="H168" i="13"/>
  <c r="K168" i="13" s="1"/>
  <c r="E4" i="36"/>
  <c r="G4" i="36"/>
  <c r="G256" i="36" s="1"/>
  <c r="I4" i="36"/>
  <c r="I145" i="36" s="1"/>
  <c r="H4" i="36"/>
  <c r="H172" i="36" s="1"/>
  <c r="G5" i="36"/>
  <c r="C6" i="34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D4" i="36"/>
  <c r="D225" i="36" s="1"/>
  <c r="D5" i="36"/>
  <c r="E5" i="36"/>
  <c r="E185" i="36" s="1"/>
  <c r="F4" i="36"/>
  <c r="F5" i="36"/>
  <c r="H5" i="36"/>
  <c r="J4" i="36"/>
  <c r="I5" i="36"/>
  <c r="I4" i="39"/>
  <c r="H7" i="13"/>
  <c r="K7" i="13" s="1"/>
  <c r="K8" i="13"/>
  <c r="H9" i="13"/>
  <c r="K9" i="13" s="1"/>
  <c r="H10" i="13"/>
  <c r="K10" i="13" s="1"/>
  <c r="H11" i="13"/>
  <c r="K11" i="13" s="1"/>
  <c r="H12" i="13"/>
  <c r="K12" i="13" s="1"/>
  <c r="H13" i="13"/>
  <c r="K13" i="13" s="1"/>
  <c r="H15" i="13"/>
  <c r="K15" i="13" s="1"/>
  <c r="H16" i="13"/>
  <c r="K16" i="13" s="1"/>
  <c r="H17" i="13"/>
  <c r="K17" i="13"/>
  <c r="H18" i="13"/>
  <c r="K18" i="13" s="1"/>
  <c r="H19" i="13"/>
  <c r="K19" i="13" s="1"/>
  <c r="H20" i="13"/>
  <c r="K20" i="13" s="1"/>
  <c r="H21" i="13"/>
  <c r="K21" i="13"/>
  <c r="H22" i="13"/>
  <c r="K22" i="13" s="1"/>
  <c r="H23" i="13"/>
  <c r="K23" i="13" s="1"/>
  <c r="H24" i="13"/>
  <c r="K24" i="13" s="1"/>
  <c r="H25" i="13"/>
  <c r="K25" i="13"/>
  <c r="H26" i="13"/>
  <c r="K26" i="13" s="1"/>
  <c r="H27" i="13"/>
  <c r="K27" i="13" s="1"/>
  <c r="H28" i="13"/>
  <c r="K28" i="13" s="1"/>
  <c r="H29" i="13"/>
  <c r="K29" i="13" s="1"/>
  <c r="H30" i="13"/>
  <c r="K30" i="13" s="1"/>
  <c r="H31" i="13"/>
  <c r="K31" i="13" s="1"/>
  <c r="H32" i="13"/>
  <c r="K32" i="13" s="1"/>
  <c r="H33" i="13"/>
  <c r="K33" i="13" s="1"/>
  <c r="H34" i="13"/>
  <c r="K34" i="13" s="1"/>
  <c r="H35" i="13"/>
  <c r="K35" i="13" s="1"/>
  <c r="H36" i="13"/>
  <c r="K36" i="13" s="1"/>
  <c r="H37" i="13"/>
  <c r="K37" i="13" s="1"/>
  <c r="H38" i="13"/>
  <c r="K38" i="13" s="1"/>
  <c r="H39" i="13"/>
  <c r="K39" i="13" s="1"/>
  <c r="H40" i="13"/>
  <c r="K40" i="13" s="1"/>
  <c r="H41" i="13"/>
  <c r="K41" i="13" s="1"/>
  <c r="H42" i="13"/>
  <c r="K42" i="13" s="1"/>
  <c r="H43" i="13"/>
  <c r="K43" i="13" s="1"/>
  <c r="H44" i="13"/>
  <c r="K44" i="13" s="1"/>
  <c r="H45" i="13"/>
  <c r="K45" i="13" s="1"/>
  <c r="H46" i="13"/>
  <c r="K46" i="13"/>
  <c r="H47" i="13"/>
  <c r="K47" i="13" s="1"/>
  <c r="H48" i="13"/>
  <c r="K48" i="13" s="1"/>
  <c r="H49" i="13"/>
  <c r="K49" i="13" s="1"/>
  <c r="H50" i="13"/>
  <c r="K50" i="13" s="1"/>
  <c r="H51" i="13"/>
  <c r="K51" i="13" s="1"/>
  <c r="H52" i="13"/>
  <c r="K52" i="13"/>
  <c r="H53" i="13"/>
  <c r="K53" i="13" s="1"/>
  <c r="H54" i="13"/>
  <c r="K54" i="13" s="1"/>
  <c r="H55" i="13"/>
  <c r="K55" i="13" s="1"/>
  <c r="H56" i="13"/>
  <c r="K56" i="13"/>
  <c r="H57" i="13"/>
  <c r="K57" i="13" s="1"/>
  <c r="H58" i="13"/>
  <c r="K58" i="13" s="1"/>
  <c r="H59" i="13"/>
  <c r="K59" i="13"/>
  <c r="H60" i="13"/>
  <c r="K60" i="13" s="1"/>
  <c r="H61" i="13"/>
  <c r="K61" i="13" s="1"/>
  <c r="H62" i="13"/>
  <c r="K62" i="13" s="1"/>
  <c r="H63" i="13"/>
  <c r="K63" i="13" s="1"/>
  <c r="H64" i="13"/>
  <c r="K64" i="13" s="1"/>
  <c r="H65" i="13"/>
  <c r="K65" i="13" s="1"/>
  <c r="H66" i="13"/>
  <c r="K66" i="13" s="1"/>
  <c r="H67" i="13"/>
  <c r="K67" i="13"/>
  <c r="H68" i="13"/>
  <c r="K68" i="13" s="1"/>
  <c r="H69" i="13"/>
  <c r="K69" i="13" s="1"/>
  <c r="H70" i="13"/>
  <c r="K70" i="13" s="1"/>
  <c r="H71" i="13"/>
  <c r="K71" i="13" s="1"/>
  <c r="H72" i="13"/>
  <c r="K72" i="13" s="1"/>
  <c r="H73" i="13"/>
  <c r="K73" i="13" s="1"/>
  <c r="H74" i="13"/>
  <c r="K74" i="13" s="1"/>
  <c r="H75" i="13"/>
  <c r="K75" i="13" s="1"/>
  <c r="H76" i="13"/>
  <c r="K76" i="13" s="1"/>
  <c r="H77" i="13"/>
  <c r="K77" i="13" s="1"/>
  <c r="H78" i="13"/>
  <c r="K78" i="13" s="1"/>
  <c r="H79" i="13"/>
  <c r="K79" i="13" s="1"/>
  <c r="H80" i="13"/>
  <c r="K80" i="13" s="1"/>
  <c r="H81" i="13"/>
  <c r="K81" i="13" s="1"/>
  <c r="H82" i="13"/>
  <c r="K82" i="13" s="1"/>
  <c r="H83" i="13"/>
  <c r="K83" i="13" s="1"/>
  <c r="H84" i="13"/>
  <c r="K84" i="13" s="1"/>
  <c r="H85" i="13"/>
  <c r="K85" i="13" s="1"/>
  <c r="H86" i="13"/>
  <c r="K86" i="13"/>
  <c r="H87" i="13"/>
  <c r="K87" i="13" s="1"/>
  <c r="H89" i="13"/>
  <c r="K89" i="13" s="1"/>
  <c r="H90" i="13"/>
  <c r="K90" i="13"/>
  <c r="H91" i="13"/>
  <c r="K91" i="13" s="1"/>
  <c r="H92" i="13"/>
  <c r="K92" i="13" s="1"/>
  <c r="H93" i="13"/>
  <c r="K93" i="13" s="1"/>
  <c r="H94" i="13"/>
  <c r="K94" i="13" s="1"/>
  <c r="H95" i="13"/>
  <c r="K95" i="13" s="1"/>
  <c r="H96" i="13"/>
  <c r="K96" i="13" s="1"/>
  <c r="H97" i="13"/>
  <c r="K97" i="13"/>
  <c r="H98" i="13"/>
  <c r="K98" i="13" s="1"/>
  <c r="H99" i="13"/>
  <c r="K99" i="13" s="1"/>
  <c r="H100" i="13"/>
  <c r="K100" i="13" s="1"/>
  <c r="H101" i="13"/>
  <c r="K101" i="13" s="1"/>
  <c r="H102" i="13"/>
  <c r="K102" i="13" s="1"/>
  <c r="H103" i="13"/>
  <c r="K103" i="13"/>
  <c r="H104" i="13"/>
  <c r="K104" i="13" s="1"/>
  <c r="H105" i="13"/>
  <c r="K105" i="13" s="1"/>
  <c r="H106" i="13"/>
  <c r="K106" i="13" s="1"/>
  <c r="H107" i="13"/>
  <c r="K107" i="13"/>
  <c r="H108" i="13"/>
  <c r="K108" i="13" s="1"/>
  <c r="H109" i="13"/>
  <c r="K109" i="13" s="1"/>
  <c r="H110" i="13"/>
  <c r="K110" i="13"/>
  <c r="H111" i="13"/>
  <c r="K111" i="13" s="1"/>
  <c r="H112" i="13"/>
  <c r="K112" i="13"/>
  <c r="H113" i="13"/>
  <c r="K113" i="13" s="1"/>
  <c r="H114" i="13"/>
  <c r="K114" i="13" s="1"/>
  <c r="H115" i="13"/>
  <c r="K115" i="13" s="1"/>
  <c r="H116" i="13"/>
  <c r="K116" i="13" s="1"/>
  <c r="H117" i="13"/>
  <c r="K117" i="13"/>
  <c r="H118" i="13"/>
  <c r="K118" i="13" s="1"/>
  <c r="H119" i="13"/>
  <c r="K119" i="13" s="1"/>
  <c r="H120" i="13"/>
  <c r="K120" i="13"/>
  <c r="H121" i="13"/>
  <c r="K121" i="13" s="1"/>
  <c r="H122" i="13"/>
  <c r="K122" i="13" s="1"/>
  <c r="H123" i="13"/>
  <c r="K123" i="13"/>
  <c r="H124" i="13"/>
  <c r="K124" i="13" s="1"/>
  <c r="H125" i="13"/>
  <c r="K125" i="13" s="1"/>
  <c r="H126" i="13"/>
  <c r="K126" i="13" s="1"/>
  <c r="H127" i="13"/>
  <c r="K127" i="13" s="1"/>
  <c r="H128" i="13"/>
  <c r="K128" i="13"/>
  <c r="H129" i="13"/>
  <c r="K129" i="13" s="1"/>
  <c r="H130" i="13"/>
  <c r="K130" i="13"/>
  <c r="H131" i="13"/>
  <c r="K131" i="13" s="1"/>
  <c r="H132" i="13"/>
  <c r="K132" i="13"/>
  <c r="H133" i="13"/>
  <c r="K133" i="13" s="1"/>
  <c r="H134" i="13"/>
  <c r="K134" i="13"/>
  <c r="H135" i="13"/>
  <c r="K135" i="13" s="1"/>
  <c r="H136" i="13"/>
  <c r="K136" i="13" s="1"/>
  <c r="H137" i="13"/>
  <c r="K137" i="13" s="1"/>
  <c r="H138" i="13"/>
  <c r="K138" i="13" s="1"/>
  <c r="H139" i="13"/>
  <c r="K139" i="13" s="1"/>
  <c r="H140" i="13"/>
  <c r="K140" i="13" s="1"/>
  <c r="H141" i="13"/>
  <c r="K141" i="13" s="1"/>
  <c r="H142" i="13"/>
  <c r="K142" i="13" s="1"/>
  <c r="H143" i="13"/>
  <c r="K143" i="13" s="1"/>
  <c r="H144" i="13"/>
  <c r="K144" i="13" s="1"/>
  <c r="H145" i="13"/>
  <c r="K145" i="13" s="1"/>
  <c r="H146" i="13"/>
  <c r="K146" i="13" s="1"/>
  <c r="H147" i="13"/>
  <c r="K147" i="13" s="1"/>
  <c r="H148" i="13"/>
  <c r="K148" i="13" s="1"/>
  <c r="H149" i="13"/>
  <c r="K149" i="13"/>
  <c r="H150" i="13"/>
  <c r="K150" i="13" s="1"/>
  <c r="H151" i="13"/>
  <c r="K151" i="13"/>
  <c r="H152" i="13"/>
  <c r="K152" i="13" s="1"/>
  <c r="H153" i="13"/>
  <c r="K153" i="13"/>
  <c r="H154" i="13"/>
  <c r="K154" i="13"/>
  <c r="H155" i="13"/>
  <c r="K155" i="13" s="1"/>
  <c r="H156" i="13"/>
  <c r="K156" i="13"/>
  <c r="H157" i="13"/>
  <c r="K157" i="13" s="1"/>
  <c r="H158" i="13"/>
  <c r="K158" i="13"/>
  <c r="H159" i="13"/>
  <c r="K159" i="13" s="1"/>
  <c r="H160" i="13"/>
  <c r="K160" i="13" s="1"/>
  <c r="H161" i="13"/>
  <c r="K161" i="13" s="1"/>
  <c r="H162" i="13"/>
  <c r="K162" i="13" s="1"/>
  <c r="H163" i="13"/>
  <c r="K163" i="13" s="1"/>
  <c r="H164" i="13"/>
  <c r="K164" i="13" s="1"/>
  <c r="H165" i="13"/>
  <c r="K165" i="13" s="1"/>
  <c r="H166" i="13"/>
  <c r="K166" i="13"/>
  <c r="H167" i="13"/>
  <c r="K167" i="13" s="1"/>
  <c r="H169" i="13"/>
  <c r="K169" i="13" s="1"/>
  <c r="H170" i="13"/>
  <c r="K170" i="13" s="1"/>
  <c r="H171" i="13"/>
  <c r="K171" i="13" s="1"/>
  <c r="H172" i="13"/>
  <c r="K172" i="13" s="1"/>
  <c r="H173" i="13"/>
  <c r="K173" i="13" s="1"/>
  <c r="H174" i="13"/>
  <c r="K174" i="13"/>
  <c r="H175" i="13"/>
  <c r="K175" i="13"/>
  <c r="H176" i="13"/>
  <c r="K176" i="13"/>
  <c r="H177" i="13"/>
  <c r="K177" i="13"/>
  <c r="H178" i="13"/>
  <c r="K178" i="13" s="1"/>
  <c r="H179" i="13"/>
  <c r="K179" i="13" s="1"/>
  <c r="H180" i="13"/>
  <c r="K180" i="13" s="1"/>
  <c r="H181" i="13"/>
  <c r="K181" i="13" s="1"/>
  <c r="H182" i="13"/>
  <c r="K182" i="13" s="1"/>
  <c r="H183" i="13"/>
  <c r="K183" i="13" s="1"/>
  <c r="H184" i="13"/>
  <c r="K184" i="13" s="1"/>
  <c r="H185" i="13"/>
  <c r="K185" i="13" s="1"/>
  <c r="H186" i="13"/>
  <c r="K186" i="13" s="1"/>
  <c r="H187" i="13"/>
  <c r="K187" i="13" s="1"/>
  <c r="H188" i="13"/>
  <c r="K188" i="13"/>
  <c r="H189" i="13"/>
  <c r="K189" i="13" s="1"/>
  <c r="H190" i="13"/>
  <c r="K190" i="13" s="1"/>
  <c r="H191" i="13"/>
  <c r="K191" i="13" s="1"/>
  <c r="H192" i="13"/>
  <c r="K192" i="13"/>
  <c r="H193" i="13"/>
  <c r="K193" i="13" s="1"/>
  <c r="H194" i="13"/>
  <c r="K194" i="13" s="1"/>
  <c r="H195" i="13"/>
  <c r="K195" i="13" s="1"/>
  <c r="H196" i="13"/>
  <c r="K196" i="13" s="1"/>
  <c r="H197" i="13"/>
  <c r="K197" i="13" s="1"/>
  <c r="H198" i="13"/>
  <c r="K198" i="13" s="1"/>
  <c r="H199" i="13"/>
  <c r="K199" i="13"/>
  <c r="H200" i="13"/>
  <c r="K200" i="13" s="1"/>
  <c r="H201" i="13"/>
  <c r="K201" i="13" s="1"/>
  <c r="H202" i="13"/>
  <c r="K202" i="13" s="1"/>
  <c r="H203" i="13"/>
  <c r="K203" i="13"/>
  <c r="H204" i="13"/>
  <c r="K204" i="13" s="1"/>
  <c r="H205" i="13"/>
  <c r="K205" i="13" s="1"/>
  <c r="H206" i="13"/>
  <c r="K206" i="13" s="1"/>
  <c r="H207" i="13"/>
  <c r="K207" i="13" s="1"/>
  <c r="H208" i="13"/>
  <c r="K208" i="13"/>
  <c r="H209" i="13"/>
  <c r="K209" i="13" s="1"/>
  <c r="H210" i="13"/>
  <c r="K210" i="13" s="1"/>
  <c r="H211" i="13"/>
  <c r="K211" i="13" s="1"/>
  <c r="H212" i="13"/>
  <c r="K212" i="13" s="1"/>
  <c r="H213" i="13"/>
  <c r="K213" i="13" s="1"/>
  <c r="H214" i="13"/>
  <c r="K214" i="13" s="1"/>
  <c r="H215" i="13"/>
  <c r="K215" i="13" s="1"/>
  <c r="H216" i="13"/>
  <c r="K216" i="13"/>
  <c r="H217" i="13"/>
  <c r="K217" i="13" s="1"/>
  <c r="H218" i="13"/>
  <c r="K218" i="13" s="1"/>
  <c r="H219" i="13"/>
  <c r="K219" i="13" s="1"/>
  <c r="H220" i="13"/>
  <c r="K220" i="13"/>
  <c r="H221" i="13"/>
  <c r="K221" i="13"/>
  <c r="H222" i="13"/>
  <c r="K222" i="13"/>
  <c r="H223" i="13"/>
  <c r="K223" i="13" s="1"/>
  <c r="H224" i="13"/>
  <c r="K224" i="13"/>
  <c r="H225" i="13"/>
  <c r="K225" i="13"/>
  <c r="H226" i="13"/>
  <c r="K226" i="13" s="1"/>
  <c r="H227" i="13"/>
  <c r="K227" i="13" s="1"/>
  <c r="H228" i="13"/>
  <c r="K228" i="13"/>
  <c r="H229" i="13"/>
  <c r="K229" i="13"/>
  <c r="H230" i="13"/>
  <c r="K230" i="13" s="1"/>
  <c r="H231" i="13"/>
  <c r="K231" i="13" s="1"/>
  <c r="H232" i="13"/>
  <c r="K232" i="13" s="1"/>
  <c r="H233" i="13"/>
  <c r="K233" i="13" s="1"/>
  <c r="H234" i="13"/>
  <c r="K234" i="13" s="1"/>
  <c r="H235" i="13"/>
  <c r="K235" i="13"/>
  <c r="H236" i="13"/>
  <c r="K236" i="13"/>
  <c r="H237" i="13"/>
  <c r="K237" i="13" s="1"/>
  <c r="H238" i="13"/>
  <c r="K238" i="13" s="1"/>
  <c r="H239" i="13"/>
  <c r="K239" i="13"/>
  <c r="H240" i="13"/>
  <c r="K240" i="13"/>
  <c r="H241" i="13"/>
  <c r="K241" i="13" s="1"/>
  <c r="H242" i="13"/>
  <c r="K242" i="13" s="1"/>
  <c r="H243" i="13"/>
  <c r="K243" i="13" s="1"/>
  <c r="H244" i="13"/>
  <c r="K244" i="13" s="1"/>
  <c r="H245" i="13"/>
  <c r="K245" i="13" s="1"/>
  <c r="H246" i="13"/>
  <c r="K246" i="13" s="1"/>
  <c r="H247" i="13"/>
  <c r="K247" i="13" s="1"/>
  <c r="H248" i="13"/>
  <c r="K248" i="13" s="1"/>
  <c r="H249" i="13"/>
  <c r="K249" i="13"/>
  <c r="H250" i="13"/>
  <c r="K250" i="13" s="1"/>
  <c r="H251" i="13"/>
  <c r="K251" i="13" s="1"/>
  <c r="H252" i="13"/>
  <c r="K252" i="13" s="1"/>
  <c r="H253" i="13"/>
  <c r="K253" i="13" s="1"/>
  <c r="H254" i="13"/>
  <c r="K254" i="13"/>
  <c r="H255" i="13"/>
  <c r="K255" i="13"/>
  <c r="H256" i="13"/>
  <c r="K256" i="13" s="1"/>
  <c r="H257" i="13"/>
  <c r="K257" i="13"/>
  <c r="H258" i="13"/>
  <c r="K258" i="13" s="1"/>
  <c r="H259" i="13"/>
  <c r="K259" i="13" s="1"/>
  <c r="H260" i="13"/>
  <c r="K260" i="13"/>
  <c r="H261" i="13"/>
  <c r="K261" i="13" s="1"/>
  <c r="H262" i="13"/>
  <c r="K262" i="13" s="1"/>
  <c r="H263" i="13"/>
  <c r="K263" i="13" s="1"/>
  <c r="H264" i="13"/>
  <c r="K264" i="13" s="1"/>
  <c r="H265" i="13"/>
  <c r="K265" i="13"/>
  <c r="H266" i="13"/>
  <c r="K266" i="13" s="1"/>
  <c r="H267" i="13"/>
  <c r="K267" i="13" s="1"/>
  <c r="H268" i="13"/>
  <c r="K268" i="13" s="1"/>
  <c r="H269" i="13"/>
  <c r="K269" i="13"/>
  <c r="H270" i="13"/>
  <c r="K270" i="13" s="1"/>
  <c r="H271" i="13"/>
  <c r="K271" i="13"/>
  <c r="H272" i="13"/>
  <c r="K272" i="13" s="1"/>
  <c r="H273" i="13"/>
  <c r="K273" i="13" s="1"/>
  <c r="H274" i="13"/>
  <c r="K274" i="13" s="1"/>
  <c r="H275" i="13"/>
  <c r="K275" i="13" s="1"/>
  <c r="H276" i="13"/>
  <c r="K276" i="13"/>
  <c r="H277" i="13"/>
  <c r="K277" i="13" s="1"/>
  <c r="H278" i="13"/>
  <c r="K278" i="13" s="1"/>
  <c r="H279" i="13"/>
  <c r="K279" i="13" s="1"/>
  <c r="H280" i="13"/>
  <c r="K280" i="13" s="1"/>
  <c r="H281" i="13"/>
  <c r="K281" i="13" s="1"/>
  <c r="H282" i="13"/>
  <c r="K282" i="13" s="1"/>
  <c r="H283" i="13"/>
  <c r="K283" i="13" s="1"/>
  <c r="H284" i="13"/>
  <c r="K284" i="13" s="1"/>
  <c r="H285" i="13"/>
  <c r="K285" i="13" s="1"/>
  <c r="H286" i="13"/>
  <c r="K286" i="13" s="1"/>
  <c r="H287" i="13"/>
  <c r="K287" i="13" s="1"/>
  <c r="H288" i="13"/>
  <c r="K288" i="13" s="1"/>
  <c r="H289" i="13"/>
  <c r="K289" i="13" s="1"/>
  <c r="H290" i="13"/>
  <c r="K290" i="13" s="1"/>
  <c r="H291" i="13"/>
  <c r="K291" i="13" s="1"/>
  <c r="H292" i="13"/>
  <c r="K292" i="13" s="1"/>
  <c r="H293" i="13"/>
  <c r="K293" i="13" s="1"/>
  <c r="H294" i="13"/>
  <c r="K294" i="13" s="1"/>
  <c r="H295" i="13"/>
  <c r="K295" i="13" s="1"/>
  <c r="H296" i="13"/>
  <c r="K296" i="13"/>
  <c r="H297" i="13"/>
  <c r="K297" i="13" s="1"/>
  <c r="H298" i="13"/>
  <c r="K298" i="13"/>
  <c r="H299" i="13"/>
  <c r="K299" i="13" s="1"/>
  <c r="H300" i="13"/>
  <c r="K300" i="13" s="1"/>
  <c r="H301" i="13"/>
  <c r="K301" i="13" s="1"/>
  <c r="H302" i="13"/>
  <c r="K302" i="13" s="1"/>
  <c r="H303" i="13"/>
  <c r="K303" i="13" s="1"/>
  <c r="H304" i="13"/>
  <c r="K304" i="13"/>
  <c r="H305" i="13"/>
  <c r="K305" i="13"/>
  <c r="H306" i="13"/>
  <c r="K306" i="13" s="1"/>
  <c r="H307" i="13"/>
  <c r="K307" i="13" s="1"/>
  <c r="H308" i="13"/>
  <c r="K308" i="13"/>
  <c r="H309" i="13"/>
  <c r="K309" i="13" s="1"/>
  <c r="H310" i="13"/>
  <c r="K310" i="13" s="1"/>
  <c r="H311" i="13"/>
  <c r="K311" i="13" s="1"/>
  <c r="H312" i="13"/>
  <c r="K312" i="13"/>
  <c r="H313" i="13"/>
  <c r="K313" i="13" s="1"/>
  <c r="H314" i="13"/>
  <c r="K314" i="13"/>
  <c r="H315" i="13"/>
  <c r="K315" i="13" s="1"/>
  <c r="H316" i="13"/>
  <c r="K316" i="13" s="1"/>
  <c r="H317" i="13"/>
  <c r="K317" i="13" s="1"/>
  <c r="H318" i="13"/>
  <c r="K318" i="13" s="1"/>
  <c r="H319" i="13"/>
  <c r="K319" i="13" s="1"/>
  <c r="H320" i="13"/>
  <c r="K320" i="13" s="1"/>
  <c r="H321" i="13"/>
  <c r="K321" i="13"/>
  <c r="H322" i="13"/>
  <c r="K322" i="13" s="1"/>
  <c r="H323" i="13"/>
  <c r="K323" i="13" s="1"/>
  <c r="C324" i="13"/>
  <c r="D324" i="13"/>
  <c r="E324" i="13"/>
  <c r="F324" i="13"/>
  <c r="G324" i="13"/>
  <c r="A183" i="25"/>
  <c r="B183" i="25"/>
  <c r="A184" i="25"/>
  <c r="B184" i="25"/>
  <c r="B182" i="11"/>
  <c r="A182" i="11"/>
  <c r="AG184" i="19"/>
  <c r="AH184" i="19"/>
  <c r="AI184" i="19"/>
  <c r="AL184" i="19"/>
  <c r="AG185" i="19"/>
  <c r="AH185" i="19"/>
  <c r="AI185" i="19"/>
  <c r="AL185" i="19"/>
  <c r="AF184" i="19"/>
  <c r="AJ184" i="19"/>
  <c r="AK184" i="19"/>
  <c r="AM184" i="19"/>
  <c r="AN184" i="19"/>
  <c r="AO184" i="19"/>
  <c r="AP184" i="19"/>
  <c r="AQ184" i="19"/>
  <c r="AF185" i="19"/>
  <c r="AJ185" i="19"/>
  <c r="AK185" i="19"/>
  <c r="AM185" i="19"/>
  <c r="AN185" i="19"/>
  <c r="AO185" i="19"/>
  <c r="AP185" i="19"/>
  <c r="AQ185" i="19"/>
  <c r="B252" i="25"/>
  <c r="A252" i="25"/>
  <c r="AF254" i="19"/>
  <c r="AG254" i="19"/>
  <c r="AH254" i="19"/>
  <c r="AI254" i="19"/>
  <c r="AJ254" i="19"/>
  <c r="AK254" i="19"/>
  <c r="AL254" i="19"/>
  <c r="AM254" i="19"/>
  <c r="AN254" i="19"/>
  <c r="AO254" i="19"/>
  <c r="AP254" i="19"/>
  <c r="AQ254" i="19"/>
  <c r="AF257" i="19"/>
  <c r="AG257" i="19"/>
  <c r="AH257" i="19"/>
  <c r="AI257" i="19"/>
  <c r="AJ257" i="19"/>
  <c r="AK257" i="19"/>
  <c r="AL257" i="19"/>
  <c r="AM257" i="19"/>
  <c r="AN257" i="19"/>
  <c r="AO257" i="19"/>
  <c r="AP257" i="19"/>
  <c r="AQ257" i="19"/>
  <c r="AF258" i="19"/>
  <c r="AG258" i="19"/>
  <c r="AH258" i="19"/>
  <c r="AI258" i="19"/>
  <c r="AJ258" i="19"/>
  <c r="AK258" i="19"/>
  <c r="AL258" i="19"/>
  <c r="AM258" i="19"/>
  <c r="AN258" i="19"/>
  <c r="AO258" i="19"/>
  <c r="AP258" i="19"/>
  <c r="AQ258" i="19"/>
  <c r="AF261" i="19"/>
  <c r="AG261" i="19"/>
  <c r="AH261" i="19"/>
  <c r="AI261" i="19"/>
  <c r="AJ261" i="19"/>
  <c r="AK261" i="19"/>
  <c r="AL261" i="19"/>
  <c r="AM261" i="19"/>
  <c r="AN261" i="19"/>
  <c r="AO261" i="19"/>
  <c r="AP261" i="19"/>
  <c r="AQ261" i="19"/>
  <c r="AF263" i="19"/>
  <c r="AG263" i="19"/>
  <c r="AH263" i="19"/>
  <c r="AI263" i="19"/>
  <c r="AJ263" i="19"/>
  <c r="AK263" i="19"/>
  <c r="AL263" i="19"/>
  <c r="AM263" i="19"/>
  <c r="AN263" i="19"/>
  <c r="AO263" i="19"/>
  <c r="AP263" i="19"/>
  <c r="AQ263" i="19"/>
  <c r="AF253" i="19"/>
  <c r="AG253" i="19"/>
  <c r="AH253" i="19"/>
  <c r="AI253" i="19"/>
  <c r="AJ253" i="19"/>
  <c r="AK253" i="19"/>
  <c r="AL253" i="19"/>
  <c r="AM253" i="19"/>
  <c r="AN253" i="19"/>
  <c r="AO253" i="19"/>
  <c r="AP253" i="19"/>
  <c r="AQ253" i="19"/>
  <c r="B251" i="11"/>
  <c r="A251" i="11"/>
  <c r="B263" i="25"/>
  <c r="A263" i="25"/>
  <c r="AF264" i="19"/>
  <c r="AG264" i="19"/>
  <c r="AH264" i="19"/>
  <c r="AI264" i="19"/>
  <c r="AJ264" i="19"/>
  <c r="AK264" i="19"/>
  <c r="AL264" i="19"/>
  <c r="AM264" i="19"/>
  <c r="AN264" i="19"/>
  <c r="AO264" i="19"/>
  <c r="AP264" i="19"/>
  <c r="AQ264" i="19"/>
  <c r="AF265" i="19"/>
  <c r="AG265" i="19"/>
  <c r="AH265" i="19"/>
  <c r="AI265" i="19"/>
  <c r="AJ265" i="19"/>
  <c r="AK265" i="19"/>
  <c r="AL265" i="19"/>
  <c r="AM265" i="19"/>
  <c r="AN265" i="19"/>
  <c r="AO265" i="19"/>
  <c r="AP265" i="19"/>
  <c r="AQ265" i="19"/>
  <c r="B262" i="11"/>
  <c r="B263" i="11"/>
  <c r="A262" i="11"/>
  <c r="A263" i="11"/>
  <c r="B251" i="25"/>
  <c r="A251" i="25"/>
  <c r="AF252" i="19"/>
  <c r="AG252" i="19"/>
  <c r="AH252" i="19"/>
  <c r="AI252" i="19"/>
  <c r="AJ252" i="19"/>
  <c r="AK252" i="19"/>
  <c r="AL252" i="19"/>
  <c r="AM252" i="19"/>
  <c r="AN252" i="19"/>
  <c r="AO252" i="19"/>
  <c r="AP252" i="19"/>
  <c r="AQ252" i="19"/>
  <c r="B250" i="11"/>
  <c r="A250" i="11"/>
  <c r="B93" i="25"/>
  <c r="B94" i="25"/>
  <c r="A93" i="25"/>
  <c r="A94" i="25"/>
  <c r="AF94" i="19"/>
  <c r="AG94" i="19"/>
  <c r="AH94" i="19"/>
  <c r="AI94" i="19"/>
  <c r="AJ94" i="19"/>
  <c r="AK94" i="19"/>
  <c r="AL94" i="19"/>
  <c r="AM94" i="19"/>
  <c r="AN94" i="19"/>
  <c r="AO94" i="19"/>
  <c r="AP94" i="19"/>
  <c r="AQ94" i="19"/>
  <c r="AF95" i="19"/>
  <c r="AG95" i="19"/>
  <c r="AH95" i="19"/>
  <c r="AI95" i="19"/>
  <c r="AJ95" i="19"/>
  <c r="AK95" i="19"/>
  <c r="AL95" i="19"/>
  <c r="AM95" i="19"/>
  <c r="AN95" i="19"/>
  <c r="AO95" i="19"/>
  <c r="AP95" i="19"/>
  <c r="AQ95" i="19"/>
  <c r="B92" i="11"/>
  <c r="B93" i="11"/>
  <c r="A92" i="11"/>
  <c r="AF96" i="19"/>
  <c r="AG96" i="19"/>
  <c r="AH96" i="19"/>
  <c r="AI96" i="19"/>
  <c r="AJ96" i="19"/>
  <c r="AK96" i="19"/>
  <c r="AL96" i="19"/>
  <c r="AM96" i="19"/>
  <c r="AN96" i="19"/>
  <c r="AO96" i="19"/>
  <c r="AP96" i="19"/>
  <c r="AQ96" i="19"/>
  <c r="B94" i="11"/>
  <c r="A93" i="11"/>
  <c r="A94" i="11"/>
  <c r="AG97" i="19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2" i="11"/>
  <c r="B253" i="11"/>
  <c r="B254" i="11"/>
  <c r="B255" i="11"/>
  <c r="B256" i="11"/>
  <c r="B257" i="11"/>
  <c r="B258" i="11"/>
  <c r="B259" i="11"/>
  <c r="B260" i="11"/>
  <c r="B261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2" i="11"/>
  <c r="A253" i="11"/>
  <c r="A254" i="11"/>
  <c r="A255" i="11"/>
  <c r="A256" i="11"/>
  <c r="A257" i="11"/>
  <c r="A258" i="11"/>
  <c r="A259" i="11"/>
  <c r="A260" i="11"/>
  <c r="A261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5" i="11"/>
  <c r="AF133" i="19"/>
  <c r="AG133" i="19"/>
  <c r="AH133" i="19"/>
  <c r="AI133" i="19"/>
  <c r="AJ133" i="19"/>
  <c r="AK133" i="19"/>
  <c r="AL133" i="19"/>
  <c r="AM133" i="19"/>
  <c r="AN133" i="19"/>
  <c r="AO133" i="19"/>
  <c r="AP133" i="19"/>
  <c r="AQ133" i="19"/>
  <c r="AF218" i="19"/>
  <c r="AG218" i="19"/>
  <c r="AH218" i="19"/>
  <c r="AI218" i="19"/>
  <c r="AJ218" i="19"/>
  <c r="AK218" i="19"/>
  <c r="AL218" i="19"/>
  <c r="AM218" i="19"/>
  <c r="AN218" i="19"/>
  <c r="AO218" i="19"/>
  <c r="AP218" i="19"/>
  <c r="AQ218" i="19"/>
  <c r="AA7" i="19"/>
  <c r="AB7" i="19"/>
  <c r="AC7" i="19"/>
  <c r="AD7" i="19"/>
  <c r="AE7" i="19"/>
  <c r="AF7" i="19"/>
  <c r="AG7" i="19"/>
  <c r="AH7" i="19"/>
  <c r="AI7" i="19"/>
  <c r="AJ7" i="19"/>
  <c r="AK7" i="19"/>
  <c r="AL7" i="19"/>
  <c r="AM7" i="19"/>
  <c r="AN7" i="19"/>
  <c r="AO7" i="19"/>
  <c r="AP7" i="19"/>
  <c r="AQ7" i="19"/>
  <c r="AF268" i="19"/>
  <c r="AG268" i="19"/>
  <c r="AH268" i="19"/>
  <c r="AI268" i="19"/>
  <c r="AJ268" i="19"/>
  <c r="AK268" i="19"/>
  <c r="AL268" i="19"/>
  <c r="AM268" i="19"/>
  <c r="AN268" i="19"/>
  <c r="AO268" i="19"/>
  <c r="AP268" i="19"/>
  <c r="AQ268" i="19"/>
  <c r="AF22" i="19"/>
  <c r="AG22" i="19"/>
  <c r="AH22" i="19"/>
  <c r="AI22" i="19"/>
  <c r="AJ22" i="19"/>
  <c r="AK22" i="19"/>
  <c r="AL22" i="19"/>
  <c r="AM22" i="19"/>
  <c r="AN22" i="19"/>
  <c r="AO22" i="19"/>
  <c r="AP22" i="19"/>
  <c r="AQ22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AQ219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Q186" i="19"/>
  <c r="AF74" i="19"/>
  <c r="AG74" i="19"/>
  <c r="AH74" i="19"/>
  <c r="AI74" i="19"/>
  <c r="AJ74" i="19"/>
  <c r="AK74" i="19"/>
  <c r="AL74" i="19"/>
  <c r="AM74" i="19"/>
  <c r="AN74" i="19"/>
  <c r="AO74" i="19"/>
  <c r="AP74" i="19"/>
  <c r="AQ74" i="19"/>
  <c r="AF23" i="19"/>
  <c r="AG23" i="19"/>
  <c r="AH23" i="19"/>
  <c r="AI23" i="19"/>
  <c r="AJ23" i="19"/>
  <c r="AK23" i="19"/>
  <c r="AL23" i="19"/>
  <c r="AM23" i="19"/>
  <c r="AN23" i="19"/>
  <c r="AO23" i="19"/>
  <c r="AP23" i="19"/>
  <c r="AQ23" i="19"/>
  <c r="AF38" i="19"/>
  <c r="AG38" i="19"/>
  <c r="AH38" i="19"/>
  <c r="AI38" i="19"/>
  <c r="AJ38" i="19"/>
  <c r="AK38" i="19"/>
  <c r="AL38" i="19"/>
  <c r="AM38" i="19"/>
  <c r="AN38" i="19"/>
  <c r="AO38" i="19"/>
  <c r="AP38" i="19"/>
  <c r="AQ38" i="19"/>
  <c r="AF220" i="19"/>
  <c r="AG220" i="19"/>
  <c r="AH220" i="19"/>
  <c r="AI220" i="19"/>
  <c r="AJ220" i="19"/>
  <c r="AK220" i="19"/>
  <c r="AL220" i="19"/>
  <c r="AM220" i="19"/>
  <c r="AN220" i="19"/>
  <c r="AO220" i="19"/>
  <c r="AP220" i="19"/>
  <c r="AQ220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Q187" i="19"/>
  <c r="AF221" i="19"/>
  <c r="AG221" i="19"/>
  <c r="AH221" i="19"/>
  <c r="AI221" i="19"/>
  <c r="AJ221" i="19"/>
  <c r="AK221" i="19"/>
  <c r="AL221" i="19"/>
  <c r="AM221" i="19"/>
  <c r="AN221" i="19"/>
  <c r="AO221" i="19"/>
  <c r="AP221" i="19"/>
  <c r="AQ221" i="19"/>
  <c r="AF222" i="19"/>
  <c r="AG222" i="19"/>
  <c r="AH222" i="19"/>
  <c r="AI222" i="19"/>
  <c r="AJ222" i="19"/>
  <c r="AK222" i="19"/>
  <c r="AL222" i="19"/>
  <c r="AM222" i="19"/>
  <c r="AN222" i="19"/>
  <c r="AO222" i="19"/>
  <c r="AP222" i="19"/>
  <c r="AQ222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Q188" i="19"/>
  <c r="AF113" i="19"/>
  <c r="AG113" i="19"/>
  <c r="AH113" i="19"/>
  <c r="AI113" i="19"/>
  <c r="AJ113" i="19"/>
  <c r="AK113" i="19"/>
  <c r="AL113" i="19"/>
  <c r="AM113" i="19"/>
  <c r="AN113" i="19"/>
  <c r="AO113" i="19"/>
  <c r="AP113" i="19"/>
  <c r="AQ113" i="19"/>
  <c r="AF294" i="19"/>
  <c r="AG294" i="19"/>
  <c r="AH294" i="19"/>
  <c r="AI294" i="19"/>
  <c r="AJ294" i="19"/>
  <c r="AK294" i="19"/>
  <c r="AL294" i="19"/>
  <c r="AM294" i="19"/>
  <c r="AN294" i="19"/>
  <c r="AO294" i="19"/>
  <c r="AP294" i="19"/>
  <c r="AQ294" i="19"/>
  <c r="AF75" i="19"/>
  <c r="AG75" i="19"/>
  <c r="AH75" i="19"/>
  <c r="AI75" i="19"/>
  <c r="AJ75" i="19"/>
  <c r="AK75" i="19"/>
  <c r="AL75" i="19"/>
  <c r="AM75" i="19"/>
  <c r="AN75" i="19"/>
  <c r="AO75" i="19"/>
  <c r="AP75" i="19"/>
  <c r="AQ75" i="19"/>
  <c r="AF25" i="19"/>
  <c r="AG25" i="19"/>
  <c r="AH25" i="19"/>
  <c r="AI25" i="19"/>
  <c r="AJ25" i="19"/>
  <c r="AK25" i="19"/>
  <c r="AL25" i="19"/>
  <c r="AM25" i="19"/>
  <c r="AN25" i="19"/>
  <c r="AO25" i="19"/>
  <c r="AP25" i="19"/>
  <c r="AQ25" i="19"/>
  <c r="AF42" i="19"/>
  <c r="AG42" i="19"/>
  <c r="AI42" i="19"/>
  <c r="AJ42" i="19"/>
  <c r="AK42" i="19"/>
  <c r="AL42" i="19"/>
  <c r="AM42" i="19"/>
  <c r="AN42" i="19"/>
  <c r="AO42" i="19"/>
  <c r="AP42" i="19"/>
  <c r="AQ42" i="19"/>
  <c r="AF8" i="19"/>
  <c r="AG8" i="19"/>
  <c r="AH8" i="19"/>
  <c r="AI8" i="19"/>
  <c r="AJ8" i="19"/>
  <c r="AK8" i="19"/>
  <c r="AL8" i="19"/>
  <c r="AM8" i="19"/>
  <c r="AN8" i="19"/>
  <c r="AO8" i="19"/>
  <c r="AP8" i="19"/>
  <c r="AQ8" i="19"/>
  <c r="AF26" i="19"/>
  <c r="AG26" i="19"/>
  <c r="AH26" i="19"/>
  <c r="AI26" i="19"/>
  <c r="AJ26" i="19"/>
  <c r="AK26" i="19"/>
  <c r="AL26" i="19"/>
  <c r="AM26" i="19"/>
  <c r="AN26" i="19"/>
  <c r="AO26" i="19"/>
  <c r="AP26" i="19"/>
  <c r="AQ26" i="19"/>
  <c r="AF295" i="19"/>
  <c r="AG295" i="19"/>
  <c r="AH295" i="19"/>
  <c r="AI295" i="19"/>
  <c r="AJ295" i="19"/>
  <c r="AK295" i="19"/>
  <c r="AL295" i="19"/>
  <c r="AM295" i="19"/>
  <c r="AN295" i="19"/>
  <c r="AO295" i="19"/>
  <c r="AP295" i="19"/>
  <c r="AQ295" i="19"/>
  <c r="AF76" i="19"/>
  <c r="AG76" i="19"/>
  <c r="AH76" i="19"/>
  <c r="AI76" i="19"/>
  <c r="AJ76" i="19"/>
  <c r="AK76" i="19"/>
  <c r="AL76" i="19"/>
  <c r="AM76" i="19"/>
  <c r="AN76" i="19"/>
  <c r="AO76" i="19"/>
  <c r="AP76" i="19"/>
  <c r="AQ76" i="19"/>
  <c r="AF284" i="19"/>
  <c r="AG284" i="19"/>
  <c r="AH284" i="19"/>
  <c r="AI284" i="19"/>
  <c r="AJ284" i="19"/>
  <c r="AK284" i="19"/>
  <c r="AL284" i="19"/>
  <c r="AM284" i="19"/>
  <c r="AN284" i="19"/>
  <c r="AO284" i="19"/>
  <c r="AP284" i="19"/>
  <c r="AQ284" i="19"/>
  <c r="AF223" i="19"/>
  <c r="AG223" i="19"/>
  <c r="AH223" i="19"/>
  <c r="AI223" i="19"/>
  <c r="AJ223" i="19"/>
  <c r="AK223" i="19"/>
  <c r="AL223" i="19"/>
  <c r="AM223" i="19"/>
  <c r="AN223" i="19"/>
  <c r="AO223" i="19"/>
  <c r="AP223" i="19"/>
  <c r="AQ223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Q189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F77" i="19"/>
  <c r="AG77" i="19"/>
  <c r="AH77" i="19"/>
  <c r="AI77" i="19"/>
  <c r="AJ77" i="19"/>
  <c r="AK77" i="19"/>
  <c r="AL77" i="19"/>
  <c r="AM77" i="19"/>
  <c r="AN77" i="19"/>
  <c r="AO77" i="19"/>
  <c r="AP77" i="19"/>
  <c r="AQ77" i="19"/>
  <c r="AF27" i="19"/>
  <c r="AG27" i="19"/>
  <c r="AH27" i="19"/>
  <c r="AI27" i="19"/>
  <c r="AJ27" i="19"/>
  <c r="AK27" i="19"/>
  <c r="AL27" i="19"/>
  <c r="AM27" i="19"/>
  <c r="AN27" i="19"/>
  <c r="AO27" i="19"/>
  <c r="AP27" i="19"/>
  <c r="AQ27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Q164" i="19"/>
  <c r="AF43" i="19"/>
  <c r="AG43" i="19"/>
  <c r="AJ43" i="19"/>
  <c r="AK43" i="19"/>
  <c r="AL43" i="19"/>
  <c r="AM43" i="19"/>
  <c r="AN43" i="19"/>
  <c r="AO43" i="19"/>
  <c r="AP43" i="19"/>
  <c r="AQ43" i="19"/>
  <c r="AF44" i="19"/>
  <c r="AG44" i="19"/>
  <c r="AI44" i="19"/>
  <c r="AJ44" i="19"/>
  <c r="AK44" i="19"/>
  <c r="AL44" i="19"/>
  <c r="AM44" i="19"/>
  <c r="AN44" i="19"/>
  <c r="AO44" i="19"/>
  <c r="AP44" i="19"/>
  <c r="AQ4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Q165" i="19"/>
  <c r="AF78" i="19"/>
  <c r="AG78" i="19"/>
  <c r="AH78" i="19"/>
  <c r="AI78" i="19"/>
  <c r="AJ78" i="19"/>
  <c r="AK78" i="19"/>
  <c r="AL78" i="19"/>
  <c r="AM78" i="19"/>
  <c r="AN78" i="19"/>
  <c r="AO78" i="19"/>
  <c r="AP78" i="19"/>
  <c r="AQ78" i="19"/>
  <c r="AF224" i="19"/>
  <c r="AG224" i="19"/>
  <c r="AH224" i="19"/>
  <c r="AI224" i="19"/>
  <c r="AJ224" i="19"/>
  <c r="AK224" i="19"/>
  <c r="AL224" i="19"/>
  <c r="AM224" i="19"/>
  <c r="AN224" i="19"/>
  <c r="AO224" i="19"/>
  <c r="AP224" i="19"/>
  <c r="AQ224" i="19"/>
  <c r="AF135" i="19"/>
  <c r="AG135" i="19"/>
  <c r="AH135" i="19"/>
  <c r="AI135" i="19"/>
  <c r="AJ135" i="19"/>
  <c r="AK135" i="19"/>
  <c r="AL135" i="19"/>
  <c r="AM135" i="19"/>
  <c r="AN135" i="19"/>
  <c r="AO135" i="19"/>
  <c r="AP135" i="19"/>
  <c r="AQ135" i="19"/>
  <c r="AF97" i="19"/>
  <c r="AH97" i="19"/>
  <c r="AI97" i="19"/>
  <c r="AJ97" i="19"/>
  <c r="AK97" i="19"/>
  <c r="AL97" i="19"/>
  <c r="AM97" i="19"/>
  <c r="AN97" i="19"/>
  <c r="AO97" i="19"/>
  <c r="AP97" i="19"/>
  <c r="AQ97" i="19"/>
  <c r="AF269" i="19"/>
  <c r="AG269" i="19"/>
  <c r="AH269" i="19"/>
  <c r="AI269" i="19"/>
  <c r="AJ269" i="19"/>
  <c r="AK269" i="19"/>
  <c r="AL269" i="19"/>
  <c r="AM269" i="19"/>
  <c r="AN269" i="19"/>
  <c r="AO269" i="19"/>
  <c r="AP269" i="19"/>
  <c r="AQ269" i="19"/>
  <c r="AF270" i="19"/>
  <c r="AG270" i="19"/>
  <c r="AH270" i="19"/>
  <c r="AI270" i="19"/>
  <c r="AJ270" i="19"/>
  <c r="AK270" i="19"/>
  <c r="AL270" i="19"/>
  <c r="AM270" i="19"/>
  <c r="AN270" i="19"/>
  <c r="AO270" i="19"/>
  <c r="AP270" i="19"/>
  <c r="AQ270" i="19"/>
  <c r="AF271" i="19"/>
  <c r="AG271" i="19"/>
  <c r="AH271" i="19"/>
  <c r="AI271" i="19"/>
  <c r="AJ271" i="19"/>
  <c r="AK271" i="19"/>
  <c r="AL271" i="19"/>
  <c r="AM271" i="19"/>
  <c r="AN271" i="19"/>
  <c r="AO271" i="19"/>
  <c r="AP271" i="19"/>
  <c r="AQ271" i="19"/>
  <c r="AF136" i="19"/>
  <c r="AG136" i="19"/>
  <c r="AH136" i="19"/>
  <c r="AI136" i="19"/>
  <c r="AJ136" i="19"/>
  <c r="AK136" i="19"/>
  <c r="AL136" i="19"/>
  <c r="AM136" i="19"/>
  <c r="AN136" i="19"/>
  <c r="AO136" i="19"/>
  <c r="AP136" i="19"/>
  <c r="AQ136" i="19"/>
  <c r="AF137" i="19"/>
  <c r="AG137" i="19"/>
  <c r="AH137" i="19"/>
  <c r="AI137" i="19"/>
  <c r="AJ137" i="19"/>
  <c r="AK137" i="19"/>
  <c r="AL137" i="19"/>
  <c r="AM137" i="19"/>
  <c r="AN137" i="19"/>
  <c r="AO137" i="19"/>
  <c r="AP137" i="19"/>
  <c r="AQ137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Q166" i="19"/>
  <c r="AF242" i="19"/>
  <c r="AG242" i="19"/>
  <c r="AH242" i="19"/>
  <c r="AI242" i="19"/>
  <c r="AJ242" i="19"/>
  <c r="AK242" i="19"/>
  <c r="AL242" i="19"/>
  <c r="AM242" i="19"/>
  <c r="AN242" i="19"/>
  <c r="AO242" i="19"/>
  <c r="AP242" i="19"/>
  <c r="AQ242" i="19"/>
  <c r="AF296" i="19"/>
  <c r="AG296" i="19"/>
  <c r="AH296" i="19"/>
  <c r="AI296" i="19"/>
  <c r="AJ296" i="19"/>
  <c r="AK296" i="19"/>
  <c r="AL296" i="19"/>
  <c r="AM296" i="19"/>
  <c r="AN296" i="19"/>
  <c r="AO296" i="19"/>
  <c r="AP296" i="19"/>
  <c r="AQ296" i="19"/>
  <c r="AF98" i="19"/>
  <c r="AG98" i="19"/>
  <c r="AH98" i="19"/>
  <c r="AI98" i="19"/>
  <c r="AJ98" i="19"/>
  <c r="AK98" i="19"/>
  <c r="AL98" i="19"/>
  <c r="AM98" i="19"/>
  <c r="AN98" i="19"/>
  <c r="AO98" i="19"/>
  <c r="AP98" i="19"/>
  <c r="AQ98" i="19"/>
  <c r="AF297" i="19"/>
  <c r="AG297" i="19"/>
  <c r="AH297" i="19"/>
  <c r="AI297" i="19"/>
  <c r="AJ297" i="19"/>
  <c r="AK297" i="19"/>
  <c r="AL297" i="19"/>
  <c r="AM297" i="19"/>
  <c r="AN297" i="19"/>
  <c r="AO297" i="19"/>
  <c r="AP297" i="19"/>
  <c r="AQ297" i="19"/>
  <c r="AF285" i="19"/>
  <c r="AG285" i="19"/>
  <c r="AH285" i="19"/>
  <c r="AI285" i="19"/>
  <c r="AJ285" i="19"/>
  <c r="AK285" i="19"/>
  <c r="AL285" i="19"/>
  <c r="AM285" i="19"/>
  <c r="AN285" i="19"/>
  <c r="AO285" i="19"/>
  <c r="AP285" i="19"/>
  <c r="AQ285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Q191" i="19"/>
  <c r="AF192" i="19"/>
  <c r="AG192" i="19"/>
  <c r="AH192" i="19"/>
  <c r="AJ192" i="19"/>
  <c r="AK192" i="19"/>
  <c r="AL192" i="19"/>
  <c r="AM192" i="19"/>
  <c r="AN192" i="19"/>
  <c r="AO192" i="19"/>
  <c r="AP192" i="19"/>
  <c r="AQ192" i="19"/>
  <c r="AF298" i="19"/>
  <c r="AG298" i="19"/>
  <c r="AH298" i="19"/>
  <c r="AI298" i="19"/>
  <c r="AJ298" i="19"/>
  <c r="AK298" i="19"/>
  <c r="AL298" i="19"/>
  <c r="AM298" i="19"/>
  <c r="AN298" i="19"/>
  <c r="AO298" i="19"/>
  <c r="AP298" i="19"/>
  <c r="AQ298" i="19"/>
  <c r="AF46" i="19"/>
  <c r="AG46" i="19"/>
  <c r="AH46" i="19"/>
  <c r="AI46" i="19"/>
  <c r="AJ46" i="19"/>
  <c r="AK46" i="19"/>
  <c r="AL46" i="19"/>
  <c r="AM46" i="19"/>
  <c r="AN46" i="19"/>
  <c r="AO46" i="19"/>
  <c r="AP46" i="19"/>
  <c r="AQ46" i="19"/>
  <c r="AF138" i="19"/>
  <c r="AG138" i="19"/>
  <c r="AH138" i="19"/>
  <c r="AI138" i="19"/>
  <c r="AJ138" i="19"/>
  <c r="AK138" i="19"/>
  <c r="AL138" i="19"/>
  <c r="AM138" i="19"/>
  <c r="AN138" i="19"/>
  <c r="AO138" i="19"/>
  <c r="AP138" i="19"/>
  <c r="AQ138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F225" i="19"/>
  <c r="AG225" i="19"/>
  <c r="AH225" i="19"/>
  <c r="AI225" i="19"/>
  <c r="AJ225" i="19"/>
  <c r="AK225" i="19"/>
  <c r="AL225" i="19"/>
  <c r="AM225" i="19"/>
  <c r="AN225" i="19"/>
  <c r="AO225" i="19"/>
  <c r="AP225" i="19"/>
  <c r="AQ225" i="19"/>
  <c r="AF299" i="19"/>
  <c r="AG299" i="19"/>
  <c r="AH299" i="19"/>
  <c r="AI299" i="19"/>
  <c r="AJ299" i="19"/>
  <c r="AK299" i="19"/>
  <c r="AL299" i="19"/>
  <c r="AM299" i="19"/>
  <c r="AN299" i="19"/>
  <c r="AO299" i="19"/>
  <c r="AP299" i="19"/>
  <c r="AQ299" i="19"/>
  <c r="AF168" i="19"/>
  <c r="AG168" i="19"/>
  <c r="AH168" i="19"/>
  <c r="AI168" i="19"/>
  <c r="AJ168" i="19"/>
  <c r="AK168" i="19"/>
  <c r="AL168" i="19"/>
  <c r="AM168" i="19"/>
  <c r="AN168" i="19"/>
  <c r="AO168" i="19"/>
  <c r="AP168" i="19"/>
  <c r="AQ168" i="19"/>
  <c r="AF300" i="19"/>
  <c r="AG300" i="19"/>
  <c r="AH300" i="19"/>
  <c r="AI300" i="19"/>
  <c r="AJ300" i="19"/>
  <c r="AK300" i="19"/>
  <c r="AL300" i="19"/>
  <c r="AM300" i="19"/>
  <c r="AN300" i="19"/>
  <c r="AO300" i="19"/>
  <c r="AP300" i="19"/>
  <c r="AQ300" i="19"/>
  <c r="AF114" i="19"/>
  <c r="AG114" i="19"/>
  <c r="AH114" i="19"/>
  <c r="AI114" i="19"/>
  <c r="AJ114" i="19"/>
  <c r="AK114" i="19"/>
  <c r="AL114" i="19"/>
  <c r="AM114" i="19"/>
  <c r="AN114" i="19"/>
  <c r="AO114" i="19"/>
  <c r="AP114" i="19"/>
  <c r="AQ114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Q193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F47" i="19"/>
  <c r="AG47" i="19"/>
  <c r="AH47" i="19"/>
  <c r="AI47" i="19"/>
  <c r="AJ47" i="19"/>
  <c r="AK47" i="19"/>
  <c r="AL47" i="19"/>
  <c r="AM47" i="19"/>
  <c r="AN47" i="19"/>
  <c r="AO47" i="19"/>
  <c r="AP47" i="19"/>
  <c r="AQ47" i="19"/>
  <c r="AF255" i="19"/>
  <c r="AG255" i="19"/>
  <c r="AH255" i="19"/>
  <c r="AI255" i="19"/>
  <c r="AJ255" i="19"/>
  <c r="AK255" i="19"/>
  <c r="AL255" i="19"/>
  <c r="AM255" i="19"/>
  <c r="AN255" i="19"/>
  <c r="AO255" i="19"/>
  <c r="AP255" i="19"/>
  <c r="AQ255" i="19"/>
  <c r="AI125" i="19"/>
  <c r="AJ125" i="19"/>
  <c r="AK125" i="19"/>
  <c r="AL125" i="19"/>
  <c r="AM125" i="19"/>
  <c r="AN125" i="19"/>
  <c r="AO125" i="19"/>
  <c r="AP125" i="19"/>
  <c r="AQ125" i="19"/>
  <c r="AF139" i="19"/>
  <c r="AG139" i="19"/>
  <c r="AH139" i="19"/>
  <c r="AI139" i="19"/>
  <c r="AJ139" i="19"/>
  <c r="AK139" i="19"/>
  <c r="AL139" i="19"/>
  <c r="AM139" i="19"/>
  <c r="AN139" i="19"/>
  <c r="AO139" i="19"/>
  <c r="AP139" i="19"/>
  <c r="AQ139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Q140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F99" i="19"/>
  <c r="AG99" i="19"/>
  <c r="AH99" i="19"/>
  <c r="AI99" i="19"/>
  <c r="AJ99" i="19"/>
  <c r="AK99" i="19"/>
  <c r="AL99" i="19"/>
  <c r="AM99" i="19"/>
  <c r="AN99" i="19"/>
  <c r="AO99" i="19"/>
  <c r="AP99" i="19"/>
  <c r="AQ99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F243" i="19"/>
  <c r="AG243" i="19"/>
  <c r="AH243" i="19"/>
  <c r="AI243" i="19"/>
  <c r="AJ243" i="19"/>
  <c r="AK243" i="19"/>
  <c r="AL243" i="19"/>
  <c r="AM243" i="19"/>
  <c r="AN243" i="19"/>
  <c r="AO243" i="19"/>
  <c r="AP243" i="19"/>
  <c r="AQ243" i="19"/>
  <c r="AF100" i="19"/>
  <c r="AG100" i="19"/>
  <c r="AH100" i="19"/>
  <c r="AI100" i="19"/>
  <c r="AJ100" i="19"/>
  <c r="AK100" i="19"/>
  <c r="AL100" i="19"/>
  <c r="AM100" i="19"/>
  <c r="AN100" i="19"/>
  <c r="AO100" i="19"/>
  <c r="AP100" i="19"/>
  <c r="AQ100" i="19"/>
  <c r="AF256" i="19"/>
  <c r="AG256" i="19"/>
  <c r="AH256" i="19"/>
  <c r="AI256" i="19"/>
  <c r="AJ256" i="19"/>
  <c r="AK256" i="19"/>
  <c r="AL256" i="19"/>
  <c r="AM256" i="19"/>
  <c r="AN256" i="19"/>
  <c r="AO256" i="19"/>
  <c r="AP256" i="19"/>
  <c r="AQ256" i="19"/>
  <c r="AF227" i="19"/>
  <c r="AG227" i="19"/>
  <c r="AH227" i="19"/>
  <c r="AI227" i="19"/>
  <c r="AJ227" i="19"/>
  <c r="AK227" i="19"/>
  <c r="AL227" i="19"/>
  <c r="AM227" i="19"/>
  <c r="AN227" i="19"/>
  <c r="AO227" i="19"/>
  <c r="AP227" i="19"/>
  <c r="AQ227" i="19"/>
  <c r="AF286" i="19"/>
  <c r="AG286" i="19"/>
  <c r="AH286" i="19"/>
  <c r="AI286" i="19"/>
  <c r="AJ286" i="19"/>
  <c r="AK286" i="19"/>
  <c r="AL286" i="19"/>
  <c r="AM286" i="19"/>
  <c r="AN286" i="19"/>
  <c r="AO286" i="19"/>
  <c r="AP286" i="19"/>
  <c r="AQ286" i="19"/>
  <c r="AF287" i="19"/>
  <c r="AG287" i="19"/>
  <c r="AH287" i="19"/>
  <c r="AI287" i="19"/>
  <c r="AJ287" i="19"/>
  <c r="AK287" i="19"/>
  <c r="AL287" i="19"/>
  <c r="AM287" i="19"/>
  <c r="AN287" i="19"/>
  <c r="AO287" i="19"/>
  <c r="AP287" i="19"/>
  <c r="AQ287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AF49" i="19"/>
  <c r="AG49" i="19"/>
  <c r="AH49" i="19"/>
  <c r="AI49" i="19"/>
  <c r="AJ49" i="19"/>
  <c r="AK49" i="19"/>
  <c r="AL49" i="19"/>
  <c r="AM49" i="19"/>
  <c r="AN49" i="19"/>
  <c r="AO49" i="19"/>
  <c r="AP49" i="19"/>
  <c r="AQ49" i="19"/>
  <c r="AF197" i="19"/>
  <c r="AG197" i="19"/>
  <c r="AH197" i="19"/>
  <c r="AI197" i="19"/>
  <c r="AJ197" i="19"/>
  <c r="AK197" i="19"/>
  <c r="AL197" i="19"/>
  <c r="AM197" i="19"/>
  <c r="AN197" i="19"/>
  <c r="AO197" i="19"/>
  <c r="AP197" i="19"/>
  <c r="AQ197" i="19"/>
  <c r="AF198" i="19"/>
  <c r="AG198" i="19"/>
  <c r="AH198" i="19"/>
  <c r="AI198" i="19"/>
  <c r="AJ198" i="19"/>
  <c r="AK198" i="19"/>
  <c r="AL198" i="19"/>
  <c r="AM198" i="19"/>
  <c r="AN198" i="19"/>
  <c r="AO198" i="19"/>
  <c r="AP198" i="19"/>
  <c r="AQ198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Q169" i="19"/>
  <c r="AF115" i="19"/>
  <c r="AG115" i="19"/>
  <c r="AH115" i="19"/>
  <c r="AI115" i="19"/>
  <c r="AJ115" i="19"/>
  <c r="AK115" i="19"/>
  <c r="AL115" i="19"/>
  <c r="AM115" i="19"/>
  <c r="AN115" i="19"/>
  <c r="AO115" i="19"/>
  <c r="AP115" i="19"/>
  <c r="AQ115" i="19"/>
  <c r="AF301" i="19"/>
  <c r="AG301" i="19"/>
  <c r="AH301" i="19"/>
  <c r="AI301" i="19"/>
  <c r="AJ301" i="19"/>
  <c r="AK301" i="19"/>
  <c r="AL301" i="19"/>
  <c r="AM301" i="19"/>
  <c r="AN301" i="19"/>
  <c r="AO301" i="19"/>
  <c r="AP301" i="19"/>
  <c r="AQ301" i="19"/>
  <c r="AF228" i="19"/>
  <c r="AG228" i="19"/>
  <c r="AH228" i="19"/>
  <c r="AI228" i="19"/>
  <c r="AJ228" i="19"/>
  <c r="AK228" i="19"/>
  <c r="AL228" i="19"/>
  <c r="AM228" i="19"/>
  <c r="AN228" i="19"/>
  <c r="AO228" i="19"/>
  <c r="AP228" i="19"/>
  <c r="AQ228" i="19"/>
  <c r="AF50" i="19"/>
  <c r="AG50" i="19"/>
  <c r="AH50" i="19"/>
  <c r="AI50" i="19"/>
  <c r="AJ50" i="19"/>
  <c r="AK50" i="19"/>
  <c r="AL50" i="19"/>
  <c r="AM50" i="19"/>
  <c r="AN50" i="19"/>
  <c r="AO50" i="19"/>
  <c r="AP50" i="19"/>
  <c r="AQ50" i="19"/>
  <c r="AF302" i="19"/>
  <c r="AG302" i="19"/>
  <c r="AH302" i="19"/>
  <c r="AI302" i="19"/>
  <c r="AJ302" i="19"/>
  <c r="AK302" i="19"/>
  <c r="AL302" i="19"/>
  <c r="AM302" i="19"/>
  <c r="AN302" i="19"/>
  <c r="AO302" i="19"/>
  <c r="AP302" i="19"/>
  <c r="AQ302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AF79" i="19"/>
  <c r="AG79" i="19"/>
  <c r="AH79" i="19"/>
  <c r="AI79" i="19"/>
  <c r="AJ79" i="19"/>
  <c r="AK79" i="19"/>
  <c r="AL79" i="19"/>
  <c r="AM79" i="19"/>
  <c r="AN79" i="19"/>
  <c r="AO79" i="19"/>
  <c r="AP79" i="19"/>
  <c r="AQ79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Q170" i="19"/>
  <c r="AF51" i="19"/>
  <c r="AG51" i="19"/>
  <c r="AH51" i="19"/>
  <c r="AI51" i="19"/>
  <c r="AJ51" i="19"/>
  <c r="AK51" i="19"/>
  <c r="AL51" i="19"/>
  <c r="AM51" i="19"/>
  <c r="AN51" i="19"/>
  <c r="AO51" i="19"/>
  <c r="AP51" i="19"/>
  <c r="AQ51" i="19"/>
  <c r="AF303" i="19"/>
  <c r="AG303" i="19"/>
  <c r="AH303" i="19"/>
  <c r="AI303" i="19"/>
  <c r="AJ303" i="19"/>
  <c r="AK303" i="19"/>
  <c r="AL303" i="19"/>
  <c r="AM303" i="19"/>
  <c r="AN303" i="19"/>
  <c r="AO303" i="19"/>
  <c r="AP303" i="19"/>
  <c r="AQ303" i="19"/>
  <c r="AF141" i="19"/>
  <c r="AG141" i="19"/>
  <c r="AH141" i="19"/>
  <c r="AI141" i="19"/>
  <c r="AJ141" i="19"/>
  <c r="AK141" i="19"/>
  <c r="AL141" i="19"/>
  <c r="AM141" i="19"/>
  <c r="AN141" i="19"/>
  <c r="AO141" i="19"/>
  <c r="AP141" i="19"/>
  <c r="AQ141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Q142" i="19"/>
  <c r="AF52" i="19"/>
  <c r="AG52" i="19"/>
  <c r="AH52" i="19"/>
  <c r="AI52" i="19"/>
  <c r="AJ52" i="19"/>
  <c r="AK52" i="19"/>
  <c r="AL52" i="19"/>
  <c r="AM52" i="19"/>
  <c r="AN52" i="19"/>
  <c r="AO52" i="19"/>
  <c r="AP52" i="19"/>
  <c r="AQ52" i="19"/>
  <c r="AF171" i="19"/>
  <c r="AH171" i="19"/>
  <c r="AI171" i="19"/>
  <c r="AJ171" i="19"/>
  <c r="AK171" i="19"/>
  <c r="AL171" i="19"/>
  <c r="AM171" i="19"/>
  <c r="AN171" i="19"/>
  <c r="AO171" i="19"/>
  <c r="AP171" i="19"/>
  <c r="AQ171" i="19"/>
  <c r="AF304" i="19"/>
  <c r="AG304" i="19"/>
  <c r="AH304" i="19"/>
  <c r="AI304" i="19"/>
  <c r="AJ304" i="19"/>
  <c r="AK304" i="19"/>
  <c r="AL304" i="19"/>
  <c r="AM304" i="19"/>
  <c r="AN304" i="19"/>
  <c r="AO304" i="19"/>
  <c r="AP304" i="19"/>
  <c r="AQ304" i="19"/>
  <c r="AF199" i="19"/>
  <c r="AG199" i="19"/>
  <c r="AH199" i="19"/>
  <c r="AI199" i="19"/>
  <c r="AJ199" i="19"/>
  <c r="AK199" i="19"/>
  <c r="AL199" i="19"/>
  <c r="AM199" i="19"/>
  <c r="AN199" i="19"/>
  <c r="AO199" i="19"/>
  <c r="AP199" i="19"/>
  <c r="AQ199" i="19"/>
  <c r="AF272" i="19"/>
  <c r="AG272" i="19"/>
  <c r="AH272" i="19"/>
  <c r="AI272" i="19"/>
  <c r="AJ272" i="19"/>
  <c r="AK272" i="19"/>
  <c r="AL272" i="19"/>
  <c r="AM272" i="19"/>
  <c r="AN272" i="19"/>
  <c r="AO272" i="19"/>
  <c r="AP272" i="19"/>
  <c r="AQ272" i="19"/>
  <c r="AF80" i="19"/>
  <c r="AG80" i="19"/>
  <c r="AH80" i="19"/>
  <c r="AI80" i="19"/>
  <c r="AJ80" i="19"/>
  <c r="AK80" i="19"/>
  <c r="AL80" i="19"/>
  <c r="AM80" i="19"/>
  <c r="AN80" i="19"/>
  <c r="AO80" i="19"/>
  <c r="AP80" i="19"/>
  <c r="AQ80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Q143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Q144" i="19"/>
  <c r="AF53" i="19"/>
  <c r="AG53" i="19"/>
  <c r="AH53" i="19"/>
  <c r="AI53" i="19"/>
  <c r="AJ53" i="19"/>
  <c r="AK53" i="19"/>
  <c r="AL53" i="19"/>
  <c r="AM53" i="19"/>
  <c r="AN53" i="19"/>
  <c r="AO53" i="19"/>
  <c r="AP53" i="19"/>
  <c r="AQ53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AQ145" i="19"/>
  <c r="AF116" i="19"/>
  <c r="AG116" i="19"/>
  <c r="AH116" i="19"/>
  <c r="AI116" i="19"/>
  <c r="AJ116" i="19"/>
  <c r="AK116" i="19"/>
  <c r="AL116" i="19"/>
  <c r="AM116" i="19"/>
  <c r="AN116" i="19"/>
  <c r="AO116" i="19"/>
  <c r="AP116" i="19"/>
  <c r="AQ116" i="19"/>
  <c r="AF305" i="19"/>
  <c r="AG305" i="19"/>
  <c r="AH305" i="19"/>
  <c r="AI305" i="19"/>
  <c r="AJ305" i="19"/>
  <c r="AK305" i="19"/>
  <c r="AL305" i="19"/>
  <c r="AM305" i="19"/>
  <c r="AN305" i="19"/>
  <c r="AO305" i="19"/>
  <c r="AP305" i="19"/>
  <c r="AQ305" i="19"/>
  <c r="AF244" i="19"/>
  <c r="AG244" i="19"/>
  <c r="AH244" i="19"/>
  <c r="AI244" i="19"/>
  <c r="AJ244" i="19"/>
  <c r="AK244" i="19"/>
  <c r="AL244" i="19"/>
  <c r="AM244" i="19"/>
  <c r="AN244" i="19"/>
  <c r="AO244" i="19"/>
  <c r="AP244" i="19"/>
  <c r="AQ244" i="19"/>
  <c r="AF273" i="19"/>
  <c r="AG273" i="19"/>
  <c r="AH273" i="19"/>
  <c r="AI273" i="19"/>
  <c r="AJ273" i="19"/>
  <c r="AK273" i="19"/>
  <c r="AL273" i="19"/>
  <c r="AM273" i="19"/>
  <c r="AN273" i="19"/>
  <c r="AO273" i="19"/>
  <c r="AP273" i="19"/>
  <c r="AQ273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F306" i="19"/>
  <c r="AG306" i="19"/>
  <c r="AH306" i="19"/>
  <c r="AI306" i="19"/>
  <c r="AJ306" i="19"/>
  <c r="AK306" i="19"/>
  <c r="AL306" i="19"/>
  <c r="AM306" i="19"/>
  <c r="AN306" i="19"/>
  <c r="AO306" i="19"/>
  <c r="AP306" i="19"/>
  <c r="AQ306" i="19"/>
  <c r="AF82" i="19"/>
  <c r="AG82" i="19"/>
  <c r="AH82" i="19"/>
  <c r="AI82" i="19"/>
  <c r="AJ82" i="19"/>
  <c r="AK82" i="19"/>
  <c r="AL82" i="19"/>
  <c r="AM82" i="19"/>
  <c r="AN82" i="19"/>
  <c r="AO82" i="19"/>
  <c r="AP82" i="19"/>
  <c r="AQ82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AQ146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Q200" i="19"/>
  <c r="AF40" i="19"/>
  <c r="AG40" i="19"/>
  <c r="AH40" i="19"/>
  <c r="AI40" i="19"/>
  <c r="AJ40" i="19"/>
  <c r="AK40" i="19"/>
  <c r="AL40" i="19"/>
  <c r="AM40" i="19"/>
  <c r="AN40" i="19"/>
  <c r="AO40" i="19"/>
  <c r="AP40" i="19"/>
  <c r="AQ40" i="19"/>
  <c r="AF28" i="19"/>
  <c r="AG28" i="19"/>
  <c r="AH28" i="19"/>
  <c r="AI28" i="19"/>
  <c r="AJ28" i="19"/>
  <c r="AK28" i="19"/>
  <c r="AL28" i="19"/>
  <c r="AM28" i="19"/>
  <c r="AN28" i="19"/>
  <c r="AO28" i="19"/>
  <c r="AP28" i="19"/>
  <c r="AQ28" i="19"/>
  <c r="AF245" i="19"/>
  <c r="AG245" i="19"/>
  <c r="AH245" i="19"/>
  <c r="AI245" i="19"/>
  <c r="AJ245" i="19"/>
  <c r="AK245" i="19"/>
  <c r="AL245" i="19"/>
  <c r="AM245" i="19"/>
  <c r="AN245" i="19"/>
  <c r="AO245" i="19"/>
  <c r="AP245" i="19"/>
  <c r="AQ245" i="19"/>
  <c r="AF54" i="19"/>
  <c r="AG54" i="19"/>
  <c r="AH54" i="19"/>
  <c r="AI54" i="19"/>
  <c r="AJ54" i="19"/>
  <c r="AK54" i="19"/>
  <c r="AL54" i="19"/>
  <c r="AM54" i="19"/>
  <c r="AN54" i="19"/>
  <c r="AO54" i="19"/>
  <c r="AP54" i="19"/>
  <c r="AQ54" i="19"/>
  <c r="AF83" i="19"/>
  <c r="AG83" i="19"/>
  <c r="AH83" i="19"/>
  <c r="AI83" i="19"/>
  <c r="AJ83" i="19"/>
  <c r="AK83" i="19"/>
  <c r="AL83" i="19"/>
  <c r="AM83" i="19"/>
  <c r="AN83" i="19"/>
  <c r="AO83" i="19"/>
  <c r="AP83" i="19"/>
  <c r="AQ83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Q101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F126" i="19"/>
  <c r="AH126" i="19"/>
  <c r="AI126" i="19"/>
  <c r="AJ126" i="19"/>
  <c r="AK126" i="19"/>
  <c r="AL126" i="19"/>
  <c r="AM126" i="19"/>
  <c r="AN126" i="19"/>
  <c r="AO126" i="19"/>
  <c r="AP126" i="19"/>
  <c r="AQ126" i="19"/>
  <c r="AF172" i="19"/>
  <c r="AH172" i="19"/>
  <c r="AI172" i="19"/>
  <c r="AJ172" i="19"/>
  <c r="AK172" i="19"/>
  <c r="AL172" i="19"/>
  <c r="AM172" i="19"/>
  <c r="AN172" i="19"/>
  <c r="AO172" i="19"/>
  <c r="AP172" i="19"/>
  <c r="AQ172" i="19"/>
  <c r="AF201" i="19"/>
  <c r="AG201" i="19"/>
  <c r="AH201" i="19"/>
  <c r="AI201" i="19"/>
  <c r="AJ201" i="19"/>
  <c r="AK201" i="19"/>
  <c r="AL201" i="19"/>
  <c r="AM201" i="19"/>
  <c r="AN201" i="19"/>
  <c r="AO201" i="19"/>
  <c r="AP201" i="19"/>
  <c r="AQ201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F202" i="19"/>
  <c r="AG202" i="19"/>
  <c r="AH202" i="19"/>
  <c r="AI202" i="19"/>
  <c r="AJ202" i="19"/>
  <c r="AK202" i="19"/>
  <c r="AL202" i="19"/>
  <c r="AM202" i="19"/>
  <c r="AN202" i="19"/>
  <c r="AO202" i="19"/>
  <c r="AP202" i="19"/>
  <c r="AQ202" i="19"/>
  <c r="AF103" i="19"/>
  <c r="AG103" i="19"/>
  <c r="AH103" i="19"/>
  <c r="AI103" i="19"/>
  <c r="AJ103" i="19"/>
  <c r="AK103" i="19"/>
  <c r="AL103" i="19"/>
  <c r="AM103" i="19"/>
  <c r="AN103" i="19"/>
  <c r="AO103" i="19"/>
  <c r="AP103" i="19"/>
  <c r="AQ103" i="19"/>
  <c r="AF274" i="19"/>
  <c r="AG274" i="19"/>
  <c r="AH274" i="19"/>
  <c r="AI274" i="19"/>
  <c r="AJ274" i="19"/>
  <c r="AK274" i="19"/>
  <c r="AL274" i="19"/>
  <c r="AM274" i="19"/>
  <c r="AN274" i="19"/>
  <c r="AO274" i="19"/>
  <c r="AP274" i="19"/>
  <c r="AQ274" i="19"/>
  <c r="AF29" i="19"/>
  <c r="AG29" i="19"/>
  <c r="AH29" i="19"/>
  <c r="AI29" i="19"/>
  <c r="AJ29" i="19"/>
  <c r="AK29" i="19"/>
  <c r="AL29" i="19"/>
  <c r="AM29" i="19"/>
  <c r="AN29" i="19"/>
  <c r="AO29" i="19"/>
  <c r="AP29" i="19"/>
  <c r="AQ29" i="19"/>
  <c r="AF203" i="19"/>
  <c r="AG203" i="19"/>
  <c r="AH203" i="19"/>
  <c r="AI203" i="19"/>
  <c r="AJ203" i="19"/>
  <c r="AK203" i="19"/>
  <c r="AL203" i="19"/>
  <c r="AM203" i="19"/>
  <c r="AN203" i="19"/>
  <c r="AO203" i="19"/>
  <c r="AP203" i="19"/>
  <c r="AQ203" i="19"/>
  <c r="AF204" i="19"/>
  <c r="AG204" i="19"/>
  <c r="AH204" i="19"/>
  <c r="AI204" i="19"/>
  <c r="AJ204" i="19"/>
  <c r="AK204" i="19"/>
  <c r="AL204" i="19"/>
  <c r="AM204" i="19"/>
  <c r="AN204" i="19"/>
  <c r="AO204" i="19"/>
  <c r="AP204" i="19"/>
  <c r="AQ204" i="19"/>
  <c r="AF205" i="19"/>
  <c r="AG205" i="19"/>
  <c r="AH205" i="19"/>
  <c r="AI205" i="19"/>
  <c r="AJ205" i="19"/>
  <c r="AK205" i="19"/>
  <c r="AL205" i="19"/>
  <c r="AM205" i="19"/>
  <c r="AN205" i="19"/>
  <c r="AO205" i="19"/>
  <c r="AP205" i="19"/>
  <c r="AQ205" i="19"/>
  <c r="AF55" i="19"/>
  <c r="AG55" i="19"/>
  <c r="AH55" i="19"/>
  <c r="AI55" i="19"/>
  <c r="AJ55" i="19"/>
  <c r="AK55" i="19"/>
  <c r="AL55" i="19"/>
  <c r="AM55" i="19"/>
  <c r="AN55" i="19"/>
  <c r="AO55" i="19"/>
  <c r="AP55" i="19"/>
  <c r="AQ55" i="19"/>
  <c r="AF56" i="19"/>
  <c r="AG56" i="19"/>
  <c r="AH56" i="19"/>
  <c r="AI56" i="19"/>
  <c r="AJ56" i="19"/>
  <c r="AK56" i="19"/>
  <c r="AL56" i="19"/>
  <c r="AM56" i="19"/>
  <c r="AN56" i="19"/>
  <c r="AO56" i="19"/>
  <c r="AP56" i="19"/>
  <c r="AQ56" i="19"/>
  <c r="AF104" i="19"/>
  <c r="AG104" i="19"/>
  <c r="AH104" i="19"/>
  <c r="AI104" i="19"/>
  <c r="AJ104" i="19"/>
  <c r="AK104" i="19"/>
  <c r="AL104" i="19"/>
  <c r="AM104" i="19"/>
  <c r="AN104" i="19"/>
  <c r="AO104" i="19"/>
  <c r="AP104" i="19"/>
  <c r="AQ104" i="19"/>
  <c r="AF105" i="19"/>
  <c r="AG105" i="19"/>
  <c r="AH105" i="19"/>
  <c r="AI105" i="19"/>
  <c r="AJ105" i="19"/>
  <c r="AK105" i="19"/>
  <c r="AL105" i="19"/>
  <c r="AM105" i="19"/>
  <c r="AN105" i="19"/>
  <c r="AO105" i="19"/>
  <c r="AP105" i="19"/>
  <c r="AQ105" i="19"/>
  <c r="AF206" i="19"/>
  <c r="AG206" i="19"/>
  <c r="AH206" i="19"/>
  <c r="AI206" i="19"/>
  <c r="AJ206" i="19"/>
  <c r="AK206" i="19"/>
  <c r="AL206" i="19"/>
  <c r="AM206" i="19"/>
  <c r="AN206" i="19"/>
  <c r="AO206" i="19"/>
  <c r="AP206" i="19"/>
  <c r="AQ206" i="19"/>
  <c r="AF11" i="19"/>
  <c r="AG11" i="19"/>
  <c r="AH11" i="19"/>
  <c r="AI11" i="19"/>
  <c r="AJ11" i="19"/>
  <c r="AK11" i="19"/>
  <c r="AL11" i="19"/>
  <c r="AM11" i="19"/>
  <c r="AN11" i="19"/>
  <c r="AO11" i="19"/>
  <c r="AP11" i="19"/>
  <c r="AQ11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Q173" i="19"/>
  <c r="AF288" i="19"/>
  <c r="AG288" i="19"/>
  <c r="AH288" i="19"/>
  <c r="AI288" i="19"/>
  <c r="AJ288" i="19"/>
  <c r="AK288" i="19"/>
  <c r="AL288" i="19"/>
  <c r="AM288" i="19"/>
  <c r="AN288" i="19"/>
  <c r="AO288" i="19"/>
  <c r="AP288" i="19"/>
  <c r="AQ288" i="19"/>
  <c r="AF117" i="19"/>
  <c r="AG117" i="19"/>
  <c r="AH117" i="19"/>
  <c r="AI117" i="19"/>
  <c r="AJ117" i="19"/>
  <c r="AK117" i="19"/>
  <c r="AL117" i="19"/>
  <c r="AM117" i="19"/>
  <c r="AN117" i="19"/>
  <c r="AO117" i="19"/>
  <c r="AP117" i="19"/>
  <c r="AQ117" i="19"/>
  <c r="AF229" i="19"/>
  <c r="AG229" i="19"/>
  <c r="AH229" i="19"/>
  <c r="AI229" i="19"/>
  <c r="AJ229" i="19"/>
  <c r="AK229" i="19"/>
  <c r="AL229" i="19"/>
  <c r="AM229" i="19"/>
  <c r="AN229" i="19"/>
  <c r="AO229" i="19"/>
  <c r="AP229" i="19"/>
  <c r="AQ229" i="19"/>
  <c r="AF45" i="19"/>
  <c r="AG45" i="19"/>
  <c r="AH45" i="19"/>
  <c r="AI45" i="19"/>
  <c r="AJ45" i="19"/>
  <c r="AK45" i="19"/>
  <c r="AL45" i="19"/>
  <c r="AM45" i="19"/>
  <c r="AN45" i="19"/>
  <c r="AO45" i="19"/>
  <c r="AP45" i="19"/>
  <c r="AQ45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Q233" i="19"/>
  <c r="AF210" i="19"/>
  <c r="AG210" i="19"/>
  <c r="AH210" i="19"/>
  <c r="AI210" i="19"/>
  <c r="AJ210" i="19"/>
  <c r="AK210" i="19"/>
  <c r="AL210" i="19"/>
  <c r="AM210" i="19"/>
  <c r="AN210" i="19"/>
  <c r="AO210" i="19"/>
  <c r="AP210" i="19"/>
  <c r="AQ210" i="19"/>
  <c r="AF69" i="19"/>
  <c r="AG69" i="19"/>
  <c r="AH69" i="19"/>
  <c r="AI69" i="19"/>
  <c r="AJ69" i="19"/>
  <c r="AK69" i="19"/>
  <c r="AL69" i="19"/>
  <c r="AM69" i="19"/>
  <c r="AN69" i="19"/>
  <c r="AO69" i="19"/>
  <c r="AP69" i="19"/>
  <c r="AQ69" i="19"/>
  <c r="AF291" i="19"/>
  <c r="AG291" i="19"/>
  <c r="AH291" i="19"/>
  <c r="AI291" i="19"/>
  <c r="AJ291" i="19"/>
  <c r="AK291" i="19"/>
  <c r="AL291" i="19"/>
  <c r="AM291" i="19"/>
  <c r="AN291" i="19"/>
  <c r="AO291" i="19"/>
  <c r="AP291" i="19"/>
  <c r="AQ291" i="19"/>
  <c r="AF281" i="19"/>
  <c r="AG281" i="19"/>
  <c r="AH281" i="19"/>
  <c r="AI281" i="19"/>
  <c r="AJ281" i="19"/>
  <c r="AK281" i="19"/>
  <c r="AL281" i="19"/>
  <c r="AM281" i="19"/>
  <c r="AN281" i="19"/>
  <c r="AO281" i="19"/>
  <c r="AP281" i="19"/>
  <c r="AQ281" i="19"/>
  <c r="AF217" i="19"/>
  <c r="AG217" i="19"/>
  <c r="AH217" i="19"/>
  <c r="AI217" i="19"/>
  <c r="AJ217" i="19"/>
  <c r="AK217" i="19"/>
  <c r="AL217" i="19"/>
  <c r="AM217" i="19"/>
  <c r="AN217" i="19"/>
  <c r="AO217" i="19"/>
  <c r="AP217" i="19"/>
  <c r="AQ217" i="19"/>
  <c r="AF118" i="19"/>
  <c r="AG118" i="19"/>
  <c r="AH118" i="19"/>
  <c r="AI118" i="19"/>
  <c r="AJ118" i="19"/>
  <c r="AK118" i="19"/>
  <c r="AL118" i="19"/>
  <c r="AM118" i="19"/>
  <c r="AN118" i="19"/>
  <c r="AO118" i="19"/>
  <c r="AP118" i="19"/>
  <c r="AQ118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AQ147" i="19"/>
  <c r="AF282" i="19"/>
  <c r="AG282" i="19"/>
  <c r="AH282" i="19"/>
  <c r="AI282" i="19"/>
  <c r="AJ282" i="19"/>
  <c r="AK282" i="19"/>
  <c r="AL282" i="19"/>
  <c r="AM282" i="19"/>
  <c r="AN282" i="19"/>
  <c r="AO282" i="19"/>
  <c r="AP282" i="19"/>
  <c r="AQ282" i="19"/>
  <c r="AF283" i="19"/>
  <c r="AG283" i="19"/>
  <c r="AH283" i="19"/>
  <c r="AI283" i="19"/>
  <c r="AJ283" i="19"/>
  <c r="AK283" i="19"/>
  <c r="AL283" i="19"/>
  <c r="AM283" i="19"/>
  <c r="AN283" i="19"/>
  <c r="AO283" i="19"/>
  <c r="AP283" i="19"/>
  <c r="AQ283" i="19"/>
  <c r="AF119" i="19"/>
  <c r="AG119" i="19"/>
  <c r="AH119" i="19"/>
  <c r="AI119" i="19"/>
  <c r="AJ119" i="19"/>
  <c r="AK119" i="19"/>
  <c r="AL119" i="19"/>
  <c r="AM119" i="19"/>
  <c r="AN119" i="19"/>
  <c r="AO119" i="19"/>
  <c r="AP119" i="19"/>
  <c r="AQ119" i="19"/>
  <c r="AF215" i="19"/>
  <c r="AG215" i="19"/>
  <c r="AH215" i="19"/>
  <c r="AI215" i="19"/>
  <c r="AJ215" i="19"/>
  <c r="AK215" i="19"/>
  <c r="AL215" i="19"/>
  <c r="AM215" i="19"/>
  <c r="AN215" i="19"/>
  <c r="AO215" i="19"/>
  <c r="AP215" i="19"/>
  <c r="AQ215" i="19"/>
  <c r="AF226" i="19"/>
  <c r="AG226" i="19"/>
  <c r="AH226" i="19"/>
  <c r="AI226" i="19"/>
  <c r="AJ226" i="19"/>
  <c r="AK226" i="19"/>
  <c r="AL226" i="19"/>
  <c r="AM226" i="19"/>
  <c r="AN226" i="19"/>
  <c r="AO226" i="19"/>
  <c r="AP226" i="19"/>
  <c r="AQ226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F230" i="19"/>
  <c r="AG230" i="19"/>
  <c r="AH230" i="19"/>
  <c r="AI230" i="19"/>
  <c r="AJ230" i="19"/>
  <c r="AK230" i="19"/>
  <c r="AL230" i="19"/>
  <c r="AM230" i="19"/>
  <c r="AN230" i="19"/>
  <c r="AO230" i="19"/>
  <c r="AP230" i="19"/>
  <c r="AQ230" i="19"/>
  <c r="AF57" i="19"/>
  <c r="AG57" i="19"/>
  <c r="AH57" i="19"/>
  <c r="AI57" i="19"/>
  <c r="AJ57" i="19"/>
  <c r="AK57" i="19"/>
  <c r="AL57" i="19"/>
  <c r="AM57" i="19"/>
  <c r="AN57" i="19"/>
  <c r="AO57" i="19"/>
  <c r="AP57" i="19"/>
  <c r="AQ57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AQ148" i="19"/>
  <c r="AF30" i="19"/>
  <c r="AG30" i="19"/>
  <c r="AH30" i="19"/>
  <c r="AI30" i="19"/>
  <c r="AJ30" i="19"/>
  <c r="AK30" i="19"/>
  <c r="AL30" i="19"/>
  <c r="AM30" i="19"/>
  <c r="AN30" i="19"/>
  <c r="AO30" i="19"/>
  <c r="AP30" i="19"/>
  <c r="AQ30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Q174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Q175" i="19"/>
  <c r="AF275" i="19"/>
  <c r="AG275" i="19"/>
  <c r="AH275" i="19"/>
  <c r="AI275" i="19"/>
  <c r="AJ275" i="19"/>
  <c r="AK275" i="19"/>
  <c r="AL275" i="19"/>
  <c r="AM275" i="19"/>
  <c r="AN275" i="19"/>
  <c r="AO275" i="19"/>
  <c r="AP275" i="19"/>
  <c r="AQ275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Q149" i="19"/>
  <c r="AF58" i="19"/>
  <c r="AG58" i="19"/>
  <c r="AH58" i="19"/>
  <c r="AI58" i="19"/>
  <c r="AJ58" i="19"/>
  <c r="AK58" i="19"/>
  <c r="AL58" i="19"/>
  <c r="AM58" i="19"/>
  <c r="AN58" i="19"/>
  <c r="AO58" i="19"/>
  <c r="AP58" i="19"/>
  <c r="AQ58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Q150" i="19"/>
  <c r="AF127" i="19"/>
  <c r="AH127" i="19"/>
  <c r="AI127" i="19"/>
  <c r="AJ127" i="19"/>
  <c r="AK127" i="19"/>
  <c r="AL127" i="19"/>
  <c r="AM127" i="19"/>
  <c r="AN127" i="19"/>
  <c r="AO127" i="19"/>
  <c r="AP127" i="19"/>
  <c r="AQ127" i="19"/>
  <c r="AF246" i="19"/>
  <c r="AG246" i="19"/>
  <c r="AH246" i="19"/>
  <c r="AI246" i="19"/>
  <c r="AJ246" i="19"/>
  <c r="AK246" i="19"/>
  <c r="AL246" i="19"/>
  <c r="AM246" i="19"/>
  <c r="AN246" i="19"/>
  <c r="AO246" i="19"/>
  <c r="AP246" i="19"/>
  <c r="AQ246" i="19"/>
  <c r="AF31" i="19"/>
  <c r="AG31" i="19"/>
  <c r="AH31" i="19"/>
  <c r="AI31" i="19"/>
  <c r="AJ31" i="19"/>
  <c r="AK31" i="19"/>
  <c r="AL31" i="19"/>
  <c r="AM31" i="19"/>
  <c r="AN31" i="19"/>
  <c r="AO31" i="19"/>
  <c r="AP31" i="19"/>
  <c r="AQ31" i="19"/>
  <c r="AF307" i="19"/>
  <c r="AG307" i="19"/>
  <c r="AH307" i="19"/>
  <c r="AI307" i="19"/>
  <c r="AJ307" i="19"/>
  <c r="AK307" i="19"/>
  <c r="AL307" i="19"/>
  <c r="AM307" i="19"/>
  <c r="AN307" i="19"/>
  <c r="AO307" i="19"/>
  <c r="AP307" i="19"/>
  <c r="AQ307" i="19"/>
  <c r="AF106" i="19"/>
  <c r="AG106" i="19"/>
  <c r="AH106" i="19"/>
  <c r="AI106" i="19"/>
  <c r="AJ106" i="19"/>
  <c r="AK106" i="19"/>
  <c r="AL106" i="19"/>
  <c r="AM106" i="19"/>
  <c r="AN106" i="19"/>
  <c r="AO106" i="19"/>
  <c r="AP106" i="19"/>
  <c r="AQ106" i="19"/>
  <c r="AF59" i="19"/>
  <c r="AG59" i="19"/>
  <c r="AH59" i="19"/>
  <c r="AI59" i="19"/>
  <c r="AJ59" i="19"/>
  <c r="AK59" i="19"/>
  <c r="AL59" i="19"/>
  <c r="AM59" i="19"/>
  <c r="AN59" i="19"/>
  <c r="AO59" i="19"/>
  <c r="AP59" i="19"/>
  <c r="AQ59" i="19"/>
  <c r="AF60" i="19"/>
  <c r="AG60" i="19"/>
  <c r="AH60" i="19"/>
  <c r="AI60" i="19"/>
  <c r="AJ60" i="19"/>
  <c r="AK60" i="19"/>
  <c r="AL60" i="19"/>
  <c r="AM60" i="19"/>
  <c r="AN60" i="19"/>
  <c r="AO60" i="19"/>
  <c r="AP60" i="19"/>
  <c r="AQ60" i="19"/>
  <c r="AF247" i="19"/>
  <c r="AG247" i="19"/>
  <c r="AH247" i="19"/>
  <c r="AI247" i="19"/>
  <c r="AJ247" i="19"/>
  <c r="AK247" i="19"/>
  <c r="AL247" i="19"/>
  <c r="AM247" i="19"/>
  <c r="AN247" i="19"/>
  <c r="AO247" i="19"/>
  <c r="AP247" i="19"/>
  <c r="AQ247" i="19"/>
  <c r="AF207" i="19"/>
  <c r="AG207" i="19"/>
  <c r="AH207" i="19"/>
  <c r="AI207" i="19"/>
  <c r="AJ207" i="19"/>
  <c r="AK207" i="19"/>
  <c r="AL207" i="19"/>
  <c r="AM207" i="19"/>
  <c r="AN207" i="19"/>
  <c r="AO207" i="19"/>
  <c r="AP207" i="19"/>
  <c r="AQ207" i="19"/>
  <c r="AF259" i="19"/>
  <c r="AG259" i="19"/>
  <c r="AH259" i="19"/>
  <c r="AI259" i="19"/>
  <c r="AJ259" i="19"/>
  <c r="AK259" i="19"/>
  <c r="AL259" i="19"/>
  <c r="AM259" i="19"/>
  <c r="AN259" i="19"/>
  <c r="AO259" i="19"/>
  <c r="AP259" i="19"/>
  <c r="AQ259" i="19"/>
  <c r="AF61" i="19"/>
  <c r="AG61" i="19"/>
  <c r="AH61" i="19"/>
  <c r="AI61" i="19"/>
  <c r="AJ61" i="19"/>
  <c r="AK61" i="19"/>
  <c r="AL61" i="19"/>
  <c r="AM61" i="19"/>
  <c r="AN61" i="19"/>
  <c r="AO61" i="19"/>
  <c r="AP61" i="19"/>
  <c r="AQ61" i="19"/>
  <c r="AF32" i="19"/>
  <c r="AG32" i="19"/>
  <c r="AH32" i="19"/>
  <c r="AI32" i="19"/>
  <c r="AJ32" i="19"/>
  <c r="AK32" i="19"/>
  <c r="AL32" i="19"/>
  <c r="AM32" i="19"/>
  <c r="AN32" i="19"/>
  <c r="AO32" i="19"/>
  <c r="AP32" i="19"/>
  <c r="AQ32" i="19"/>
  <c r="AF308" i="19"/>
  <c r="AG308" i="19"/>
  <c r="AH308" i="19"/>
  <c r="AI308" i="19"/>
  <c r="AJ308" i="19"/>
  <c r="AK308" i="19"/>
  <c r="AL308" i="19"/>
  <c r="AM308" i="19"/>
  <c r="AN308" i="19"/>
  <c r="AO308" i="19"/>
  <c r="AP308" i="19"/>
  <c r="AQ308" i="19"/>
  <c r="AF309" i="19"/>
  <c r="AG309" i="19"/>
  <c r="AH309" i="19"/>
  <c r="AI309" i="19"/>
  <c r="AJ309" i="19"/>
  <c r="AK309" i="19"/>
  <c r="AL309" i="19"/>
  <c r="AM309" i="19"/>
  <c r="AN309" i="19"/>
  <c r="AO309" i="19"/>
  <c r="AP309" i="19"/>
  <c r="AQ309" i="19"/>
  <c r="AF231" i="19"/>
  <c r="AG231" i="19"/>
  <c r="AH231" i="19"/>
  <c r="AI231" i="19"/>
  <c r="AJ231" i="19"/>
  <c r="AK231" i="19"/>
  <c r="AL231" i="19"/>
  <c r="AM231" i="19"/>
  <c r="AN231" i="19"/>
  <c r="AO231" i="19"/>
  <c r="AP231" i="19"/>
  <c r="AQ231" i="19"/>
  <c r="AF33" i="19"/>
  <c r="AG33" i="19"/>
  <c r="AH33" i="19"/>
  <c r="AI33" i="19"/>
  <c r="AJ33" i="19"/>
  <c r="AK33" i="19"/>
  <c r="AL33" i="19"/>
  <c r="AM33" i="19"/>
  <c r="AN33" i="19"/>
  <c r="AO33" i="19"/>
  <c r="AP33" i="19"/>
  <c r="AQ33" i="19"/>
  <c r="AF62" i="19"/>
  <c r="AG62" i="19"/>
  <c r="AH62" i="19"/>
  <c r="AI62" i="19"/>
  <c r="AJ62" i="19"/>
  <c r="AK62" i="19"/>
  <c r="AL62" i="19"/>
  <c r="AM62" i="19"/>
  <c r="AN62" i="19"/>
  <c r="AO62" i="19"/>
  <c r="AP62" i="19"/>
  <c r="AQ62" i="19"/>
  <c r="AF248" i="19"/>
  <c r="AG248" i="19"/>
  <c r="AH248" i="19"/>
  <c r="AI248" i="19"/>
  <c r="AJ248" i="19"/>
  <c r="AK248" i="19"/>
  <c r="AL248" i="19"/>
  <c r="AM248" i="19"/>
  <c r="AN248" i="19"/>
  <c r="AO248" i="19"/>
  <c r="AP248" i="19"/>
  <c r="AQ248" i="19"/>
  <c r="AF289" i="19"/>
  <c r="AG289" i="19"/>
  <c r="AH289" i="19"/>
  <c r="AI289" i="19"/>
  <c r="AJ289" i="19"/>
  <c r="AK289" i="19"/>
  <c r="AL289" i="19"/>
  <c r="AM289" i="19"/>
  <c r="AN289" i="19"/>
  <c r="AO289" i="19"/>
  <c r="AP289" i="19"/>
  <c r="AQ289" i="19"/>
  <c r="AF63" i="19"/>
  <c r="AG63" i="19"/>
  <c r="AH63" i="19"/>
  <c r="AI63" i="19"/>
  <c r="AJ63" i="19"/>
  <c r="AK63" i="19"/>
  <c r="AL63" i="19"/>
  <c r="AM63" i="19"/>
  <c r="AN63" i="19"/>
  <c r="AO63" i="19"/>
  <c r="AP63" i="19"/>
  <c r="AQ63" i="19"/>
  <c r="AF276" i="19"/>
  <c r="AG276" i="19"/>
  <c r="AH276" i="19"/>
  <c r="AI276" i="19"/>
  <c r="AJ276" i="19"/>
  <c r="AK276" i="19"/>
  <c r="AL276" i="19"/>
  <c r="AM276" i="19"/>
  <c r="AN276" i="19"/>
  <c r="AO276" i="19"/>
  <c r="AP276" i="19"/>
  <c r="AQ276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Q151" i="19"/>
  <c r="AF85" i="19"/>
  <c r="AG85" i="19"/>
  <c r="AH85" i="19"/>
  <c r="AI85" i="19"/>
  <c r="AJ85" i="19"/>
  <c r="AK85" i="19"/>
  <c r="AL85" i="19"/>
  <c r="AM85" i="19"/>
  <c r="AN85" i="19"/>
  <c r="AO85" i="19"/>
  <c r="AP85" i="19"/>
  <c r="AQ85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Q176" i="19"/>
  <c r="AF107" i="19"/>
  <c r="AG107" i="19"/>
  <c r="AH107" i="19"/>
  <c r="AI107" i="19"/>
  <c r="AJ107" i="19"/>
  <c r="AK107" i="19"/>
  <c r="AL107" i="19"/>
  <c r="AM107" i="19"/>
  <c r="AN107" i="19"/>
  <c r="AO107" i="19"/>
  <c r="AP107" i="19"/>
  <c r="AQ107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Q108" i="19"/>
  <c r="AF14" i="19"/>
  <c r="AG14" i="19"/>
  <c r="AH14" i="19"/>
  <c r="AI14" i="19"/>
  <c r="AJ14" i="19"/>
  <c r="AK14" i="19"/>
  <c r="AL14" i="19"/>
  <c r="AM14" i="19"/>
  <c r="AN14" i="19"/>
  <c r="AO14" i="19"/>
  <c r="AP14" i="19"/>
  <c r="AQ14" i="19"/>
  <c r="AF208" i="19"/>
  <c r="AG208" i="19"/>
  <c r="AH208" i="19"/>
  <c r="AI208" i="19"/>
  <c r="AJ208" i="19"/>
  <c r="AK208" i="19"/>
  <c r="AL208" i="19"/>
  <c r="AM208" i="19"/>
  <c r="AN208" i="19"/>
  <c r="AO208" i="19"/>
  <c r="AP208" i="19"/>
  <c r="AQ208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Q177" i="19"/>
  <c r="AF15" i="19"/>
  <c r="AG15" i="19"/>
  <c r="AH15" i="19"/>
  <c r="AI15" i="19"/>
  <c r="AJ15" i="19"/>
  <c r="AK15" i="19"/>
  <c r="AL15" i="19"/>
  <c r="AM15" i="19"/>
  <c r="AN15" i="19"/>
  <c r="AO15" i="19"/>
  <c r="AP15" i="19"/>
  <c r="AQ15" i="19"/>
  <c r="AF109" i="19"/>
  <c r="AG109" i="19"/>
  <c r="AH109" i="19"/>
  <c r="AI109" i="19"/>
  <c r="AJ109" i="19"/>
  <c r="AK109" i="19"/>
  <c r="AL109" i="19"/>
  <c r="AM109" i="19"/>
  <c r="AN109" i="19"/>
  <c r="AO109" i="19"/>
  <c r="AP109" i="19"/>
  <c r="AQ109" i="19"/>
  <c r="AF310" i="19"/>
  <c r="AG310" i="19"/>
  <c r="AH310" i="19"/>
  <c r="AI310" i="19"/>
  <c r="AJ310" i="19"/>
  <c r="AK310" i="19"/>
  <c r="AL310" i="19"/>
  <c r="AM310" i="19"/>
  <c r="AN310" i="19"/>
  <c r="AO310" i="19"/>
  <c r="AP310" i="19"/>
  <c r="AQ310" i="19"/>
  <c r="AF232" i="19"/>
  <c r="AG232" i="19"/>
  <c r="AH232" i="19"/>
  <c r="AI232" i="19"/>
  <c r="AJ232" i="19"/>
  <c r="AK232" i="19"/>
  <c r="AL232" i="19"/>
  <c r="AM232" i="19"/>
  <c r="AN232" i="19"/>
  <c r="AO232" i="19"/>
  <c r="AP232" i="19"/>
  <c r="AQ232" i="19"/>
  <c r="AF311" i="19"/>
  <c r="AG311" i="19"/>
  <c r="AH311" i="19"/>
  <c r="AI311" i="19"/>
  <c r="AJ311" i="19"/>
  <c r="AK311" i="19"/>
  <c r="AL311" i="19"/>
  <c r="AM311" i="19"/>
  <c r="AN311" i="19"/>
  <c r="AO311" i="19"/>
  <c r="AP311" i="19"/>
  <c r="AQ311" i="19"/>
  <c r="AF16" i="19"/>
  <c r="AG16" i="19"/>
  <c r="AH16" i="19"/>
  <c r="AI16" i="19"/>
  <c r="AJ16" i="19"/>
  <c r="AK16" i="19"/>
  <c r="AL16" i="19"/>
  <c r="AM16" i="19"/>
  <c r="AN16" i="19"/>
  <c r="AO16" i="19"/>
  <c r="AP16" i="19"/>
  <c r="AQ16" i="19"/>
  <c r="AF17" i="19"/>
  <c r="AG17" i="19"/>
  <c r="AH17" i="19"/>
  <c r="AI17" i="19"/>
  <c r="AJ17" i="19"/>
  <c r="AK17" i="19"/>
  <c r="AL17" i="19"/>
  <c r="AM17" i="19"/>
  <c r="AN17" i="19"/>
  <c r="AO17" i="19"/>
  <c r="AP17" i="19"/>
  <c r="AQ17" i="19"/>
  <c r="AF64" i="19"/>
  <c r="AG64" i="19"/>
  <c r="AH64" i="19"/>
  <c r="AI64" i="19"/>
  <c r="AJ64" i="19"/>
  <c r="AK64" i="19"/>
  <c r="AL64" i="19"/>
  <c r="AM64" i="19"/>
  <c r="AN64" i="19"/>
  <c r="AO64" i="19"/>
  <c r="AP64" i="19"/>
  <c r="AQ64" i="19"/>
  <c r="AF312" i="19"/>
  <c r="AG312" i="19"/>
  <c r="AH312" i="19"/>
  <c r="AI312" i="19"/>
  <c r="AJ312" i="19"/>
  <c r="AK312" i="19"/>
  <c r="AL312" i="19"/>
  <c r="AM312" i="19"/>
  <c r="AN312" i="19"/>
  <c r="AO312" i="19"/>
  <c r="AP312" i="19"/>
  <c r="AQ312" i="19"/>
  <c r="AF86" i="19"/>
  <c r="AG86" i="19"/>
  <c r="AH86" i="19"/>
  <c r="AI86" i="19"/>
  <c r="AJ86" i="19"/>
  <c r="AK86" i="19"/>
  <c r="AL86" i="19"/>
  <c r="AM86" i="19"/>
  <c r="AN86" i="19"/>
  <c r="AO86" i="19"/>
  <c r="AP86" i="19"/>
  <c r="AQ86" i="19"/>
  <c r="AF87" i="19"/>
  <c r="AG87" i="19"/>
  <c r="AH87" i="19"/>
  <c r="AI87" i="19"/>
  <c r="AJ87" i="19"/>
  <c r="AK87" i="19"/>
  <c r="AL87" i="19"/>
  <c r="AM87" i="19"/>
  <c r="AN87" i="19"/>
  <c r="AO87" i="19"/>
  <c r="AP87" i="19"/>
  <c r="AQ87" i="19"/>
  <c r="AF65" i="19"/>
  <c r="AG65" i="19"/>
  <c r="AH65" i="19"/>
  <c r="AI65" i="19"/>
  <c r="AJ65" i="19"/>
  <c r="AK65" i="19"/>
  <c r="AL65" i="19"/>
  <c r="AM65" i="19"/>
  <c r="AN65" i="19"/>
  <c r="AO65" i="19"/>
  <c r="AP65" i="19"/>
  <c r="AQ65" i="19"/>
  <c r="AF120" i="19"/>
  <c r="AG120" i="19"/>
  <c r="AH120" i="19"/>
  <c r="AI120" i="19"/>
  <c r="AJ120" i="19"/>
  <c r="AK120" i="19"/>
  <c r="AL120" i="19"/>
  <c r="AM120" i="19"/>
  <c r="AN120" i="19"/>
  <c r="AO120" i="19"/>
  <c r="AP120" i="19"/>
  <c r="AQ120" i="19"/>
  <c r="AF260" i="19"/>
  <c r="AG260" i="19"/>
  <c r="AH260" i="19"/>
  <c r="AI260" i="19"/>
  <c r="AJ260" i="19"/>
  <c r="AK260" i="19"/>
  <c r="AL260" i="19"/>
  <c r="AM260" i="19"/>
  <c r="AN260" i="19"/>
  <c r="AO260" i="19"/>
  <c r="AP260" i="19"/>
  <c r="AQ260" i="19"/>
  <c r="AF66" i="19"/>
  <c r="AG66" i="19"/>
  <c r="AH66" i="19"/>
  <c r="AI66" i="19"/>
  <c r="AJ66" i="19"/>
  <c r="AK66" i="19"/>
  <c r="AL66" i="19"/>
  <c r="AM66" i="19"/>
  <c r="AN66" i="19"/>
  <c r="AO66" i="19"/>
  <c r="AP66" i="19"/>
  <c r="AQ66" i="19"/>
  <c r="AF67" i="19"/>
  <c r="AG67" i="19"/>
  <c r="AH67" i="19"/>
  <c r="AI67" i="19"/>
  <c r="AJ67" i="19"/>
  <c r="AK67" i="19"/>
  <c r="AL67" i="19"/>
  <c r="AM67" i="19"/>
  <c r="AN67" i="19"/>
  <c r="AO67" i="19"/>
  <c r="AP67" i="19"/>
  <c r="AQ67" i="19"/>
  <c r="AF88" i="19"/>
  <c r="AG88" i="19"/>
  <c r="AH88" i="19"/>
  <c r="AI88" i="19"/>
  <c r="AJ88" i="19"/>
  <c r="AK88" i="19"/>
  <c r="AL88" i="19"/>
  <c r="AM88" i="19"/>
  <c r="AN88" i="19"/>
  <c r="AO88" i="19"/>
  <c r="AP88" i="19"/>
  <c r="AQ88" i="19"/>
  <c r="AF277" i="19"/>
  <c r="AG277" i="19"/>
  <c r="AH277" i="19"/>
  <c r="AI277" i="19"/>
  <c r="AJ277" i="19"/>
  <c r="AK277" i="19"/>
  <c r="AL277" i="19"/>
  <c r="AM277" i="19"/>
  <c r="AN277" i="19"/>
  <c r="AO277" i="19"/>
  <c r="AP277" i="19"/>
  <c r="AQ277" i="19"/>
  <c r="AF89" i="19"/>
  <c r="AG89" i="19"/>
  <c r="AH89" i="19"/>
  <c r="AI89" i="19"/>
  <c r="AJ89" i="19"/>
  <c r="AK89" i="19"/>
  <c r="AL89" i="19"/>
  <c r="AM89" i="19"/>
  <c r="AN89" i="19"/>
  <c r="AO89" i="19"/>
  <c r="AP89" i="19"/>
  <c r="AQ89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F313" i="19"/>
  <c r="AG313" i="19"/>
  <c r="AH313" i="19"/>
  <c r="AI313" i="19"/>
  <c r="AJ313" i="19"/>
  <c r="AK313" i="19"/>
  <c r="AL313" i="19"/>
  <c r="AM313" i="19"/>
  <c r="AN313" i="19"/>
  <c r="AO313" i="19"/>
  <c r="AP313" i="19"/>
  <c r="AQ313" i="19"/>
  <c r="AF209" i="19"/>
  <c r="AG209" i="19"/>
  <c r="AH209" i="19"/>
  <c r="AI209" i="19"/>
  <c r="AJ209" i="19"/>
  <c r="AK209" i="19"/>
  <c r="AL209" i="19"/>
  <c r="AM209" i="19"/>
  <c r="AN209" i="19"/>
  <c r="AO209" i="19"/>
  <c r="AP209" i="19"/>
  <c r="AQ209" i="19"/>
  <c r="AF234" i="19"/>
  <c r="AG234" i="19"/>
  <c r="AH234" i="19"/>
  <c r="AI234" i="19"/>
  <c r="AJ234" i="19"/>
  <c r="AK234" i="19"/>
  <c r="AL234" i="19"/>
  <c r="AM234" i="19"/>
  <c r="AN234" i="19"/>
  <c r="AO234" i="19"/>
  <c r="AP234" i="19"/>
  <c r="AQ234" i="19"/>
  <c r="AF152" i="19"/>
  <c r="AG152" i="19"/>
  <c r="AH152" i="19"/>
  <c r="AI152" i="19"/>
  <c r="AJ152" i="19"/>
  <c r="AK152" i="19"/>
  <c r="AL152" i="19"/>
  <c r="AM152" i="19"/>
  <c r="AN152" i="19"/>
  <c r="AO152" i="19"/>
  <c r="AP152" i="19"/>
  <c r="AQ152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Q178" i="19"/>
  <c r="AF121" i="19"/>
  <c r="AG121" i="19"/>
  <c r="AH121" i="19"/>
  <c r="AI121" i="19"/>
  <c r="AJ121" i="19"/>
  <c r="AK121" i="19"/>
  <c r="AL121" i="19"/>
  <c r="AM121" i="19"/>
  <c r="AN121" i="19"/>
  <c r="AO121" i="19"/>
  <c r="AP121" i="19"/>
  <c r="AQ121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F128" i="19"/>
  <c r="AG128" i="19"/>
  <c r="AH128" i="19"/>
  <c r="AI128" i="19"/>
  <c r="AJ128" i="19"/>
  <c r="AK128" i="19"/>
  <c r="AL128" i="19"/>
  <c r="AM128" i="19"/>
  <c r="AN128" i="19"/>
  <c r="AO128" i="19"/>
  <c r="AP128" i="19"/>
  <c r="AQ128" i="19"/>
  <c r="AF122" i="19"/>
  <c r="AG122" i="19"/>
  <c r="AH122" i="19"/>
  <c r="AI122" i="19"/>
  <c r="AJ122" i="19"/>
  <c r="AK122" i="19"/>
  <c r="AL122" i="19"/>
  <c r="AM122" i="19"/>
  <c r="AN122" i="19"/>
  <c r="AO122" i="19"/>
  <c r="AP122" i="19"/>
  <c r="AQ122" i="19"/>
  <c r="AF235" i="19"/>
  <c r="AG235" i="19"/>
  <c r="AH235" i="19"/>
  <c r="AI235" i="19"/>
  <c r="AJ235" i="19"/>
  <c r="AK235" i="19"/>
  <c r="AL235" i="19"/>
  <c r="AM235" i="19"/>
  <c r="AN235" i="19"/>
  <c r="AO235" i="19"/>
  <c r="AP235" i="19"/>
  <c r="AQ235" i="19"/>
  <c r="AF123" i="19"/>
  <c r="AG123" i="19"/>
  <c r="AH123" i="19"/>
  <c r="AI123" i="19"/>
  <c r="AJ123" i="19"/>
  <c r="AK123" i="19"/>
  <c r="AL123" i="19"/>
  <c r="AM123" i="19"/>
  <c r="AN123" i="19"/>
  <c r="AO123" i="19"/>
  <c r="AP123" i="19"/>
  <c r="AQ123" i="19"/>
  <c r="AF18" i="19"/>
  <c r="AG18" i="19"/>
  <c r="AH18" i="19"/>
  <c r="AI18" i="19"/>
  <c r="AJ18" i="19"/>
  <c r="AK18" i="19"/>
  <c r="AL18" i="19"/>
  <c r="AM18" i="19"/>
  <c r="AN18" i="19"/>
  <c r="AO18" i="19"/>
  <c r="AP18" i="19"/>
  <c r="AQ18" i="19"/>
  <c r="AF153" i="19"/>
  <c r="AG153" i="19"/>
  <c r="AH153" i="19"/>
  <c r="AI153" i="19"/>
  <c r="AJ153" i="19"/>
  <c r="AK153" i="19"/>
  <c r="AL153" i="19"/>
  <c r="AM153" i="19"/>
  <c r="AN153" i="19"/>
  <c r="AO153" i="19"/>
  <c r="AP153" i="19"/>
  <c r="AQ153" i="19"/>
  <c r="AF129" i="19"/>
  <c r="AG129" i="19"/>
  <c r="AH129" i="19"/>
  <c r="AI129" i="19"/>
  <c r="AJ129" i="19"/>
  <c r="AK129" i="19"/>
  <c r="AL129" i="19"/>
  <c r="AM129" i="19"/>
  <c r="AN129" i="19"/>
  <c r="AO129" i="19"/>
  <c r="AP129" i="19"/>
  <c r="AQ129" i="19"/>
  <c r="AF19" i="19"/>
  <c r="AG19" i="19"/>
  <c r="AH19" i="19"/>
  <c r="AI19" i="19"/>
  <c r="AJ19" i="19"/>
  <c r="AK19" i="19"/>
  <c r="AL19" i="19"/>
  <c r="AM19" i="19"/>
  <c r="AN19" i="19"/>
  <c r="AO19" i="19"/>
  <c r="AP19" i="19"/>
  <c r="AQ19" i="19"/>
  <c r="AF278" i="19"/>
  <c r="AG278" i="19"/>
  <c r="AH278" i="19"/>
  <c r="AI278" i="19"/>
  <c r="AJ278" i="19"/>
  <c r="AK278" i="19"/>
  <c r="AL278" i="19"/>
  <c r="AM278" i="19"/>
  <c r="AN278" i="19"/>
  <c r="AO278" i="19"/>
  <c r="AP278" i="19"/>
  <c r="AQ278" i="19"/>
  <c r="AF236" i="19"/>
  <c r="AG236" i="19"/>
  <c r="AH236" i="19"/>
  <c r="AI236" i="19"/>
  <c r="AJ236" i="19"/>
  <c r="AK236" i="19"/>
  <c r="AL236" i="19"/>
  <c r="AM236" i="19"/>
  <c r="AN236" i="19"/>
  <c r="AO236" i="19"/>
  <c r="AP236" i="19"/>
  <c r="AQ236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Q12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Q154" i="19"/>
  <c r="AF249" i="19"/>
  <c r="AG249" i="19"/>
  <c r="AH249" i="19"/>
  <c r="AI249" i="19"/>
  <c r="AJ249" i="19"/>
  <c r="AK249" i="19"/>
  <c r="AL249" i="19"/>
  <c r="AM249" i="19"/>
  <c r="AN249" i="19"/>
  <c r="AO249" i="19"/>
  <c r="AP249" i="19"/>
  <c r="AQ24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Q179" i="19"/>
  <c r="AF266" i="19"/>
  <c r="AG266" i="19"/>
  <c r="AH266" i="19"/>
  <c r="AI266" i="19"/>
  <c r="AJ266" i="19"/>
  <c r="AK266" i="19"/>
  <c r="AL266" i="19"/>
  <c r="AM266" i="19"/>
  <c r="AN266" i="19"/>
  <c r="AO266" i="19"/>
  <c r="AP266" i="19"/>
  <c r="AQ266" i="19"/>
  <c r="AF267" i="19"/>
  <c r="AG267" i="19"/>
  <c r="AH267" i="19"/>
  <c r="AI267" i="19"/>
  <c r="AJ267" i="19"/>
  <c r="AK267" i="19"/>
  <c r="AL267" i="19"/>
  <c r="AM267" i="19"/>
  <c r="AN267" i="19"/>
  <c r="AO267" i="19"/>
  <c r="AP267" i="19"/>
  <c r="AQ267" i="19"/>
  <c r="AF314" i="19"/>
  <c r="AG314" i="19"/>
  <c r="AH314" i="19"/>
  <c r="AI314" i="19"/>
  <c r="AJ314" i="19"/>
  <c r="AK314" i="19"/>
  <c r="AL314" i="19"/>
  <c r="AM314" i="19"/>
  <c r="AN314" i="19"/>
  <c r="AO314" i="19"/>
  <c r="AP314" i="19"/>
  <c r="AQ314" i="19"/>
  <c r="AF90" i="19"/>
  <c r="AG90" i="19"/>
  <c r="AH90" i="19"/>
  <c r="AI90" i="19"/>
  <c r="AJ90" i="19"/>
  <c r="AK90" i="19"/>
  <c r="AL90" i="19"/>
  <c r="AM90" i="19"/>
  <c r="AN90" i="19"/>
  <c r="AO90" i="19"/>
  <c r="AP90" i="19"/>
  <c r="AQ90" i="19"/>
  <c r="AF91" i="19"/>
  <c r="AG91" i="19"/>
  <c r="AH91" i="19"/>
  <c r="AI91" i="19"/>
  <c r="AJ91" i="19"/>
  <c r="AK91" i="19"/>
  <c r="AL91" i="19"/>
  <c r="AM91" i="19"/>
  <c r="AN91" i="19"/>
  <c r="AO91" i="19"/>
  <c r="AP91" i="19"/>
  <c r="AQ91" i="19"/>
  <c r="AF211" i="19"/>
  <c r="AG211" i="19"/>
  <c r="AH211" i="19"/>
  <c r="AI211" i="19"/>
  <c r="AJ211" i="19"/>
  <c r="AK211" i="19"/>
  <c r="AL211" i="19"/>
  <c r="AM211" i="19"/>
  <c r="AN211" i="19"/>
  <c r="AO211" i="19"/>
  <c r="AP211" i="19"/>
  <c r="AQ211" i="19"/>
  <c r="AF111" i="19"/>
  <c r="AG111" i="19"/>
  <c r="AH111" i="19"/>
  <c r="AI111" i="19"/>
  <c r="AJ111" i="19"/>
  <c r="AK111" i="19"/>
  <c r="AL111" i="19"/>
  <c r="AM111" i="19"/>
  <c r="AN111" i="19"/>
  <c r="AO111" i="19"/>
  <c r="AP111" i="19"/>
  <c r="AQ111" i="19"/>
  <c r="AF34" i="19"/>
  <c r="AG34" i="19"/>
  <c r="AH34" i="19"/>
  <c r="AI34" i="19"/>
  <c r="AJ34" i="19"/>
  <c r="AK34" i="19"/>
  <c r="AL34" i="19"/>
  <c r="AM34" i="19"/>
  <c r="AN34" i="19"/>
  <c r="AO34" i="19"/>
  <c r="AP34" i="19"/>
  <c r="AQ34" i="19"/>
  <c r="AF35" i="19"/>
  <c r="AG35" i="19"/>
  <c r="AH35" i="19"/>
  <c r="AI35" i="19"/>
  <c r="AJ35" i="19"/>
  <c r="AK35" i="19"/>
  <c r="AL35" i="19"/>
  <c r="AM35" i="19"/>
  <c r="AN35" i="19"/>
  <c r="AO35" i="19"/>
  <c r="AP35" i="19"/>
  <c r="AQ35" i="19"/>
  <c r="AF36" i="19"/>
  <c r="AG36" i="19"/>
  <c r="AH36" i="19"/>
  <c r="AI36" i="19"/>
  <c r="AJ36" i="19"/>
  <c r="AK36" i="19"/>
  <c r="AL36" i="19"/>
  <c r="AM36" i="19"/>
  <c r="AN36" i="19"/>
  <c r="AO36" i="19"/>
  <c r="AP36" i="19"/>
  <c r="AQ36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Q155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Q156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F37" i="19"/>
  <c r="AG37" i="19"/>
  <c r="AH37" i="19"/>
  <c r="AI37" i="19"/>
  <c r="AJ37" i="19"/>
  <c r="AK37" i="19"/>
  <c r="AL37" i="19"/>
  <c r="AM37" i="19"/>
  <c r="AN37" i="19"/>
  <c r="AO37" i="19"/>
  <c r="AP37" i="19"/>
  <c r="AQ37" i="19"/>
  <c r="AF131" i="19"/>
  <c r="AG131" i="19"/>
  <c r="AH131" i="19"/>
  <c r="AI131" i="19"/>
  <c r="AJ131" i="19"/>
  <c r="AK131" i="19"/>
  <c r="AL131" i="19"/>
  <c r="AM131" i="19"/>
  <c r="AN131" i="19"/>
  <c r="AO131" i="19"/>
  <c r="AP131" i="19"/>
  <c r="AQ131" i="19"/>
  <c r="AF70" i="19"/>
  <c r="AG70" i="19"/>
  <c r="AH70" i="19"/>
  <c r="AI70" i="19"/>
  <c r="AJ70" i="19"/>
  <c r="AK70" i="19"/>
  <c r="AL70" i="19"/>
  <c r="AM70" i="19"/>
  <c r="AN70" i="19"/>
  <c r="AO70" i="19"/>
  <c r="AP70" i="19"/>
  <c r="AQ70" i="19"/>
  <c r="AF237" i="19"/>
  <c r="AG237" i="19"/>
  <c r="AH237" i="19"/>
  <c r="AI237" i="19"/>
  <c r="AJ237" i="19"/>
  <c r="AK237" i="19"/>
  <c r="AL237" i="19"/>
  <c r="AM237" i="19"/>
  <c r="AN237" i="19"/>
  <c r="AO237" i="19"/>
  <c r="AP237" i="19"/>
  <c r="AQ237" i="19"/>
  <c r="AF250" i="19"/>
  <c r="AG250" i="19"/>
  <c r="AH250" i="19"/>
  <c r="AI250" i="19"/>
  <c r="AJ250" i="19"/>
  <c r="AK250" i="19"/>
  <c r="AL250" i="19"/>
  <c r="AM250" i="19"/>
  <c r="AN250" i="19"/>
  <c r="AO250" i="19"/>
  <c r="AP250" i="19"/>
  <c r="AQ250" i="19"/>
  <c r="AF71" i="19"/>
  <c r="AG71" i="19"/>
  <c r="AH71" i="19"/>
  <c r="AI71" i="19"/>
  <c r="AJ71" i="19"/>
  <c r="AK71" i="19"/>
  <c r="AL71" i="19"/>
  <c r="AM71" i="19"/>
  <c r="AN71" i="19"/>
  <c r="AO71" i="19"/>
  <c r="AP71" i="19"/>
  <c r="AQ71" i="19"/>
  <c r="AF212" i="19"/>
  <c r="AG212" i="19"/>
  <c r="AH212" i="19"/>
  <c r="AI212" i="19"/>
  <c r="AJ212" i="19"/>
  <c r="AK212" i="19"/>
  <c r="AL212" i="19"/>
  <c r="AM212" i="19"/>
  <c r="AN212" i="19"/>
  <c r="AO212" i="19"/>
  <c r="AP212" i="19"/>
  <c r="AQ212" i="19"/>
  <c r="AF290" i="19"/>
  <c r="AG290" i="19"/>
  <c r="AH290" i="19"/>
  <c r="AI290" i="19"/>
  <c r="AJ290" i="19"/>
  <c r="AK290" i="19"/>
  <c r="AL290" i="19"/>
  <c r="AM290" i="19"/>
  <c r="AN290" i="19"/>
  <c r="AO290" i="19"/>
  <c r="AP290" i="19"/>
  <c r="AQ290" i="19"/>
  <c r="AF130" i="19"/>
  <c r="AG130" i="19"/>
  <c r="AH130" i="19"/>
  <c r="AI130" i="19"/>
  <c r="AJ130" i="19"/>
  <c r="AK130" i="19"/>
  <c r="AL130" i="19"/>
  <c r="AM130" i="19"/>
  <c r="AN130" i="19"/>
  <c r="AO130" i="19"/>
  <c r="AP130" i="19"/>
  <c r="AQ130" i="19"/>
  <c r="AF315" i="19"/>
  <c r="AG315" i="19"/>
  <c r="AH315" i="19"/>
  <c r="AI315" i="19"/>
  <c r="AJ315" i="19"/>
  <c r="AK315" i="19"/>
  <c r="AL315" i="19"/>
  <c r="AM315" i="19"/>
  <c r="AN315" i="19"/>
  <c r="AO315" i="19"/>
  <c r="AP315" i="19"/>
  <c r="AQ315" i="19"/>
  <c r="AF72" i="19"/>
  <c r="AG72" i="19"/>
  <c r="AH72" i="19"/>
  <c r="AI72" i="19"/>
  <c r="AJ72" i="19"/>
  <c r="AK72" i="19"/>
  <c r="AL72" i="19"/>
  <c r="AM72" i="19"/>
  <c r="AN72" i="19"/>
  <c r="AO72" i="19"/>
  <c r="AP72" i="19"/>
  <c r="AQ72" i="19"/>
  <c r="AF316" i="19"/>
  <c r="AG316" i="19"/>
  <c r="AH316" i="19"/>
  <c r="AI316" i="19"/>
  <c r="AJ316" i="19"/>
  <c r="AK316" i="19"/>
  <c r="AL316" i="19"/>
  <c r="AM316" i="19"/>
  <c r="AN316" i="19"/>
  <c r="AO316" i="19"/>
  <c r="AP316" i="19"/>
  <c r="AQ316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F213" i="19"/>
  <c r="AG213" i="19"/>
  <c r="AH213" i="19"/>
  <c r="AI213" i="19"/>
  <c r="AJ213" i="19"/>
  <c r="AK213" i="19"/>
  <c r="AL213" i="19"/>
  <c r="AM213" i="19"/>
  <c r="AN213" i="19"/>
  <c r="AO213" i="19"/>
  <c r="AP213" i="19"/>
  <c r="AQ213" i="19"/>
  <c r="AF279" i="19"/>
  <c r="AG279" i="19"/>
  <c r="AH279" i="19"/>
  <c r="AI279" i="19"/>
  <c r="AJ279" i="19"/>
  <c r="AK279" i="19"/>
  <c r="AL279" i="19"/>
  <c r="AM279" i="19"/>
  <c r="AN279" i="19"/>
  <c r="AO279" i="19"/>
  <c r="AP279" i="19"/>
  <c r="AQ279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Q157" i="19"/>
  <c r="AF214" i="19"/>
  <c r="AG214" i="19"/>
  <c r="AH214" i="19"/>
  <c r="AI214" i="19"/>
  <c r="AJ214" i="19"/>
  <c r="AK214" i="19"/>
  <c r="AL214" i="19"/>
  <c r="AM214" i="19"/>
  <c r="AN214" i="19"/>
  <c r="AO214" i="19"/>
  <c r="AP214" i="19"/>
  <c r="AQ214" i="19"/>
  <c r="AF317" i="19"/>
  <c r="AG317" i="19"/>
  <c r="AH317" i="19"/>
  <c r="AI317" i="19"/>
  <c r="AJ317" i="19"/>
  <c r="AK317" i="19"/>
  <c r="AL317" i="19"/>
  <c r="AM317" i="19"/>
  <c r="AN317" i="19"/>
  <c r="AO317" i="19"/>
  <c r="AP317" i="19"/>
  <c r="AQ317" i="19"/>
  <c r="AF262" i="19"/>
  <c r="AG262" i="19"/>
  <c r="AH262" i="19"/>
  <c r="AI262" i="19"/>
  <c r="AJ262" i="19"/>
  <c r="AK262" i="19"/>
  <c r="AL262" i="19"/>
  <c r="AM262" i="19"/>
  <c r="AN262" i="19"/>
  <c r="AO262" i="19"/>
  <c r="AP262" i="19"/>
  <c r="AQ262" i="19"/>
  <c r="AF318" i="19"/>
  <c r="AG318" i="19"/>
  <c r="AH318" i="19"/>
  <c r="AI318" i="19"/>
  <c r="AJ318" i="19"/>
  <c r="AK318" i="19"/>
  <c r="AL318" i="19"/>
  <c r="AM318" i="19"/>
  <c r="AN318" i="19"/>
  <c r="AO318" i="19"/>
  <c r="AP318" i="19"/>
  <c r="AQ318" i="19"/>
  <c r="AF319" i="19"/>
  <c r="AG319" i="19"/>
  <c r="AH319" i="19"/>
  <c r="AI319" i="19"/>
  <c r="AJ319" i="19"/>
  <c r="AK319" i="19"/>
  <c r="AL319" i="19"/>
  <c r="AM319" i="19"/>
  <c r="AN319" i="19"/>
  <c r="AO319" i="19"/>
  <c r="AP319" i="19"/>
  <c r="AQ319" i="19"/>
  <c r="AF238" i="19"/>
  <c r="AG238" i="19"/>
  <c r="AH238" i="19"/>
  <c r="AI238" i="19"/>
  <c r="AJ238" i="19"/>
  <c r="AK238" i="19"/>
  <c r="AL238" i="19"/>
  <c r="AM238" i="19"/>
  <c r="AN238" i="19"/>
  <c r="AO238" i="19"/>
  <c r="AP238" i="19"/>
  <c r="AQ238" i="19"/>
  <c r="AF320" i="19"/>
  <c r="AG320" i="19"/>
  <c r="AH320" i="19"/>
  <c r="AI320" i="19"/>
  <c r="AJ320" i="19"/>
  <c r="AK320" i="19"/>
  <c r="AL320" i="19"/>
  <c r="AM320" i="19"/>
  <c r="AN320" i="19"/>
  <c r="AO320" i="19"/>
  <c r="AP320" i="19"/>
  <c r="AQ320" i="19"/>
  <c r="AF239" i="19"/>
  <c r="AG239" i="19"/>
  <c r="AH239" i="19"/>
  <c r="AI239" i="19"/>
  <c r="AJ239" i="19"/>
  <c r="AK239" i="19"/>
  <c r="AL239" i="19"/>
  <c r="AM239" i="19"/>
  <c r="AN239" i="19"/>
  <c r="AO239" i="19"/>
  <c r="AP239" i="19"/>
  <c r="AQ239" i="19"/>
  <c r="AF240" i="19"/>
  <c r="AG240" i="19"/>
  <c r="AH240" i="19"/>
  <c r="AI240" i="19"/>
  <c r="AJ240" i="19"/>
  <c r="AK240" i="19"/>
  <c r="AL240" i="19"/>
  <c r="AM240" i="19"/>
  <c r="AN240" i="19"/>
  <c r="AO240" i="19"/>
  <c r="AP240" i="19"/>
  <c r="AQ240" i="19"/>
  <c r="AF158" i="19"/>
  <c r="AG158" i="19"/>
  <c r="AH158" i="19"/>
  <c r="AI158" i="19"/>
  <c r="AJ158" i="19"/>
  <c r="AK158" i="19"/>
  <c r="AL158" i="19"/>
  <c r="AM158" i="19"/>
  <c r="AN158" i="19"/>
  <c r="AO158" i="19"/>
  <c r="AP158" i="19"/>
  <c r="AQ158" i="19"/>
  <c r="AF292" i="19"/>
  <c r="AG292" i="19"/>
  <c r="AH292" i="19"/>
  <c r="AI292" i="19"/>
  <c r="AJ292" i="19"/>
  <c r="AK292" i="19"/>
  <c r="AL292" i="19"/>
  <c r="AM292" i="19"/>
  <c r="AN292" i="19"/>
  <c r="AO292" i="19"/>
  <c r="AP292" i="19"/>
  <c r="AQ292" i="19"/>
  <c r="AF293" i="19"/>
  <c r="AG293" i="19"/>
  <c r="AH293" i="19"/>
  <c r="AI293" i="19"/>
  <c r="AJ293" i="19"/>
  <c r="AK293" i="19"/>
  <c r="AL293" i="19"/>
  <c r="AM293" i="19"/>
  <c r="AN293" i="19"/>
  <c r="AO293" i="19"/>
  <c r="AP293" i="19"/>
  <c r="AQ293" i="19"/>
  <c r="AF216" i="19"/>
  <c r="AG216" i="19"/>
  <c r="AH216" i="19"/>
  <c r="AI216" i="19"/>
  <c r="AJ216" i="19"/>
  <c r="AK216" i="19"/>
  <c r="AL216" i="19"/>
  <c r="AM216" i="19"/>
  <c r="AN216" i="19"/>
  <c r="AO216" i="19"/>
  <c r="AP216" i="19"/>
  <c r="AQ216" i="19"/>
  <c r="AF112" i="19"/>
  <c r="AG112" i="19"/>
  <c r="AH112" i="19"/>
  <c r="AI112" i="19"/>
  <c r="AJ112" i="19"/>
  <c r="AK112" i="19"/>
  <c r="AL112" i="19"/>
  <c r="AM112" i="19"/>
  <c r="AN112" i="19"/>
  <c r="AO112" i="19"/>
  <c r="AP112" i="19"/>
  <c r="AQ112" i="19"/>
  <c r="AF321" i="19"/>
  <c r="AG321" i="19"/>
  <c r="AH321" i="19"/>
  <c r="AI321" i="19"/>
  <c r="AJ321" i="19"/>
  <c r="AK321" i="19"/>
  <c r="AL321" i="19"/>
  <c r="AM321" i="19"/>
  <c r="AN321" i="19"/>
  <c r="AO321" i="19"/>
  <c r="AP321" i="19"/>
  <c r="AQ321" i="19"/>
  <c r="AF182" i="19"/>
  <c r="AG182" i="19"/>
  <c r="AH182" i="19"/>
  <c r="AI182" i="19"/>
  <c r="AJ182" i="19"/>
  <c r="AK182" i="19"/>
  <c r="AL182" i="19"/>
  <c r="AM182" i="19"/>
  <c r="AN182" i="19"/>
  <c r="AO182" i="19"/>
  <c r="AP182" i="19"/>
  <c r="AQ182" i="19"/>
  <c r="AF41" i="19"/>
  <c r="AG41" i="19"/>
  <c r="AI41" i="19"/>
  <c r="AJ41" i="19"/>
  <c r="AK41" i="19"/>
  <c r="AL41" i="19"/>
  <c r="AM41" i="19"/>
  <c r="AN41" i="19"/>
  <c r="AO41" i="19"/>
  <c r="AP41" i="19"/>
  <c r="AQ41" i="19"/>
  <c r="AF92" i="19"/>
  <c r="AG92" i="19"/>
  <c r="AH92" i="19"/>
  <c r="AI92" i="19"/>
  <c r="AJ92" i="19"/>
  <c r="AK92" i="19"/>
  <c r="AL92" i="19"/>
  <c r="AM92" i="19"/>
  <c r="AN92" i="19"/>
  <c r="AO92" i="19"/>
  <c r="AP92" i="19"/>
  <c r="AQ92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Q159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Q160" i="19"/>
  <c r="AF20" i="19"/>
  <c r="AG20" i="19"/>
  <c r="AH20" i="19"/>
  <c r="AI20" i="19"/>
  <c r="AJ20" i="19"/>
  <c r="AK20" i="19"/>
  <c r="AL20" i="19"/>
  <c r="AM20" i="19"/>
  <c r="AN20" i="19"/>
  <c r="AO20" i="19"/>
  <c r="AP20" i="19"/>
  <c r="AQ20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F280" i="19"/>
  <c r="AG280" i="19"/>
  <c r="AH280" i="19"/>
  <c r="AI280" i="19"/>
  <c r="AJ280" i="19"/>
  <c r="AK280" i="19"/>
  <c r="AL280" i="19"/>
  <c r="AM280" i="19"/>
  <c r="AN280" i="19"/>
  <c r="AO280" i="19"/>
  <c r="AP280" i="19"/>
  <c r="AQ280" i="19"/>
  <c r="AF93" i="19"/>
  <c r="AG93" i="19"/>
  <c r="AH93" i="19"/>
  <c r="AI93" i="19"/>
  <c r="AJ93" i="19"/>
  <c r="AK93" i="19"/>
  <c r="AL93" i="19"/>
  <c r="AM93" i="19"/>
  <c r="AN93" i="19"/>
  <c r="AO93" i="19"/>
  <c r="AP93" i="19"/>
  <c r="AQ9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F73" i="19"/>
  <c r="AG73" i="19"/>
  <c r="AH73" i="19"/>
  <c r="AI73" i="19"/>
  <c r="AJ73" i="19"/>
  <c r="AK73" i="19"/>
  <c r="AL73" i="19"/>
  <c r="AM73" i="19"/>
  <c r="AN73" i="19"/>
  <c r="AO73" i="19"/>
  <c r="AP73" i="19"/>
  <c r="AQ73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Q161" i="19"/>
  <c r="AF322" i="19"/>
  <c r="AG322" i="19"/>
  <c r="AH322" i="19"/>
  <c r="AI322" i="19"/>
  <c r="AJ322" i="19"/>
  <c r="AK322" i="19"/>
  <c r="AL322" i="19"/>
  <c r="AM322" i="19"/>
  <c r="AN322" i="19"/>
  <c r="AO322" i="19"/>
  <c r="AP322" i="19"/>
  <c r="AQ322" i="19"/>
  <c r="AF241" i="19"/>
  <c r="AG241" i="19"/>
  <c r="AH241" i="19"/>
  <c r="AI241" i="19"/>
  <c r="AJ241" i="19"/>
  <c r="AK241" i="19"/>
  <c r="AL241" i="19"/>
  <c r="AM241" i="19"/>
  <c r="AN241" i="19"/>
  <c r="AO241" i="19"/>
  <c r="AP241" i="19"/>
  <c r="AQ241" i="19"/>
  <c r="AF251" i="19"/>
  <c r="AG251" i="19"/>
  <c r="AH251" i="19"/>
  <c r="AI251" i="19"/>
  <c r="AJ251" i="19"/>
  <c r="AK251" i="19"/>
  <c r="AL251" i="19"/>
  <c r="AM251" i="19"/>
  <c r="AN251" i="19"/>
  <c r="AO251" i="19"/>
  <c r="AP251" i="19"/>
  <c r="AQ251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Q162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Q163" i="19"/>
  <c r="AF323" i="19"/>
  <c r="AG323" i="19"/>
  <c r="AH323" i="19"/>
  <c r="AI323" i="19"/>
  <c r="AJ323" i="19"/>
  <c r="AK323" i="19"/>
  <c r="AL323" i="19"/>
  <c r="AM323" i="19"/>
  <c r="AN323" i="19"/>
  <c r="AO323" i="19"/>
  <c r="AP323" i="19"/>
  <c r="AQ323" i="19"/>
  <c r="AF324" i="19"/>
  <c r="AG324" i="19"/>
  <c r="AH324" i="19"/>
  <c r="AI324" i="19"/>
  <c r="AJ324" i="19"/>
  <c r="AK324" i="19"/>
  <c r="AL324" i="19"/>
  <c r="AM324" i="19"/>
  <c r="AN324" i="19"/>
  <c r="AO324" i="19"/>
  <c r="AP324" i="19"/>
  <c r="AQ324" i="19"/>
  <c r="AF21" i="19"/>
  <c r="AG21" i="19"/>
  <c r="AH21" i="19"/>
  <c r="AI21" i="19"/>
  <c r="AJ21" i="19"/>
  <c r="AK21" i="19"/>
  <c r="AL21" i="19"/>
  <c r="AM21" i="19"/>
  <c r="AN21" i="19"/>
  <c r="AO21" i="19"/>
  <c r="AP21" i="19"/>
  <c r="AQ21" i="19"/>
  <c r="A6" i="25"/>
  <c r="B6" i="25"/>
  <c r="A7" i="25"/>
  <c r="B7" i="25"/>
  <c r="A8" i="25"/>
  <c r="B8" i="25"/>
  <c r="A9" i="25"/>
  <c r="B9" i="25"/>
  <c r="A10" i="25"/>
  <c r="B10" i="25"/>
  <c r="A11" i="25"/>
  <c r="B11" i="25"/>
  <c r="A12" i="25"/>
  <c r="B12" i="25"/>
  <c r="A13" i="25"/>
  <c r="B13" i="25"/>
  <c r="A14" i="25"/>
  <c r="B14" i="25"/>
  <c r="A15" i="25"/>
  <c r="B15" i="25"/>
  <c r="A16" i="25"/>
  <c r="B16" i="25"/>
  <c r="A17" i="25"/>
  <c r="B17" i="25"/>
  <c r="A18" i="25"/>
  <c r="B18" i="25"/>
  <c r="A19" i="25"/>
  <c r="B19" i="25"/>
  <c r="A20" i="25"/>
  <c r="B20" i="25"/>
  <c r="A21" i="25"/>
  <c r="B21" i="25"/>
  <c r="A22" i="25"/>
  <c r="B22" i="25"/>
  <c r="A23" i="25"/>
  <c r="B23" i="25"/>
  <c r="A24" i="25"/>
  <c r="B24" i="25"/>
  <c r="A25" i="25"/>
  <c r="B25" i="25"/>
  <c r="A26" i="25"/>
  <c r="B26" i="25"/>
  <c r="A27" i="25"/>
  <c r="B27" i="25"/>
  <c r="A28" i="25"/>
  <c r="B28" i="25"/>
  <c r="A29" i="25"/>
  <c r="B29" i="25"/>
  <c r="A30" i="25"/>
  <c r="B30" i="25"/>
  <c r="A31" i="25"/>
  <c r="B31" i="25"/>
  <c r="A32" i="25"/>
  <c r="B32" i="25"/>
  <c r="A33" i="25"/>
  <c r="B33" i="25"/>
  <c r="A34" i="25"/>
  <c r="B34" i="25"/>
  <c r="A35" i="25"/>
  <c r="B35" i="25"/>
  <c r="A36" i="25"/>
  <c r="B36" i="25"/>
  <c r="A37" i="25"/>
  <c r="B37" i="25"/>
  <c r="A38" i="25"/>
  <c r="B38" i="25"/>
  <c r="A39" i="25"/>
  <c r="B39" i="25"/>
  <c r="A40" i="25"/>
  <c r="B40" i="25"/>
  <c r="A41" i="25"/>
  <c r="B41" i="25"/>
  <c r="A42" i="25"/>
  <c r="B42" i="25"/>
  <c r="A43" i="25"/>
  <c r="B43" i="25"/>
  <c r="A44" i="25"/>
  <c r="B44" i="25"/>
  <c r="A45" i="25"/>
  <c r="B45" i="25"/>
  <c r="A46" i="25"/>
  <c r="B46" i="25"/>
  <c r="A47" i="25"/>
  <c r="B47" i="25"/>
  <c r="A48" i="25"/>
  <c r="B48" i="25"/>
  <c r="A49" i="25"/>
  <c r="B49" i="25"/>
  <c r="A50" i="25"/>
  <c r="B50" i="25"/>
  <c r="A51" i="25"/>
  <c r="B51" i="25"/>
  <c r="A52" i="25"/>
  <c r="B52" i="25"/>
  <c r="A53" i="25"/>
  <c r="B53" i="25"/>
  <c r="A54" i="25"/>
  <c r="B54" i="25"/>
  <c r="A55" i="25"/>
  <c r="B55" i="25"/>
  <c r="A56" i="25"/>
  <c r="B56" i="25"/>
  <c r="A57" i="25"/>
  <c r="B57" i="25"/>
  <c r="A58" i="25"/>
  <c r="B58" i="25"/>
  <c r="A59" i="25"/>
  <c r="B59" i="25"/>
  <c r="A60" i="25"/>
  <c r="B60" i="25"/>
  <c r="A61" i="25"/>
  <c r="B61" i="25"/>
  <c r="A62" i="25"/>
  <c r="B62" i="25"/>
  <c r="A63" i="25"/>
  <c r="B63" i="25"/>
  <c r="A64" i="25"/>
  <c r="B64" i="25"/>
  <c r="A65" i="25"/>
  <c r="B65" i="25"/>
  <c r="A66" i="25"/>
  <c r="B66" i="25"/>
  <c r="A67" i="25"/>
  <c r="B67" i="25"/>
  <c r="A68" i="25"/>
  <c r="B68" i="25"/>
  <c r="A69" i="25"/>
  <c r="B69" i="25"/>
  <c r="A70" i="25"/>
  <c r="B70" i="25"/>
  <c r="A71" i="25"/>
  <c r="B71" i="25"/>
  <c r="A72" i="25"/>
  <c r="B72" i="25"/>
  <c r="A73" i="25"/>
  <c r="B73" i="25"/>
  <c r="A74" i="25"/>
  <c r="B74" i="25"/>
  <c r="A75" i="25"/>
  <c r="B75" i="25"/>
  <c r="A76" i="25"/>
  <c r="B76" i="25"/>
  <c r="A77" i="25"/>
  <c r="B77" i="25"/>
  <c r="A78" i="25"/>
  <c r="B78" i="25"/>
  <c r="A79" i="25"/>
  <c r="B79" i="25"/>
  <c r="A80" i="25"/>
  <c r="B80" i="25"/>
  <c r="A81" i="25"/>
  <c r="B81" i="25"/>
  <c r="A82" i="25"/>
  <c r="B82" i="25"/>
  <c r="A83" i="25"/>
  <c r="B83" i="25"/>
  <c r="A84" i="25"/>
  <c r="B84" i="25"/>
  <c r="A85" i="25"/>
  <c r="B85" i="25"/>
  <c r="A86" i="25"/>
  <c r="B86" i="25"/>
  <c r="A87" i="25"/>
  <c r="B87" i="25"/>
  <c r="A88" i="25"/>
  <c r="B88" i="25"/>
  <c r="A89" i="25"/>
  <c r="B89" i="25"/>
  <c r="A90" i="25"/>
  <c r="B90" i="25"/>
  <c r="A91" i="25"/>
  <c r="B91" i="25"/>
  <c r="A92" i="25"/>
  <c r="B92" i="25"/>
  <c r="A95" i="25"/>
  <c r="B95" i="25"/>
  <c r="A96" i="25"/>
  <c r="B96" i="25"/>
  <c r="A97" i="25"/>
  <c r="B97" i="25"/>
  <c r="A98" i="25"/>
  <c r="B98" i="25"/>
  <c r="A99" i="25"/>
  <c r="B99" i="25"/>
  <c r="A100" i="25"/>
  <c r="B100" i="25"/>
  <c r="A101" i="25"/>
  <c r="B101" i="25"/>
  <c r="A102" i="25"/>
  <c r="B102" i="25"/>
  <c r="A103" i="25"/>
  <c r="B103" i="25"/>
  <c r="A104" i="25"/>
  <c r="B104" i="25"/>
  <c r="A105" i="25"/>
  <c r="B105" i="25"/>
  <c r="A106" i="25"/>
  <c r="B106" i="25"/>
  <c r="A107" i="25"/>
  <c r="B107" i="25"/>
  <c r="A108" i="25"/>
  <c r="B108" i="25"/>
  <c r="A109" i="25"/>
  <c r="B109" i="25"/>
  <c r="A110" i="25"/>
  <c r="B110" i="25"/>
  <c r="A111" i="25"/>
  <c r="B111" i="25"/>
  <c r="A112" i="25"/>
  <c r="B112" i="25"/>
  <c r="A113" i="25"/>
  <c r="B113" i="25"/>
  <c r="A114" i="25"/>
  <c r="B114" i="25"/>
  <c r="A115" i="25"/>
  <c r="B115" i="25"/>
  <c r="A116" i="25"/>
  <c r="B116" i="25"/>
  <c r="A117" i="25"/>
  <c r="B117" i="25"/>
  <c r="A118" i="25"/>
  <c r="B118" i="25"/>
  <c r="A119" i="25"/>
  <c r="B119" i="25"/>
  <c r="A120" i="25"/>
  <c r="B120" i="25"/>
  <c r="A121" i="25"/>
  <c r="B121" i="25"/>
  <c r="A122" i="25"/>
  <c r="B122" i="25"/>
  <c r="A123" i="25"/>
  <c r="B123" i="25"/>
  <c r="A124" i="25"/>
  <c r="B124" i="25"/>
  <c r="A125" i="25"/>
  <c r="B125" i="25"/>
  <c r="A126" i="25"/>
  <c r="B126" i="25"/>
  <c r="A127" i="25"/>
  <c r="B127" i="25"/>
  <c r="A128" i="25"/>
  <c r="B128" i="25"/>
  <c r="A129" i="25"/>
  <c r="B129" i="25"/>
  <c r="A130" i="25"/>
  <c r="B130" i="25"/>
  <c r="A131" i="25"/>
  <c r="B131" i="25"/>
  <c r="A132" i="25"/>
  <c r="B132" i="25"/>
  <c r="A133" i="25"/>
  <c r="B133" i="25"/>
  <c r="A134" i="25"/>
  <c r="B134" i="25"/>
  <c r="A135" i="25"/>
  <c r="B135" i="25"/>
  <c r="A136" i="25"/>
  <c r="B136" i="25"/>
  <c r="A137" i="25"/>
  <c r="B137" i="25"/>
  <c r="A138" i="25"/>
  <c r="B138" i="25"/>
  <c r="A139" i="25"/>
  <c r="B139" i="25"/>
  <c r="A140" i="25"/>
  <c r="B140" i="25"/>
  <c r="A141" i="25"/>
  <c r="B141" i="25"/>
  <c r="A142" i="25"/>
  <c r="B142" i="25"/>
  <c r="A143" i="25"/>
  <c r="B143" i="25"/>
  <c r="A144" i="25"/>
  <c r="B144" i="25"/>
  <c r="A145" i="25"/>
  <c r="B145" i="25"/>
  <c r="A146" i="25"/>
  <c r="B146" i="25"/>
  <c r="A147" i="25"/>
  <c r="B147" i="25"/>
  <c r="A148" i="25"/>
  <c r="B148" i="25"/>
  <c r="A149" i="25"/>
  <c r="B149" i="25"/>
  <c r="A150" i="25"/>
  <c r="B150" i="25"/>
  <c r="A151" i="25"/>
  <c r="B151" i="25"/>
  <c r="A152" i="25"/>
  <c r="B152" i="25"/>
  <c r="A153" i="25"/>
  <c r="B153" i="25"/>
  <c r="A154" i="25"/>
  <c r="B154" i="25"/>
  <c r="A155" i="25"/>
  <c r="B155" i="25"/>
  <c r="A156" i="25"/>
  <c r="B156" i="25"/>
  <c r="A157" i="25"/>
  <c r="B157" i="25"/>
  <c r="A158" i="25"/>
  <c r="B158" i="25"/>
  <c r="A159" i="25"/>
  <c r="B159" i="25"/>
  <c r="A160" i="25"/>
  <c r="B160" i="25"/>
  <c r="A161" i="25"/>
  <c r="B161" i="25"/>
  <c r="A162" i="25"/>
  <c r="B162" i="25"/>
  <c r="A163" i="25"/>
  <c r="B163" i="25"/>
  <c r="A164" i="25"/>
  <c r="B164" i="25"/>
  <c r="A165" i="25"/>
  <c r="B165" i="25"/>
  <c r="A166" i="25"/>
  <c r="B166" i="25"/>
  <c r="A167" i="25"/>
  <c r="B167" i="25"/>
  <c r="A168" i="25"/>
  <c r="B168" i="25"/>
  <c r="A169" i="25"/>
  <c r="B169" i="25"/>
  <c r="A170" i="25"/>
  <c r="B170" i="25"/>
  <c r="A171" i="25"/>
  <c r="B171" i="25"/>
  <c r="A172" i="25"/>
  <c r="B172" i="25"/>
  <c r="A173" i="25"/>
  <c r="B173" i="25"/>
  <c r="A174" i="25"/>
  <c r="B174" i="25"/>
  <c r="A175" i="25"/>
  <c r="B175" i="25"/>
  <c r="A176" i="25"/>
  <c r="B176" i="25"/>
  <c r="A177" i="25"/>
  <c r="B177" i="25"/>
  <c r="A178" i="25"/>
  <c r="B178" i="25"/>
  <c r="A179" i="25"/>
  <c r="B179" i="25"/>
  <c r="A180" i="25"/>
  <c r="B180" i="25"/>
  <c r="A181" i="25"/>
  <c r="B181" i="25"/>
  <c r="A182" i="25"/>
  <c r="B182" i="25"/>
  <c r="A185" i="25"/>
  <c r="B185" i="25"/>
  <c r="A186" i="25"/>
  <c r="B186" i="25"/>
  <c r="A187" i="25"/>
  <c r="B187" i="25"/>
  <c r="A188" i="25"/>
  <c r="B188" i="25"/>
  <c r="A189" i="25"/>
  <c r="B189" i="25"/>
  <c r="A190" i="25"/>
  <c r="B190" i="25"/>
  <c r="A191" i="25"/>
  <c r="B191" i="25"/>
  <c r="A192" i="25"/>
  <c r="B192" i="25"/>
  <c r="A193" i="25"/>
  <c r="B193" i="25"/>
  <c r="A194" i="25"/>
  <c r="B194" i="25"/>
  <c r="A195" i="25"/>
  <c r="B195" i="25"/>
  <c r="A196" i="25"/>
  <c r="B196" i="25"/>
  <c r="A197" i="25"/>
  <c r="B197" i="25"/>
  <c r="A198" i="25"/>
  <c r="B198" i="25"/>
  <c r="A199" i="25"/>
  <c r="B199" i="25"/>
  <c r="A200" i="25"/>
  <c r="B200" i="25"/>
  <c r="A201" i="25"/>
  <c r="B201" i="25"/>
  <c r="A202" i="25"/>
  <c r="B202" i="25"/>
  <c r="A203" i="25"/>
  <c r="B203" i="25"/>
  <c r="A204" i="25"/>
  <c r="B204" i="25"/>
  <c r="A205" i="25"/>
  <c r="B205" i="25"/>
  <c r="A206" i="25"/>
  <c r="B206" i="25"/>
  <c r="A207" i="25"/>
  <c r="B207" i="25"/>
  <c r="A208" i="25"/>
  <c r="B208" i="25"/>
  <c r="A209" i="25"/>
  <c r="B209" i="25"/>
  <c r="A210" i="25"/>
  <c r="B210" i="25"/>
  <c r="A211" i="25"/>
  <c r="B211" i="25"/>
  <c r="A212" i="25"/>
  <c r="B212" i="25"/>
  <c r="A213" i="25"/>
  <c r="B213" i="25"/>
  <c r="A214" i="25"/>
  <c r="B214" i="25"/>
  <c r="A215" i="25"/>
  <c r="B215" i="25"/>
  <c r="A216" i="25"/>
  <c r="B216" i="25"/>
  <c r="A217" i="25"/>
  <c r="B217" i="25"/>
  <c r="A218" i="25"/>
  <c r="B218" i="25"/>
  <c r="A219" i="25"/>
  <c r="B219" i="25"/>
  <c r="A220" i="25"/>
  <c r="B220" i="25"/>
  <c r="A221" i="25"/>
  <c r="B221" i="25"/>
  <c r="A222" i="25"/>
  <c r="B222" i="25"/>
  <c r="A223" i="25"/>
  <c r="B223" i="25"/>
  <c r="A224" i="25"/>
  <c r="B224" i="25"/>
  <c r="A225" i="25"/>
  <c r="B225" i="25"/>
  <c r="A226" i="25"/>
  <c r="B226" i="25"/>
  <c r="A227" i="25"/>
  <c r="B227" i="25"/>
  <c r="A228" i="25"/>
  <c r="B228" i="25"/>
  <c r="A229" i="25"/>
  <c r="B229" i="25"/>
  <c r="A230" i="25"/>
  <c r="B230" i="25"/>
  <c r="A231" i="25"/>
  <c r="B231" i="25"/>
  <c r="A232" i="25"/>
  <c r="B232" i="25"/>
  <c r="A233" i="25"/>
  <c r="B233" i="25"/>
  <c r="A234" i="25"/>
  <c r="B234" i="25"/>
  <c r="A235" i="25"/>
  <c r="B235" i="25"/>
  <c r="A236" i="25"/>
  <c r="B236" i="25"/>
  <c r="A237" i="25"/>
  <c r="B237" i="25"/>
  <c r="A238" i="25"/>
  <c r="B238" i="25"/>
  <c r="A239" i="25"/>
  <c r="B239" i="25"/>
  <c r="A240" i="25"/>
  <c r="B240" i="25"/>
  <c r="A241" i="25"/>
  <c r="B241" i="25"/>
  <c r="A242" i="25"/>
  <c r="B242" i="25"/>
  <c r="A243" i="25"/>
  <c r="B243" i="25"/>
  <c r="A244" i="25"/>
  <c r="B244" i="25"/>
  <c r="A245" i="25"/>
  <c r="B245" i="25"/>
  <c r="A246" i="25"/>
  <c r="B246" i="25"/>
  <c r="A247" i="25"/>
  <c r="B247" i="25"/>
  <c r="A248" i="25"/>
  <c r="B248" i="25"/>
  <c r="A249" i="25"/>
  <c r="B249" i="25"/>
  <c r="A250" i="25"/>
  <c r="B250" i="25"/>
  <c r="A253" i="25"/>
  <c r="B253" i="25"/>
  <c r="A254" i="25"/>
  <c r="B254" i="25"/>
  <c r="A255" i="25"/>
  <c r="B255" i="25"/>
  <c r="A256" i="25"/>
  <c r="B256" i="25"/>
  <c r="A257" i="25"/>
  <c r="B257" i="25"/>
  <c r="A258" i="25"/>
  <c r="B258" i="25"/>
  <c r="A259" i="25"/>
  <c r="B259" i="25"/>
  <c r="A260" i="25"/>
  <c r="B260" i="25"/>
  <c r="A261" i="25"/>
  <c r="B261" i="25"/>
  <c r="A262" i="25"/>
  <c r="B262" i="25"/>
  <c r="A264" i="25"/>
  <c r="B264" i="25"/>
  <c r="A265" i="25"/>
  <c r="B265" i="25"/>
  <c r="A266" i="25"/>
  <c r="B266" i="25"/>
  <c r="A267" i="25"/>
  <c r="B267" i="25"/>
  <c r="A268" i="25"/>
  <c r="B268" i="25"/>
  <c r="A269" i="25"/>
  <c r="B269" i="25"/>
  <c r="A270" i="25"/>
  <c r="B270" i="25"/>
  <c r="A271" i="25"/>
  <c r="B271" i="25"/>
  <c r="A272" i="25"/>
  <c r="B272" i="25"/>
  <c r="A273" i="25"/>
  <c r="B273" i="25"/>
  <c r="A274" i="25"/>
  <c r="B274" i="25"/>
  <c r="A275" i="25"/>
  <c r="B275" i="25"/>
  <c r="A276" i="25"/>
  <c r="B276" i="25"/>
  <c r="A277" i="25"/>
  <c r="B277" i="25"/>
  <c r="A278" i="25"/>
  <c r="B278" i="25"/>
  <c r="A279" i="25"/>
  <c r="B279" i="25"/>
  <c r="A280" i="25"/>
  <c r="B280" i="25"/>
  <c r="A281" i="25"/>
  <c r="B281" i="25"/>
  <c r="A282" i="25"/>
  <c r="B282" i="25"/>
  <c r="A283" i="25"/>
  <c r="B283" i="25"/>
  <c r="A284" i="25"/>
  <c r="B284" i="25"/>
  <c r="A285" i="25"/>
  <c r="B285" i="25"/>
  <c r="A286" i="25"/>
  <c r="B286" i="25"/>
  <c r="A287" i="25"/>
  <c r="B287" i="25"/>
  <c r="A288" i="25"/>
  <c r="B288" i="25"/>
  <c r="A289" i="25"/>
  <c r="B289" i="25"/>
  <c r="A290" i="25"/>
  <c r="B290" i="25"/>
  <c r="A291" i="25"/>
  <c r="B291" i="25"/>
  <c r="A292" i="25"/>
  <c r="B292" i="25"/>
  <c r="A293" i="25"/>
  <c r="B293" i="25"/>
  <c r="A294" i="25"/>
  <c r="B294" i="25"/>
  <c r="A295" i="25"/>
  <c r="B295" i="25"/>
  <c r="A296" i="25"/>
  <c r="B296" i="25"/>
  <c r="A297" i="25"/>
  <c r="B297" i="25"/>
  <c r="A298" i="25"/>
  <c r="B298" i="25"/>
  <c r="A299" i="25"/>
  <c r="B299" i="25"/>
  <c r="A300" i="25"/>
  <c r="B300" i="25"/>
  <c r="A301" i="25"/>
  <c r="B301" i="25"/>
  <c r="A302" i="25"/>
  <c r="B302" i="25"/>
  <c r="A303" i="25"/>
  <c r="B303" i="25"/>
  <c r="A304" i="25"/>
  <c r="B304" i="25"/>
  <c r="A305" i="25"/>
  <c r="B305" i="25"/>
  <c r="A306" i="25"/>
  <c r="B306" i="25"/>
  <c r="A307" i="25"/>
  <c r="B307" i="25"/>
  <c r="A308" i="25"/>
  <c r="B308" i="25"/>
  <c r="A309" i="25"/>
  <c r="B309" i="25"/>
  <c r="A310" i="25"/>
  <c r="B310" i="25"/>
  <c r="A311" i="25"/>
  <c r="B311" i="25"/>
  <c r="A312" i="25"/>
  <c r="B312" i="25"/>
  <c r="A313" i="25"/>
  <c r="B313" i="25"/>
  <c r="A314" i="25"/>
  <c r="B314" i="25"/>
  <c r="A315" i="25"/>
  <c r="B315" i="25"/>
  <c r="A316" i="25"/>
  <c r="B316" i="25"/>
  <c r="A317" i="25"/>
  <c r="B317" i="25"/>
  <c r="A318" i="25"/>
  <c r="B318" i="25"/>
  <c r="A319" i="25"/>
  <c r="B319" i="25"/>
  <c r="A320" i="25"/>
  <c r="B320" i="25"/>
  <c r="A321" i="25"/>
  <c r="B321" i="25"/>
  <c r="A322" i="25"/>
  <c r="B322" i="25"/>
  <c r="A323" i="25"/>
  <c r="B323" i="25"/>
  <c r="G76" i="36"/>
  <c r="G32" i="36"/>
  <c r="X11" i="42"/>
  <c r="M68" i="42"/>
  <c r="X68" i="42" s="1"/>
  <c r="H324" i="13"/>
  <c r="K324" i="13" s="1"/>
  <c r="C323" i="25" l="1"/>
  <c r="E323" i="49"/>
  <c r="C316" i="25"/>
  <c r="E316" i="49"/>
  <c r="C312" i="25"/>
  <c r="E312" i="49"/>
  <c r="C300" i="25"/>
  <c r="E300" i="49"/>
  <c r="C292" i="25"/>
  <c r="E292" i="49"/>
  <c r="C276" i="25"/>
  <c r="E276" i="49"/>
  <c r="C268" i="25"/>
  <c r="E268" i="49"/>
  <c r="C260" i="25"/>
  <c r="E260" i="49"/>
  <c r="C236" i="25"/>
  <c r="E236" i="49"/>
  <c r="C232" i="25"/>
  <c r="E232" i="49"/>
  <c r="C212" i="25"/>
  <c r="E212" i="49"/>
  <c r="C192" i="25"/>
  <c r="E192" i="49"/>
  <c r="C184" i="25"/>
  <c r="E184" i="49"/>
  <c r="C160" i="25"/>
  <c r="E160" i="49"/>
  <c r="C156" i="25"/>
  <c r="E156" i="49"/>
  <c r="C148" i="25"/>
  <c r="E148" i="49"/>
  <c r="C140" i="25"/>
  <c r="E140" i="49"/>
  <c r="C124" i="25"/>
  <c r="E124" i="49"/>
  <c r="C116" i="25"/>
  <c r="E116" i="49"/>
  <c r="C112" i="25"/>
  <c r="E112" i="49"/>
  <c r="C104" i="25"/>
  <c r="E104" i="49"/>
  <c r="C100" i="25"/>
  <c r="E100" i="49"/>
  <c r="C92" i="25"/>
  <c r="E92" i="49"/>
  <c r="C84" i="25"/>
  <c r="E84" i="49"/>
  <c r="C76" i="25"/>
  <c r="E76" i="49"/>
  <c r="C68" i="25"/>
  <c r="E68" i="49"/>
  <c r="C60" i="25"/>
  <c r="E60" i="49"/>
  <c r="C52" i="25"/>
  <c r="E52" i="49"/>
  <c r="C44" i="25"/>
  <c r="E44" i="49"/>
  <c r="C36" i="25"/>
  <c r="E36" i="49"/>
  <c r="C20" i="25"/>
  <c r="E20" i="49"/>
  <c r="C16" i="25"/>
  <c r="E16" i="49"/>
  <c r="C8" i="25"/>
  <c r="E8" i="49"/>
  <c r="C315" i="25"/>
  <c r="E315" i="49"/>
  <c r="C299" i="25"/>
  <c r="E299" i="49"/>
  <c r="C291" i="25"/>
  <c r="E291" i="49"/>
  <c r="C287" i="25"/>
  <c r="E287" i="49"/>
  <c r="C279" i="25"/>
  <c r="E279" i="49"/>
  <c r="C271" i="25"/>
  <c r="E271" i="49"/>
  <c r="C263" i="25"/>
  <c r="E263" i="49"/>
  <c r="C259" i="25"/>
  <c r="E259" i="49"/>
  <c r="C243" i="25"/>
  <c r="E243" i="49"/>
  <c r="C239" i="25"/>
  <c r="E239" i="49"/>
  <c r="C219" i="25"/>
  <c r="E219" i="49"/>
  <c r="C211" i="25"/>
  <c r="E211" i="49"/>
  <c r="C203" i="25"/>
  <c r="E203" i="49"/>
  <c r="C191" i="25"/>
  <c r="E191" i="49"/>
  <c r="C183" i="25"/>
  <c r="E183" i="49"/>
  <c r="C159" i="25"/>
  <c r="E159" i="49"/>
  <c r="C151" i="25"/>
  <c r="E151" i="49"/>
  <c r="C59" i="25"/>
  <c r="E59" i="49"/>
  <c r="C51" i="25"/>
  <c r="E51" i="49"/>
  <c r="C7" i="25"/>
  <c r="E7" i="49"/>
  <c r="C318" i="25"/>
  <c r="E318" i="49"/>
  <c r="C314" i="25"/>
  <c r="E314" i="49"/>
  <c r="C302" i="25"/>
  <c r="E302" i="49"/>
  <c r="C298" i="25"/>
  <c r="E298" i="49"/>
  <c r="C294" i="25"/>
  <c r="E294" i="49"/>
  <c r="C290" i="25"/>
  <c r="E290" i="49"/>
  <c r="C286" i="25"/>
  <c r="E286" i="49"/>
  <c r="C282" i="25"/>
  <c r="E282" i="49"/>
  <c r="C274" i="25"/>
  <c r="E274" i="49"/>
  <c r="C270" i="25"/>
  <c r="E270" i="49"/>
  <c r="C266" i="25"/>
  <c r="E266" i="49"/>
  <c r="C262" i="25"/>
  <c r="E262" i="49"/>
  <c r="C258" i="25"/>
  <c r="E258" i="49"/>
  <c r="C250" i="25"/>
  <c r="E250" i="49"/>
  <c r="C246" i="25"/>
  <c r="E246" i="49"/>
  <c r="C242" i="25"/>
  <c r="E242" i="49"/>
  <c r="C238" i="25"/>
  <c r="E238" i="49"/>
  <c r="C234" i="25"/>
  <c r="E234" i="49"/>
  <c r="C230" i="25"/>
  <c r="E230" i="49"/>
  <c r="C226" i="25"/>
  <c r="E226" i="49"/>
  <c r="C222" i="25"/>
  <c r="E222" i="49"/>
  <c r="C218" i="25"/>
  <c r="E218" i="49"/>
  <c r="C214" i="25"/>
  <c r="E214" i="49"/>
  <c r="C210" i="25"/>
  <c r="E210" i="49"/>
  <c r="C206" i="25"/>
  <c r="E206" i="49"/>
  <c r="C198" i="25"/>
  <c r="E198" i="49"/>
  <c r="C194" i="25"/>
  <c r="E194" i="49"/>
  <c r="C190" i="25"/>
  <c r="E190" i="49"/>
  <c r="C186" i="25"/>
  <c r="E186" i="49"/>
  <c r="C182" i="25"/>
  <c r="E182" i="49"/>
  <c r="C178" i="25"/>
  <c r="E178" i="49"/>
  <c r="C170" i="25"/>
  <c r="E170" i="49"/>
  <c r="C166" i="25"/>
  <c r="E166" i="49"/>
  <c r="C162" i="25"/>
  <c r="E162" i="49"/>
  <c r="C158" i="25"/>
  <c r="E158" i="49"/>
  <c r="C154" i="25"/>
  <c r="E154" i="49"/>
  <c r="C150" i="25"/>
  <c r="E150" i="49"/>
  <c r="C138" i="25"/>
  <c r="E138" i="49"/>
  <c r="C130" i="25"/>
  <c r="E130" i="49"/>
  <c r="C126" i="25"/>
  <c r="E126" i="49"/>
  <c r="C122" i="25"/>
  <c r="E122" i="49"/>
  <c r="C114" i="25"/>
  <c r="E114" i="49"/>
  <c r="C110" i="25"/>
  <c r="E110" i="49"/>
  <c r="C106" i="25"/>
  <c r="E106" i="49"/>
  <c r="C102" i="25"/>
  <c r="E102" i="49"/>
  <c r="C98" i="25"/>
  <c r="E98" i="49"/>
  <c r="C94" i="25"/>
  <c r="E94" i="49"/>
  <c r="C90" i="25"/>
  <c r="E90" i="49"/>
  <c r="C82" i="25"/>
  <c r="E82" i="49"/>
  <c r="C78" i="25"/>
  <c r="E78" i="49"/>
  <c r="C74" i="25"/>
  <c r="E74" i="49"/>
  <c r="C70" i="25"/>
  <c r="E70" i="49"/>
  <c r="C66" i="25"/>
  <c r="E66" i="49"/>
  <c r="C62" i="25"/>
  <c r="E62" i="49"/>
  <c r="C58" i="25"/>
  <c r="E58" i="49"/>
  <c r="C54" i="25"/>
  <c r="E54" i="49"/>
  <c r="C50" i="25"/>
  <c r="E50" i="49"/>
  <c r="C46" i="25"/>
  <c r="E46" i="49"/>
  <c r="C42" i="25"/>
  <c r="E42" i="49"/>
  <c r="C38" i="25"/>
  <c r="E38" i="49"/>
  <c r="C34" i="25"/>
  <c r="E34" i="49"/>
  <c r="C30" i="25"/>
  <c r="E30" i="49"/>
  <c r="C26" i="25"/>
  <c r="E26" i="49"/>
  <c r="C22" i="25"/>
  <c r="E22" i="49"/>
  <c r="C18" i="25"/>
  <c r="E18" i="49"/>
  <c r="C14" i="25"/>
  <c r="E14" i="49"/>
  <c r="C10" i="25"/>
  <c r="E10" i="49"/>
  <c r="C6" i="25"/>
  <c r="E6" i="49"/>
  <c r="C320" i="25"/>
  <c r="E320" i="49"/>
  <c r="C308" i="25"/>
  <c r="E308" i="49"/>
  <c r="C288" i="25"/>
  <c r="E288" i="49"/>
  <c r="C280" i="25"/>
  <c r="E280" i="49"/>
  <c r="C272" i="25"/>
  <c r="E272" i="49"/>
  <c r="C256" i="25"/>
  <c r="E256" i="49"/>
  <c r="C216" i="25"/>
  <c r="E216" i="49"/>
  <c r="C208" i="25"/>
  <c r="E208" i="49"/>
  <c r="C196" i="25"/>
  <c r="E196" i="49"/>
  <c r="C180" i="25"/>
  <c r="E180" i="49"/>
  <c r="C176" i="25"/>
  <c r="E176" i="49"/>
  <c r="C144" i="25"/>
  <c r="E144" i="49"/>
  <c r="C108" i="25"/>
  <c r="E108" i="49"/>
  <c r="C88" i="25"/>
  <c r="E88" i="49"/>
  <c r="C80" i="25"/>
  <c r="E80" i="49"/>
  <c r="C72" i="25"/>
  <c r="E72" i="49"/>
  <c r="C64" i="25"/>
  <c r="E64" i="49"/>
  <c r="C56" i="25"/>
  <c r="E56" i="49"/>
  <c r="C48" i="25"/>
  <c r="E48" i="49"/>
  <c r="C40" i="25"/>
  <c r="E40" i="49"/>
  <c r="C32" i="25"/>
  <c r="E32" i="49"/>
  <c r="C12" i="25"/>
  <c r="E12" i="49"/>
  <c r="C319" i="25"/>
  <c r="E319" i="49"/>
  <c r="C311" i="25"/>
  <c r="E311" i="49"/>
  <c r="C307" i="25"/>
  <c r="E307" i="49"/>
  <c r="C303" i="25"/>
  <c r="E303" i="49"/>
  <c r="C295" i="25"/>
  <c r="E295" i="49"/>
  <c r="C283" i="25"/>
  <c r="E283" i="49"/>
  <c r="C275" i="25"/>
  <c r="E275" i="49"/>
  <c r="C267" i="25"/>
  <c r="E267" i="49"/>
  <c r="C255" i="25"/>
  <c r="E255" i="49"/>
  <c r="C247" i="25"/>
  <c r="E247" i="49"/>
  <c r="C231" i="25"/>
  <c r="E231" i="49"/>
  <c r="C223" i="25"/>
  <c r="E223" i="49"/>
  <c r="C215" i="25"/>
  <c r="E215" i="49"/>
  <c r="C207" i="25"/>
  <c r="E207" i="49"/>
  <c r="C199" i="25"/>
  <c r="E199" i="49"/>
  <c r="C195" i="25"/>
  <c r="E195" i="49"/>
  <c r="C187" i="25"/>
  <c r="E187" i="49"/>
  <c r="C179" i="25"/>
  <c r="E179" i="49"/>
  <c r="C163" i="25"/>
  <c r="E163" i="49"/>
  <c r="C155" i="25"/>
  <c r="E155" i="49"/>
  <c r="C147" i="25"/>
  <c r="E147" i="49"/>
  <c r="C135" i="25"/>
  <c r="E135" i="49"/>
  <c r="C47" i="25"/>
  <c r="E47" i="49"/>
  <c r="D324" i="49"/>
  <c r="C317" i="25"/>
  <c r="E317" i="49"/>
  <c r="C309" i="25"/>
  <c r="E309" i="49"/>
  <c r="C305" i="25"/>
  <c r="E305" i="49"/>
  <c r="C293" i="25"/>
  <c r="E293" i="49"/>
  <c r="C289" i="25"/>
  <c r="E289" i="49"/>
  <c r="C285" i="25"/>
  <c r="E285" i="49"/>
  <c r="C281" i="25"/>
  <c r="E281" i="49"/>
  <c r="C273" i="25"/>
  <c r="E273" i="49"/>
  <c r="C261" i="25"/>
  <c r="E261" i="49"/>
  <c r="C257" i="25"/>
  <c r="E257" i="49"/>
  <c r="C249" i="25"/>
  <c r="E249" i="49"/>
  <c r="C245" i="25"/>
  <c r="E245" i="49"/>
  <c r="C241" i="25"/>
  <c r="E241" i="49"/>
  <c r="C237" i="25"/>
  <c r="E237" i="49"/>
  <c r="C229" i="25"/>
  <c r="E229" i="49"/>
  <c r="C221" i="25"/>
  <c r="E221" i="49"/>
  <c r="C217" i="25"/>
  <c r="E217" i="49"/>
  <c r="C213" i="25"/>
  <c r="E213" i="49"/>
  <c r="C209" i="25"/>
  <c r="E209" i="49"/>
  <c r="C205" i="25"/>
  <c r="E205" i="49"/>
  <c r="C197" i="25"/>
  <c r="E197" i="49"/>
  <c r="C193" i="25"/>
  <c r="E193" i="49"/>
  <c r="C189" i="25"/>
  <c r="E189" i="49"/>
  <c r="C181" i="25"/>
  <c r="E181" i="49"/>
  <c r="C173" i="25"/>
  <c r="E173" i="49"/>
  <c r="C169" i="25"/>
  <c r="E169" i="49"/>
  <c r="C165" i="25"/>
  <c r="E165" i="49"/>
  <c r="C161" i="25"/>
  <c r="E161" i="49"/>
  <c r="C157" i="25"/>
  <c r="E157" i="49"/>
  <c r="C153" i="25"/>
  <c r="E153" i="49"/>
  <c r="C145" i="25"/>
  <c r="E145" i="49"/>
  <c r="C141" i="25"/>
  <c r="E141" i="49"/>
  <c r="C137" i="25"/>
  <c r="E137" i="49"/>
  <c r="C133" i="25"/>
  <c r="E133" i="49"/>
  <c r="C129" i="25"/>
  <c r="E129" i="49"/>
  <c r="C125" i="25"/>
  <c r="E125" i="49"/>
  <c r="C117" i="25"/>
  <c r="E117" i="49"/>
  <c r="C113" i="25"/>
  <c r="E113" i="49"/>
  <c r="C109" i="25"/>
  <c r="E109" i="49"/>
  <c r="C105" i="25"/>
  <c r="E105" i="49"/>
  <c r="C101" i="25"/>
  <c r="E101" i="49"/>
  <c r="C97" i="25"/>
  <c r="E97" i="49"/>
  <c r="C93" i="25"/>
  <c r="E93" i="49"/>
  <c r="C89" i="25"/>
  <c r="E89" i="49"/>
  <c r="C85" i="25"/>
  <c r="E85" i="49"/>
  <c r="C81" i="25"/>
  <c r="E81" i="49"/>
  <c r="C77" i="25"/>
  <c r="E77" i="49"/>
  <c r="C73" i="25"/>
  <c r="E73" i="49"/>
  <c r="C69" i="25"/>
  <c r="E69" i="49"/>
  <c r="C65" i="25"/>
  <c r="E65" i="49"/>
  <c r="C61" i="25"/>
  <c r="E61" i="49"/>
  <c r="C57" i="25"/>
  <c r="E57" i="49"/>
  <c r="C53" i="25"/>
  <c r="E53" i="49"/>
  <c r="C49" i="25"/>
  <c r="E49" i="49"/>
  <c r="C45" i="25"/>
  <c r="E45" i="49"/>
  <c r="C41" i="25"/>
  <c r="E41" i="49"/>
  <c r="C37" i="25"/>
  <c r="E37" i="49"/>
  <c r="C33" i="25"/>
  <c r="E33" i="49"/>
  <c r="C29" i="25"/>
  <c r="E29" i="49"/>
  <c r="C25" i="25"/>
  <c r="E25" i="49"/>
  <c r="C21" i="25"/>
  <c r="E21" i="49"/>
  <c r="C17" i="25"/>
  <c r="E17" i="49"/>
  <c r="C13" i="25"/>
  <c r="E13" i="49"/>
  <c r="C9" i="25"/>
  <c r="E9" i="49"/>
  <c r="Y263" i="19"/>
  <c r="C261" i="32" s="1"/>
  <c r="Y192" i="19"/>
  <c r="C190" i="32" s="1"/>
  <c r="H190" i="32" s="1"/>
  <c r="D196" i="9" s="1"/>
  <c r="Y166" i="19"/>
  <c r="C164" i="32" s="1"/>
  <c r="H164" i="32" s="1"/>
  <c r="D170" i="9" s="1"/>
  <c r="Y164" i="19"/>
  <c r="C162" i="32" s="1"/>
  <c r="H162" i="32" s="1"/>
  <c r="D168" i="9" s="1"/>
  <c r="Y321" i="19"/>
  <c r="C319" i="32" s="1"/>
  <c r="Y319" i="19"/>
  <c r="C317" i="32" s="1"/>
  <c r="E317" i="32" s="1"/>
  <c r="Y204" i="19"/>
  <c r="C202" i="32" s="1"/>
  <c r="H202" i="32" s="1"/>
  <c r="D208" i="9" s="1"/>
  <c r="Y170" i="19"/>
  <c r="C168" i="32" s="1"/>
  <c r="H168" i="32" s="1"/>
  <c r="D174" i="9" s="1"/>
  <c r="Y165" i="19"/>
  <c r="C163" i="32" s="1"/>
  <c r="Y160" i="19"/>
  <c r="C158" i="32" s="1"/>
  <c r="H158" i="32" s="1"/>
  <c r="D164" i="9" s="1"/>
  <c r="G262" i="36"/>
  <c r="G58" i="36"/>
  <c r="G298" i="36"/>
  <c r="G134" i="36"/>
  <c r="G207" i="36"/>
  <c r="G259" i="36"/>
  <c r="G211" i="36"/>
  <c r="G306" i="36"/>
  <c r="G160" i="36"/>
  <c r="G196" i="36"/>
  <c r="G190" i="36"/>
  <c r="G154" i="36"/>
  <c r="G276" i="36"/>
  <c r="G271" i="36"/>
  <c r="G294" i="36"/>
  <c r="G31" i="36"/>
  <c r="H204" i="36"/>
  <c r="H233" i="36"/>
  <c r="H139" i="36"/>
  <c r="H97" i="36"/>
  <c r="H207" i="36"/>
  <c r="H273" i="36"/>
  <c r="H271" i="36"/>
  <c r="H315" i="36"/>
  <c r="H214" i="36"/>
  <c r="H318" i="36"/>
  <c r="H181" i="36"/>
  <c r="H310" i="36"/>
  <c r="H34" i="36"/>
  <c r="H12" i="36"/>
  <c r="H222" i="36"/>
  <c r="H133" i="36"/>
  <c r="H38" i="36"/>
  <c r="H163" i="36"/>
  <c r="H188" i="36"/>
  <c r="H291" i="36"/>
  <c r="H264" i="36"/>
  <c r="G38" i="36"/>
  <c r="G272" i="36"/>
  <c r="G77" i="36"/>
  <c r="G19" i="36"/>
  <c r="G49" i="36"/>
  <c r="G105" i="36"/>
  <c r="G118" i="36"/>
  <c r="G307" i="36"/>
  <c r="G219" i="36"/>
  <c r="G157" i="36"/>
  <c r="G200" i="36"/>
  <c r="G313" i="36"/>
  <c r="G198" i="36"/>
  <c r="G147" i="36"/>
  <c r="G83" i="36"/>
  <c r="G14" i="36"/>
  <c r="G223" i="36"/>
  <c r="G143" i="36"/>
  <c r="G39" i="36"/>
  <c r="G23" i="36"/>
  <c r="G135" i="36"/>
  <c r="G220" i="36"/>
  <c r="G20" i="36"/>
  <c r="G60" i="36"/>
  <c r="G82" i="36"/>
  <c r="G248" i="36"/>
  <c r="G283" i="36"/>
  <c r="G87" i="36"/>
  <c r="G234" i="36"/>
  <c r="G42" i="36"/>
  <c r="G178" i="36"/>
  <c r="G148" i="36"/>
  <c r="G103" i="36"/>
  <c r="G164" i="36"/>
  <c r="G100" i="36"/>
  <c r="G112" i="36"/>
  <c r="G66" i="36"/>
  <c r="G71" i="36"/>
  <c r="G228" i="36"/>
  <c r="G275" i="36"/>
  <c r="G191" i="36"/>
  <c r="G210" i="36"/>
  <c r="G126" i="36"/>
  <c r="D322" i="25"/>
  <c r="D321" i="33"/>
  <c r="D318" i="25"/>
  <c r="D317" i="33"/>
  <c r="D314" i="25"/>
  <c r="D313" i="33"/>
  <c r="D310" i="25"/>
  <c r="D309" i="33"/>
  <c r="D306" i="25"/>
  <c r="D305" i="33"/>
  <c r="D302" i="25"/>
  <c r="D301" i="33"/>
  <c r="D298" i="25"/>
  <c r="D297" i="33"/>
  <c r="D294" i="25"/>
  <c r="D293" i="33"/>
  <c r="D290" i="25"/>
  <c r="D289" i="33"/>
  <c r="D286" i="25"/>
  <c r="D285" i="33"/>
  <c r="D282" i="25"/>
  <c r="D281" i="33"/>
  <c r="D278" i="25"/>
  <c r="D277" i="33"/>
  <c r="D274" i="25"/>
  <c r="D273" i="33"/>
  <c r="D270" i="25"/>
  <c r="D269" i="33"/>
  <c r="D266" i="25"/>
  <c r="D265" i="33"/>
  <c r="D262" i="25"/>
  <c r="D261" i="33"/>
  <c r="D258" i="25"/>
  <c r="D257" i="33"/>
  <c r="D254" i="25"/>
  <c r="D253" i="33"/>
  <c r="D250" i="25"/>
  <c r="D249" i="33"/>
  <c r="D246" i="25"/>
  <c r="D245" i="33"/>
  <c r="D242" i="25"/>
  <c r="D241" i="33"/>
  <c r="D238" i="25"/>
  <c r="D237" i="33"/>
  <c r="D234" i="25"/>
  <c r="D233" i="33"/>
  <c r="D230" i="25"/>
  <c r="D229" i="33"/>
  <c r="D226" i="25"/>
  <c r="D225" i="33"/>
  <c r="D222" i="25"/>
  <c r="D221" i="33"/>
  <c r="D218" i="25"/>
  <c r="D217" i="33"/>
  <c r="D214" i="25"/>
  <c r="D213" i="33"/>
  <c r="D210" i="25"/>
  <c r="D209" i="33"/>
  <c r="D206" i="25"/>
  <c r="D205" i="33"/>
  <c r="D202" i="25"/>
  <c r="D201" i="33"/>
  <c r="D198" i="25"/>
  <c r="D197" i="33"/>
  <c r="D194" i="25"/>
  <c r="D193" i="33"/>
  <c r="D190" i="25"/>
  <c r="D189" i="33"/>
  <c r="D186" i="25"/>
  <c r="D185" i="33"/>
  <c r="D182" i="25"/>
  <c r="D181" i="33"/>
  <c r="D178" i="25"/>
  <c r="D177" i="33"/>
  <c r="D174" i="25"/>
  <c r="D173" i="33"/>
  <c r="D170" i="25"/>
  <c r="D169" i="33"/>
  <c r="D166" i="25"/>
  <c r="D165" i="33"/>
  <c r="D162" i="25"/>
  <c r="D161" i="33"/>
  <c r="D158" i="25"/>
  <c r="D157" i="33"/>
  <c r="D154" i="25"/>
  <c r="D153" i="33"/>
  <c r="D150" i="25"/>
  <c r="D149" i="33"/>
  <c r="D146" i="25"/>
  <c r="D145" i="33"/>
  <c r="D142" i="25"/>
  <c r="D141" i="33"/>
  <c r="D138" i="25"/>
  <c r="D137" i="33"/>
  <c r="D134" i="25"/>
  <c r="D133" i="33"/>
  <c r="D130" i="25"/>
  <c r="D129" i="33"/>
  <c r="D126" i="25"/>
  <c r="D125" i="33"/>
  <c r="D122" i="25"/>
  <c r="D121" i="33"/>
  <c r="D118" i="25"/>
  <c r="D117" i="33"/>
  <c r="D114" i="25"/>
  <c r="D113" i="33"/>
  <c r="D110" i="25"/>
  <c r="D109" i="33"/>
  <c r="D106" i="25"/>
  <c r="D105" i="33"/>
  <c r="D102" i="25"/>
  <c r="D101" i="33"/>
  <c r="D98" i="25"/>
  <c r="D97" i="33"/>
  <c r="D94" i="25"/>
  <c r="D93" i="33"/>
  <c r="D90" i="25"/>
  <c r="D89" i="33"/>
  <c r="D86" i="25"/>
  <c r="D85" i="33"/>
  <c r="D82" i="25"/>
  <c r="D81" i="33"/>
  <c r="D78" i="25"/>
  <c r="D77" i="33"/>
  <c r="D74" i="25"/>
  <c r="D73" i="33"/>
  <c r="D70" i="25"/>
  <c r="D69" i="33"/>
  <c r="D66" i="25"/>
  <c r="D65" i="33"/>
  <c r="D62" i="25"/>
  <c r="D61" i="33"/>
  <c r="D58" i="25"/>
  <c r="D57" i="33"/>
  <c r="D54" i="25"/>
  <c r="D53" i="33"/>
  <c r="D50" i="25"/>
  <c r="D49" i="33"/>
  <c r="D46" i="25"/>
  <c r="D45" i="33"/>
  <c r="D42" i="25"/>
  <c r="D41" i="33"/>
  <c r="D38" i="25"/>
  <c r="D37" i="33"/>
  <c r="D34" i="25"/>
  <c r="D33" i="33"/>
  <c r="D30" i="25"/>
  <c r="D29" i="33"/>
  <c r="D26" i="25"/>
  <c r="D25" i="33"/>
  <c r="D22" i="25"/>
  <c r="D21" i="33"/>
  <c r="D18" i="25"/>
  <c r="D17" i="33"/>
  <c r="D14" i="25"/>
  <c r="D13" i="33"/>
  <c r="D10" i="25"/>
  <c r="D9" i="33"/>
  <c r="D6" i="25"/>
  <c r="D5" i="33"/>
  <c r="C321" i="25"/>
  <c r="C313" i="25"/>
  <c r="C301" i="25"/>
  <c r="L297" i="13"/>
  <c r="M297" i="13" s="1"/>
  <c r="C297" i="25"/>
  <c r="C277" i="25"/>
  <c r="C269" i="25"/>
  <c r="L265" i="13"/>
  <c r="M265" i="13" s="1"/>
  <c r="C265" i="25"/>
  <c r="L253" i="13"/>
  <c r="M253" i="13" s="1"/>
  <c r="C253" i="25"/>
  <c r="C233" i="25"/>
  <c r="C225" i="25"/>
  <c r="L201" i="13"/>
  <c r="M201" i="13" s="1"/>
  <c r="C201" i="25"/>
  <c r="L185" i="13"/>
  <c r="M185" i="13" s="1"/>
  <c r="C185" i="25"/>
  <c r="C177" i="25"/>
  <c r="L149" i="13"/>
  <c r="M149" i="13" s="1"/>
  <c r="C149" i="25"/>
  <c r="L121" i="13"/>
  <c r="M121" i="13" s="1"/>
  <c r="C121" i="25"/>
  <c r="D321" i="25"/>
  <c r="D320" i="33"/>
  <c r="D317" i="25"/>
  <c r="D316" i="33"/>
  <c r="D313" i="25"/>
  <c r="D312" i="33"/>
  <c r="D309" i="25"/>
  <c r="D308" i="33"/>
  <c r="D305" i="25"/>
  <c r="D304" i="33"/>
  <c r="D301" i="25"/>
  <c r="D300" i="33"/>
  <c r="D297" i="25"/>
  <c r="D296" i="33"/>
  <c r="D293" i="25"/>
  <c r="D292" i="33"/>
  <c r="D289" i="25"/>
  <c r="D288" i="33"/>
  <c r="D285" i="25"/>
  <c r="D284" i="33"/>
  <c r="D281" i="25"/>
  <c r="D280" i="33"/>
  <c r="D277" i="25"/>
  <c r="D276" i="33"/>
  <c r="D273" i="25"/>
  <c r="D272" i="33"/>
  <c r="D269" i="25"/>
  <c r="D268" i="33"/>
  <c r="D265" i="25"/>
  <c r="D264" i="33"/>
  <c r="D261" i="25"/>
  <c r="D260" i="33"/>
  <c r="D257" i="25"/>
  <c r="D256" i="33"/>
  <c r="D253" i="25"/>
  <c r="D252" i="33"/>
  <c r="D249" i="25"/>
  <c r="D248" i="33"/>
  <c r="D245" i="25"/>
  <c r="D244" i="33"/>
  <c r="D241" i="25"/>
  <c r="D240" i="33"/>
  <c r="D237" i="25"/>
  <c r="D236" i="33"/>
  <c r="D233" i="25"/>
  <c r="D232" i="33"/>
  <c r="D229" i="25"/>
  <c r="D228" i="33"/>
  <c r="D225" i="25"/>
  <c r="D224" i="33"/>
  <c r="D221" i="25"/>
  <c r="D220" i="33"/>
  <c r="D217" i="25"/>
  <c r="D216" i="33"/>
  <c r="D213" i="25"/>
  <c r="D212" i="33"/>
  <c r="D209" i="25"/>
  <c r="D208" i="33"/>
  <c r="D205" i="25"/>
  <c r="D204" i="33"/>
  <c r="D201" i="25"/>
  <c r="D200" i="33"/>
  <c r="D197" i="25"/>
  <c r="D196" i="33"/>
  <c r="D193" i="25"/>
  <c r="D192" i="33"/>
  <c r="D189" i="25"/>
  <c r="D188" i="33"/>
  <c r="D185" i="25"/>
  <c r="D184" i="33"/>
  <c r="D181" i="25"/>
  <c r="D180" i="33"/>
  <c r="D177" i="25"/>
  <c r="D176" i="33"/>
  <c r="D173" i="25"/>
  <c r="D172" i="33"/>
  <c r="D169" i="25"/>
  <c r="D168" i="33"/>
  <c r="D165" i="25"/>
  <c r="D164" i="33"/>
  <c r="D161" i="25"/>
  <c r="D160" i="33"/>
  <c r="D157" i="25"/>
  <c r="D156" i="33"/>
  <c r="D153" i="25"/>
  <c r="D152" i="33"/>
  <c r="D149" i="25"/>
  <c r="D148" i="33"/>
  <c r="D145" i="25"/>
  <c r="D144" i="33"/>
  <c r="D141" i="25"/>
  <c r="D140" i="33"/>
  <c r="D137" i="25"/>
  <c r="D136" i="33"/>
  <c r="D133" i="25"/>
  <c r="D132" i="33"/>
  <c r="D129" i="25"/>
  <c r="D128" i="33"/>
  <c r="D125" i="25"/>
  <c r="D124" i="33"/>
  <c r="D121" i="25"/>
  <c r="D120" i="33"/>
  <c r="D117" i="25"/>
  <c r="D116" i="33"/>
  <c r="D113" i="25"/>
  <c r="D112" i="33"/>
  <c r="D109" i="25"/>
  <c r="D108" i="33"/>
  <c r="D105" i="25"/>
  <c r="D104" i="33"/>
  <c r="D101" i="25"/>
  <c r="D100" i="33"/>
  <c r="D97" i="25"/>
  <c r="D96" i="33"/>
  <c r="D93" i="25"/>
  <c r="D92" i="33"/>
  <c r="D89" i="25"/>
  <c r="D88" i="33"/>
  <c r="D85" i="25"/>
  <c r="D84" i="33"/>
  <c r="D81" i="25"/>
  <c r="D80" i="33"/>
  <c r="D77" i="25"/>
  <c r="D76" i="33"/>
  <c r="D73" i="25"/>
  <c r="D72" i="33"/>
  <c r="D69" i="25"/>
  <c r="D68" i="33"/>
  <c r="D65" i="25"/>
  <c r="D64" i="33"/>
  <c r="D61" i="25"/>
  <c r="D60" i="33"/>
  <c r="D57" i="25"/>
  <c r="D56" i="33"/>
  <c r="D53" i="25"/>
  <c r="D52" i="33"/>
  <c r="D49" i="25"/>
  <c r="D48" i="33"/>
  <c r="D45" i="25"/>
  <c r="D44" i="33"/>
  <c r="D41" i="25"/>
  <c r="D40" i="33"/>
  <c r="D37" i="25"/>
  <c r="D36" i="33"/>
  <c r="D33" i="25"/>
  <c r="D32" i="33"/>
  <c r="D29" i="25"/>
  <c r="D28" i="33"/>
  <c r="D25" i="25"/>
  <c r="D24" i="33"/>
  <c r="D21" i="25"/>
  <c r="D20" i="33"/>
  <c r="D17" i="25"/>
  <c r="D16" i="33"/>
  <c r="D13" i="25"/>
  <c r="D12" i="33"/>
  <c r="D9" i="25"/>
  <c r="D8" i="33"/>
  <c r="L304" i="13"/>
  <c r="M304" i="13" s="1"/>
  <c r="C304" i="25"/>
  <c r="C296" i="25"/>
  <c r="L284" i="13"/>
  <c r="M284" i="13" s="1"/>
  <c r="C284" i="25"/>
  <c r="L264" i="13"/>
  <c r="M264" i="13" s="1"/>
  <c r="C264" i="25"/>
  <c r="L252" i="13"/>
  <c r="M252" i="13" s="1"/>
  <c r="C252" i="25"/>
  <c r="C248" i="25"/>
  <c r="L244" i="13"/>
  <c r="C244" i="25"/>
  <c r="L240" i="13"/>
  <c r="M240" i="13" s="1"/>
  <c r="C240" i="25"/>
  <c r="L228" i="13"/>
  <c r="M228" i="13" s="1"/>
  <c r="C228" i="25"/>
  <c r="L224" i="13"/>
  <c r="M224" i="13" s="1"/>
  <c r="C224" i="25"/>
  <c r="L220" i="13"/>
  <c r="M220" i="13" s="1"/>
  <c r="C220" i="25"/>
  <c r="L204" i="13"/>
  <c r="M204" i="13" s="1"/>
  <c r="C204" i="25"/>
  <c r="C200" i="25"/>
  <c r="C188" i="25"/>
  <c r="L172" i="13"/>
  <c r="M172" i="13" s="1"/>
  <c r="C172" i="25"/>
  <c r="L168" i="13"/>
  <c r="M168" i="13" s="1"/>
  <c r="C168" i="25"/>
  <c r="C164" i="25"/>
  <c r="L152" i="13"/>
  <c r="M152" i="13" s="1"/>
  <c r="C152" i="25"/>
  <c r="C136" i="25"/>
  <c r="L132" i="13"/>
  <c r="M132" i="13" s="1"/>
  <c r="C132" i="25"/>
  <c r="L128" i="13"/>
  <c r="M128" i="13" s="1"/>
  <c r="C128" i="25"/>
  <c r="L120" i="13"/>
  <c r="M120" i="13" s="1"/>
  <c r="C120" i="25"/>
  <c r="L96" i="13"/>
  <c r="C96" i="25"/>
  <c r="C28" i="25"/>
  <c r="C24" i="25"/>
  <c r="D319" i="33"/>
  <c r="D320" i="25"/>
  <c r="D316" i="25"/>
  <c r="D315" i="33"/>
  <c r="D311" i="33"/>
  <c r="D312" i="25"/>
  <c r="D308" i="25"/>
  <c r="D307" i="33"/>
  <c r="D303" i="33"/>
  <c r="D304" i="25"/>
  <c r="D300" i="25"/>
  <c r="D299" i="33"/>
  <c r="D295" i="33"/>
  <c r="D296" i="25"/>
  <c r="D292" i="25"/>
  <c r="D291" i="33"/>
  <c r="D287" i="33"/>
  <c r="D288" i="25"/>
  <c r="D284" i="25"/>
  <c r="D283" i="33"/>
  <c r="D279" i="33"/>
  <c r="D280" i="25"/>
  <c r="D276" i="25"/>
  <c r="D275" i="33"/>
  <c r="D271" i="33"/>
  <c r="D272" i="25"/>
  <c r="D268" i="25"/>
  <c r="D267" i="33"/>
  <c r="D263" i="33"/>
  <c r="D264" i="25"/>
  <c r="D260" i="25"/>
  <c r="D259" i="33"/>
  <c r="D255" i="33"/>
  <c r="D256" i="25"/>
  <c r="D252" i="25"/>
  <c r="D251" i="33"/>
  <c r="D247" i="33"/>
  <c r="D248" i="25"/>
  <c r="D244" i="25"/>
  <c r="D243" i="33"/>
  <c r="D239" i="33"/>
  <c r="D240" i="25"/>
  <c r="D236" i="25"/>
  <c r="D235" i="33"/>
  <c r="D231" i="33"/>
  <c r="D232" i="25"/>
  <c r="D228" i="25"/>
  <c r="D227" i="33"/>
  <c r="D223" i="33"/>
  <c r="D224" i="25"/>
  <c r="D220" i="25"/>
  <c r="D219" i="33"/>
  <c r="D215" i="33"/>
  <c r="D216" i="25"/>
  <c r="D212" i="25"/>
  <c r="D211" i="33"/>
  <c r="D207" i="33"/>
  <c r="D208" i="25"/>
  <c r="D204" i="25"/>
  <c r="D203" i="33"/>
  <c r="D199" i="33"/>
  <c r="D200" i="25"/>
  <c r="D196" i="25"/>
  <c r="D195" i="33"/>
  <c r="D191" i="33"/>
  <c r="D192" i="25"/>
  <c r="D188" i="25"/>
  <c r="D187" i="33"/>
  <c r="D183" i="33"/>
  <c r="D184" i="25"/>
  <c r="D180" i="25"/>
  <c r="D179" i="33"/>
  <c r="D175" i="33"/>
  <c r="D176" i="25"/>
  <c r="D172" i="25"/>
  <c r="D171" i="33"/>
  <c r="D167" i="33"/>
  <c r="D168" i="25"/>
  <c r="D164" i="25"/>
  <c r="D163" i="33"/>
  <c r="D159" i="33"/>
  <c r="D160" i="25"/>
  <c r="D156" i="25"/>
  <c r="D155" i="33"/>
  <c r="D151" i="33"/>
  <c r="D152" i="25"/>
  <c r="D148" i="25"/>
  <c r="D147" i="33"/>
  <c r="D143" i="33"/>
  <c r="D144" i="25"/>
  <c r="D140" i="25"/>
  <c r="D139" i="33"/>
  <c r="D135" i="33"/>
  <c r="D136" i="25"/>
  <c r="D132" i="25"/>
  <c r="D131" i="33"/>
  <c r="D127" i="33"/>
  <c r="D128" i="25"/>
  <c r="D124" i="25"/>
  <c r="D123" i="33"/>
  <c r="D119" i="33"/>
  <c r="D120" i="25"/>
  <c r="D116" i="25"/>
  <c r="D115" i="33"/>
  <c r="D111" i="33"/>
  <c r="D112" i="25"/>
  <c r="D108" i="25"/>
  <c r="D107" i="33"/>
  <c r="D103" i="33"/>
  <c r="D104" i="25"/>
  <c r="D100" i="25"/>
  <c r="D99" i="33"/>
  <c r="D95" i="33"/>
  <c r="D96" i="25"/>
  <c r="D92" i="25"/>
  <c r="D91" i="33"/>
  <c r="D87" i="33"/>
  <c r="D88" i="25"/>
  <c r="D84" i="25"/>
  <c r="D83" i="33"/>
  <c r="D79" i="33"/>
  <c r="D80" i="25"/>
  <c r="D76" i="25"/>
  <c r="D75" i="33"/>
  <c r="D71" i="33"/>
  <c r="D72" i="25"/>
  <c r="D68" i="25"/>
  <c r="D67" i="33"/>
  <c r="D63" i="33"/>
  <c r="D64" i="25"/>
  <c r="D60" i="25"/>
  <c r="D59" i="33"/>
  <c r="D55" i="33"/>
  <c r="D56" i="25"/>
  <c r="D52" i="25"/>
  <c r="D51" i="33"/>
  <c r="D47" i="33"/>
  <c r="D48" i="25"/>
  <c r="D44" i="25"/>
  <c r="D43" i="33"/>
  <c r="D39" i="33"/>
  <c r="D40" i="25"/>
  <c r="D36" i="25"/>
  <c r="D35" i="33"/>
  <c r="D31" i="33"/>
  <c r="D32" i="25"/>
  <c r="D28" i="25"/>
  <c r="D27" i="33"/>
  <c r="D23" i="33"/>
  <c r="D24" i="25"/>
  <c r="D20" i="25"/>
  <c r="D19" i="33"/>
  <c r="D15" i="33"/>
  <c r="D16" i="25"/>
  <c r="D12" i="25"/>
  <c r="D11" i="33"/>
  <c r="D8" i="25"/>
  <c r="D7" i="33"/>
  <c r="L251" i="13"/>
  <c r="M251" i="13" s="1"/>
  <c r="C251" i="25"/>
  <c r="L235" i="13"/>
  <c r="M235" i="13" s="1"/>
  <c r="C235" i="25"/>
  <c r="L227" i="13"/>
  <c r="M227" i="13" s="1"/>
  <c r="C227" i="25"/>
  <c r="L175" i="13"/>
  <c r="M175" i="13" s="1"/>
  <c r="C175" i="25"/>
  <c r="L171" i="13"/>
  <c r="M171" i="13" s="1"/>
  <c r="C171" i="25"/>
  <c r="L167" i="13"/>
  <c r="M167" i="13" s="1"/>
  <c r="C167" i="25"/>
  <c r="C143" i="25"/>
  <c r="L139" i="13"/>
  <c r="M139" i="13" s="1"/>
  <c r="C139" i="25"/>
  <c r="C131" i="25"/>
  <c r="L127" i="13"/>
  <c r="M127" i="13" s="1"/>
  <c r="C127" i="25"/>
  <c r="C123" i="25"/>
  <c r="L119" i="13"/>
  <c r="M119" i="13" s="1"/>
  <c r="C119" i="25"/>
  <c r="C115" i="25"/>
  <c r="L111" i="13"/>
  <c r="C111" i="25"/>
  <c r="C107" i="25"/>
  <c r="L103" i="13"/>
  <c r="M103" i="13" s="1"/>
  <c r="C103" i="25"/>
  <c r="C99" i="25"/>
  <c r="L95" i="13"/>
  <c r="M95" i="13" s="1"/>
  <c r="C95" i="25"/>
  <c r="C91" i="25"/>
  <c r="L87" i="13"/>
  <c r="M87" i="13" s="1"/>
  <c r="C87" i="25"/>
  <c r="L83" i="13"/>
  <c r="M83" i="13" s="1"/>
  <c r="C83" i="25"/>
  <c r="C79" i="25"/>
  <c r="L75" i="13"/>
  <c r="M75" i="13" s="1"/>
  <c r="C75" i="25"/>
  <c r="C71" i="25"/>
  <c r="L67" i="13"/>
  <c r="M67" i="13" s="1"/>
  <c r="C67" i="25"/>
  <c r="L63" i="13"/>
  <c r="M63" i="13" s="1"/>
  <c r="C63" i="25"/>
  <c r="L55" i="13"/>
  <c r="M55" i="13" s="1"/>
  <c r="C55" i="25"/>
  <c r="C43" i="25"/>
  <c r="L39" i="13"/>
  <c r="M39" i="13" s="1"/>
  <c r="C39" i="25"/>
  <c r="C35" i="25"/>
  <c r="L31" i="13"/>
  <c r="C31" i="25"/>
  <c r="L27" i="13"/>
  <c r="M27" i="13" s="1"/>
  <c r="C27" i="25"/>
  <c r="L23" i="13"/>
  <c r="M23" i="13" s="1"/>
  <c r="C23" i="25"/>
  <c r="L19" i="13"/>
  <c r="M19" i="13" s="1"/>
  <c r="C19" i="25"/>
  <c r="C15" i="25"/>
  <c r="C11" i="25"/>
  <c r="D323" i="25"/>
  <c r="D322" i="33"/>
  <c r="D319" i="25"/>
  <c r="D318" i="33"/>
  <c r="D315" i="25"/>
  <c r="D314" i="33"/>
  <c r="D311" i="25"/>
  <c r="D310" i="33"/>
  <c r="D307" i="25"/>
  <c r="D306" i="33"/>
  <c r="D303" i="25"/>
  <c r="D302" i="33"/>
  <c r="D299" i="25"/>
  <c r="D298" i="33"/>
  <c r="D295" i="25"/>
  <c r="D294" i="33"/>
  <c r="D291" i="25"/>
  <c r="D290" i="33"/>
  <c r="D287" i="25"/>
  <c r="D286" i="33"/>
  <c r="D283" i="25"/>
  <c r="D282" i="33"/>
  <c r="D279" i="25"/>
  <c r="D278" i="33"/>
  <c r="D275" i="25"/>
  <c r="D274" i="33"/>
  <c r="D271" i="25"/>
  <c r="D270" i="33"/>
  <c r="D267" i="25"/>
  <c r="D266" i="33"/>
  <c r="D263" i="25"/>
  <c r="D262" i="33"/>
  <c r="D259" i="25"/>
  <c r="D258" i="33"/>
  <c r="D255" i="25"/>
  <c r="D254" i="33"/>
  <c r="D251" i="25"/>
  <c r="D250" i="33"/>
  <c r="D247" i="25"/>
  <c r="D246" i="33"/>
  <c r="D243" i="25"/>
  <c r="D242" i="33"/>
  <c r="D239" i="25"/>
  <c r="D238" i="33"/>
  <c r="D235" i="25"/>
  <c r="D234" i="33"/>
  <c r="D231" i="25"/>
  <c r="D230" i="33"/>
  <c r="D227" i="25"/>
  <c r="D226" i="33"/>
  <c r="D223" i="25"/>
  <c r="D222" i="33"/>
  <c r="D219" i="25"/>
  <c r="D218" i="33"/>
  <c r="D215" i="25"/>
  <c r="D214" i="33"/>
  <c r="D211" i="25"/>
  <c r="D210" i="33"/>
  <c r="D207" i="25"/>
  <c r="D206" i="33"/>
  <c r="D203" i="25"/>
  <c r="D202" i="33"/>
  <c r="D199" i="25"/>
  <c r="D198" i="33"/>
  <c r="D195" i="25"/>
  <c r="D194" i="33"/>
  <c r="D191" i="25"/>
  <c r="D190" i="33"/>
  <c r="D187" i="25"/>
  <c r="D186" i="33"/>
  <c r="D183" i="25"/>
  <c r="D182" i="33"/>
  <c r="D179" i="25"/>
  <c r="D178" i="33"/>
  <c r="D175" i="25"/>
  <c r="D174" i="33"/>
  <c r="D171" i="25"/>
  <c r="D170" i="33"/>
  <c r="D167" i="25"/>
  <c r="D166" i="33"/>
  <c r="D163" i="25"/>
  <c r="D162" i="33"/>
  <c r="D159" i="25"/>
  <c r="D158" i="33"/>
  <c r="D155" i="25"/>
  <c r="D154" i="33"/>
  <c r="D151" i="25"/>
  <c r="D150" i="33"/>
  <c r="D147" i="25"/>
  <c r="D146" i="33"/>
  <c r="D143" i="25"/>
  <c r="D142" i="33"/>
  <c r="D139" i="25"/>
  <c r="D138" i="33"/>
  <c r="D135" i="25"/>
  <c r="D134" i="33"/>
  <c r="D131" i="25"/>
  <c r="D130" i="33"/>
  <c r="D127" i="25"/>
  <c r="D126" i="33"/>
  <c r="D123" i="25"/>
  <c r="D122" i="33"/>
  <c r="D119" i="25"/>
  <c r="D118" i="33"/>
  <c r="D115" i="25"/>
  <c r="D114" i="33"/>
  <c r="D111" i="25"/>
  <c r="D110" i="33"/>
  <c r="D107" i="25"/>
  <c r="D106" i="33"/>
  <c r="D103" i="25"/>
  <c r="D102" i="33"/>
  <c r="D99" i="25"/>
  <c r="D98" i="33"/>
  <c r="D95" i="25"/>
  <c r="D94" i="33"/>
  <c r="D91" i="25"/>
  <c r="D90" i="33"/>
  <c r="D87" i="25"/>
  <c r="D86" i="33"/>
  <c r="D83" i="25"/>
  <c r="D82" i="33"/>
  <c r="D79" i="25"/>
  <c r="D78" i="33"/>
  <c r="D75" i="25"/>
  <c r="D74" i="33"/>
  <c r="D71" i="25"/>
  <c r="D70" i="33"/>
  <c r="D67" i="25"/>
  <c r="D66" i="33"/>
  <c r="D63" i="25"/>
  <c r="D62" i="33"/>
  <c r="D59" i="25"/>
  <c r="D58" i="33"/>
  <c r="D55" i="25"/>
  <c r="D54" i="33"/>
  <c r="D51" i="25"/>
  <c r="D50" i="33"/>
  <c r="D47" i="25"/>
  <c r="D46" i="33"/>
  <c r="D43" i="25"/>
  <c r="D42" i="33"/>
  <c r="D39" i="25"/>
  <c r="D38" i="33"/>
  <c r="D35" i="25"/>
  <c r="D34" i="33"/>
  <c r="D31" i="25"/>
  <c r="D30" i="33"/>
  <c r="D27" i="25"/>
  <c r="D26" i="33"/>
  <c r="D23" i="25"/>
  <c r="D22" i="33"/>
  <c r="D19" i="25"/>
  <c r="D18" i="33"/>
  <c r="D15" i="25"/>
  <c r="D14" i="33"/>
  <c r="D11" i="25"/>
  <c r="D10" i="33"/>
  <c r="D7" i="25"/>
  <c r="D6" i="33"/>
  <c r="C322" i="25"/>
  <c r="C310" i="25"/>
  <c r="C306" i="25"/>
  <c r="C278" i="25"/>
  <c r="C254" i="25"/>
  <c r="C202" i="25"/>
  <c r="L174" i="13"/>
  <c r="M174" i="13" s="1"/>
  <c r="C174" i="25"/>
  <c r="C146" i="25"/>
  <c r="C142" i="25"/>
  <c r="C134" i="25"/>
  <c r="L118" i="13"/>
  <c r="M118" i="13" s="1"/>
  <c r="C118" i="25"/>
  <c r="L86" i="13"/>
  <c r="M86" i="13" s="1"/>
  <c r="C86" i="25"/>
  <c r="AL325" i="42"/>
  <c r="Y134" i="19"/>
  <c r="C132" i="32" s="1"/>
  <c r="B323" i="11"/>
  <c r="L135" i="13"/>
  <c r="M135" i="13" s="1"/>
  <c r="L59" i="13"/>
  <c r="M59" i="13" s="1"/>
  <c r="L51" i="13"/>
  <c r="M51" i="13" s="1"/>
  <c r="Y216" i="19"/>
  <c r="C214" i="32" s="1"/>
  <c r="H214" i="32" s="1"/>
  <c r="D220" i="9" s="1"/>
  <c r="L8" i="13"/>
  <c r="M8" i="13" s="1"/>
  <c r="L143" i="13"/>
  <c r="M143" i="13" s="1"/>
  <c r="L131" i="13"/>
  <c r="M131" i="13" s="1"/>
  <c r="L123" i="13"/>
  <c r="M123" i="13" s="1"/>
  <c r="L115" i="13"/>
  <c r="M115" i="13" s="1"/>
  <c r="L107" i="13"/>
  <c r="M107" i="13" s="1"/>
  <c r="L99" i="13"/>
  <c r="M99" i="13" s="1"/>
  <c r="L91" i="13"/>
  <c r="M91" i="13" s="1"/>
  <c r="L79" i="13"/>
  <c r="M79" i="13" s="1"/>
  <c r="L71" i="13"/>
  <c r="M71" i="13" s="1"/>
  <c r="L47" i="13"/>
  <c r="M47" i="13" s="1"/>
  <c r="L43" i="13"/>
  <c r="M43" i="13" s="1"/>
  <c r="L35" i="13"/>
  <c r="M35" i="13" s="1"/>
  <c r="L15" i="13"/>
  <c r="M15" i="13" s="1"/>
  <c r="L11" i="13"/>
  <c r="M11" i="13" s="1"/>
  <c r="Y300" i="19"/>
  <c r="C298" i="32" s="1"/>
  <c r="H298" i="32" s="1"/>
  <c r="D304" i="9" s="1"/>
  <c r="Y296" i="19"/>
  <c r="C294" i="32" s="1"/>
  <c r="E294" i="32" s="1"/>
  <c r="Y272" i="19"/>
  <c r="C270" i="32" s="1"/>
  <c r="H270" i="32" s="1"/>
  <c r="D276" i="9" s="1"/>
  <c r="Y255" i="19"/>
  <c r="C253" i="32" s="1"/>
  <c r="E253" i="32" s="1"/>
  <c r="Y237" i="19"/>
  <c r="C235" i="32" s="1"/>
  <c r="E235" i="32" s="1"/>
  <c r="Y212" i="19"/>
  <c r="C210" i="32" s="1"/>
  <c r="E210" i="32" s="1"/>
  <c r="Y208" i="19"/>
  <c r="C206" i="32" s="1"/>
  <c r="E206" i="32" s="1"/>
  <c r="Y156" i="19"/>
  <c r="C154" i="32" s="1"/>
  <c r="E154" i="32" s="1"/>
  <c r="Y127" i="19"/>
  <c r="C125" i="32" s="1"/>
  <c r="E125" i="32" s="1"/>
  <c r="Y102" i="19"/>
  <c r="C100" i="32" s="1"/>
  <c r="E100" i="32" s="1"/>
  <c r="Y69" i="19"/>
  <c r="C67" i="32" s="1"/>
  <c r="E67" i="32" s="1"/>
  <c r="Y59" i="19"/>
  <c r="C57" i="32" s="1"/>
  <c r="E57" i="32" s="1"/>
  <c r="Y318" i="19"/>
  <c r="C316" i="32" s="1"/>
  <c r="E316" i="32" s="1"/>
  <c r="Y314" i="19"/>
  <c r="C312" i="32" s="1"/>
  <c r="H312" i="32" s="1"/>
  <c r="D318" i="9" s="1"/>
  <c r="Y295" i="19"/>
  <c r="C293" i="32" s="1"/>
  <c r="E293" i="32" s="1"/>
  <c r="Y279" i="19"/>
  <c r="C277" i="32" s="1"/>
  <c r="E277" i="32" s="1"/>
  <c r="Y258" i="19"/>
  <c r="C256" i="32" s="1"/>
  <c r="E256" i="32" s="1"/>
  <c r="Y254" i="19"/>
  <c r="C252" i="32" s="1"/>
  <c r="E252" i="32" s="1"/>
  <c r="Y241" i="19"/>
  <c r="C239" i="32" s="1"/>
  <c r="H239" i="32" s="1"/>
  <c r="D245" i="9" s="1"/>
  <c r="Y223" i="19"/>
  <c r="C221" i="32" s="1"/>
  <c r="E221" i="32" s="1"/>
  <c r="Y215" i="19"/>
  <c r="C213" i="32" s="1"/>
  <c r="H213" i="32" s="1"/>
  <c r="D219" i="9" s="1"/>
  <c r="Y191" i="19"/>
  <c r="C189" i="32" s="1"/>
  <c r="E189" i="32" s="1"/>
  <c r="Y183" i="19"/>
  <c r="C181" i="32" s="1"/>
  <c r="H181" i="32" s="1"/>
  <c r="D187" i="9" s="1"/>
  <c r="Y177" i="19"/>
  <c r="C175" i="32" s="1"/>
  <c r="E175" i="32" s="1"/>
  <c r="Y172" i="19"/>
  <c r="C170" i="32" s="1"/>
  <c r="E170" i="32" s="1"/>
  <c r="Y159" i="19"/>
  <c r="C157" i="32" s="1"/>
  <c r="E157" i="32" s="1"/>
  <c r="Y133" i="19"/>
  <c r="C131" i="32" s="1"/>
  <c r="H131" i="32" s="1"/>
  <c r="D137" i="9" s="1"/>
  <c r="Y126" i="19"/>
  <c r="C124" i="32" s="1"/>
  <c r="E124" i="32" s="1"/>
  <c r="Y90" i="19"/>
  <c r="C88" i="32" s="1"/>
  <c r="E88" i="32" s="1"/>
  <c r="Y36" i="19"/>
  <c r="C34" i="32" s="1"/>
  <c r="E34" i="32" s="1"/>
  <c r="Y24" i="19"/>
  <c r="C22" i="32" s="1"/>
  <c r="E22" i="32" s="1"/>
  <c r="Y316" i="19"/>
  <c r="C314" i="32" s="1"/>
  <c r="E314" i="32" s="1"/>
  <c r="Y301" i="19"/>
  <c r="C299" i="32" s="1"/>
  <c r="E299" i="32" s="1"/>
  <c r="Y297" i="19"/>
  <c r="C295" i="32" s="1"/>
  <c r="E295" i="32" s="1"/>
  <c r="Y292" i="19"/>
  <c r="C290" i="32" s="1"/>
  <c r="Y288" i="19"/>
  <c r="C286" i="32" s="1"/>
  <c r="E286" i="32" s="1"/>
  <c r="Y284" i="19"/>
  <c r="C282" i="32" s="1"/>
  <c r="Y269" i="19"/>
  <c r="C267" i="32" s="1"/>
  <c r="E267" i="32" s="1"/>
  <c r="Y256" i="19"/>
  <c r="C254" i="32" s="1"/>
  <c r="Y251" i="19"/>
  <c r="C249" i="32" s="1"/>
  <c r="H249" i="32" s="1"/>
  <c r="D255" i="9" s="1"/>
  <c r="Y239" i="19"/>
  <c r="C237" i="32" s="1"/>
  <c r="E237" i="32" s="1"/>
  <c r="Y234" i="19"/>
  <c r="C232" i="32" s="1"/>
  <c r="E232" i="32" s="1"/>
  <c r="Y220" i="19"/>
  <c r="C218" i="32" s="1"/>
  <c r="E218" i="32" s="1"/>
  <c r="Y213" i="19"/>
  <c r="C211" i="32" s="1"/>
  <c r="Y209" i="19"/>
  <c r="C207" i="32" s="1"/>
  <c r="E207" i="32" s="1"/>
  <c r="Y205" i="19"/>
  <c r="C203" i="32" s="1"/>
  <c r="Y200" i="19"/>
  <c r="C198" i="32" s="1"/>
  <c r="H198" i="32" s="1"/>
  <c r="D204" i="9" s="1"/>
  <c r="Y196" i="19"/>
  <c r="C194" i="32" s="1"/>
  <c r="H194" i="32" s="1"/>
  <c r="D200" i="9" s="1"/>
  <c r="Y188" i="19"/>
  <c r="C186" i="32" s="1"/>
  <c r="E186" i="32" s="1"/>
  <c r="Y157" i="19"/>
  <c r="C155" i="32" s="1"/>
  <c r="H155" i="32" s="1"/>
  <c r="D161" i="9" s="1"/>
  <c r="Y151" i="19"/>
  <c r="C149" i="32" s="1"/>
  <c r="E149" i="32" s="1"/>
  <c r="Y147" i="19"/>
  <c r="C145" i="32" s="1"/>
  <c r="E145" i="32" s="1"/>
  <c r="Y143" i="19"/>
  <c r="C141" i="32" s="1"/>
  <c r="E141" i="32" s="1"/>
  <c r="Y138" i="19"/>
  <c r="C136" i="32" s="1"/>
  <c r="H136" i="32" s="1"/>
  <c r="D142" i="9" s="1"/>
  <c r="Y128" i="19"/>
  <c r="C126" i="32" s="1"/>
  <c r="H126" i="32" s="1"/>
  <c r="D132" i="9" s="1"/>
  <c r="Y123" i="19"/>
  <c r="C121" i="32" s="1"/>
  <c r="E121" i="32" s="1"/>
  <c r="Y103" i="19"/>
  <c r="C101" i="32" s="1"/>
  <c r="H101" i="32" s="1"/>
  <c r="D107" i="9" s="1"/>
  <c r="Y91" i="19"/>
  <c r="C89" i="32" s="1"/>
  <c r="E89" i="32" s="1"/>
  <c r="Y82" i="19"/>
  <c r="C80" i="32" s="1"/>
  <c r="H80" i="32" s="1"/>
  <c r="D86" i="9" s="1"/>
  <c r="Y70" i="19"/>
  <c r="C68" i="32" s="1"/>
  <c r="H68" i="32" s="1"/>
  <c r="D74" i="9" s="1"/>
  <c r="Y50" i="19"/>
  <c r="C48" i="32" s="1"/>
  <c r="E48" i="32" s="1"/>
  <c r="Y43" i="19"/>
  <c r="C41" i="32" s="1"/>
  <c r="E41" i="32" s="1"/>
  <c r="Y32" i="19"/>
  <c r="C30" i="32" s="1"/>
  <c r="E30" i="32" s="1"/>
  <c r="Y15" i="19"/>
  <c r="C13" i="32" s="1"/>
  <c r="H13" i="32" s="1"/>
  <c r="D19" i="9" s="1"/>
  <c r="Y274" i="19"/>
  <c r="C272" i="32" s="1"/>
  <c r="E272" i="32" s="1"/>
  <c r="Y265" i="19"/>
  <c r="C263" i="32" s="1"/>
  <c r="E263" i="32" s="1"/>
  <c r="Y228" i="19"/>
  <c r="C226" i="32" s="1"/>
  <c r="E226" i="32" s="1"/>
  <c r="Y181" i="19"/>
  <c r="C179" i="32" s="1"/>
  <c r="E179" i="32" s="1"/>
  <c r="Y114" i="19"/>
  <c r="C112" i="32" s="1"/>
  <c r="E112" i="32" s="1"/>
  <c r="Y76" i="19"/>
  <c r="C74" i="32" s="1"/>
  <c r="E74" i="32" s="1"/>
  <c r="Y66" i="19"/>
  <c r="C64" i="32" s="1"/>
  <c r="E64" i="32" s="1"/>
  <c r="Y56" i="19"/>
  <c r="C54" i="32" s="1"/>
  <c r="Y23" i="19"/>
  <c r="C21" i="32" s="1"/>
  <c r="Y19" i="19"/>
  <c r="C17" i="32" s="1"/>
  <c r="E17" i="32" s="1"/>
  <c r="Y11" i="19"/>
  <c r="C9" i="32" s="1"/>
  <c r="E9" i="32" s="1"/>
  <c r="Y302" i="19"/>
  <c r="C300" i="32" s="1"/>
  <c r="E300" i="32" s="1"/>
  <c r="Y257" i="19"/>
  <c r="C255" i="32" s="1"/>
  <c r="Y227" i="19"/>
  <c r="C225" i="32" s="1"/>
  <c r="E225" i="32" s="1"/>
  <c r="Y182" i="19"/>
  <c r="C180" i="32" s="1"/>
  <c r="E180" i="32" s="1"/>
  <c r="Y154" i="19"/>
  <c r="C152" i="32" s="1"/>
  <c r="E152" i="32" s="1"/>
  <c r="Y85" i="19"/>
  <c r="C83" i="32" s="1"/>
  <c r="H83" i="32" s="1"/>
  <c r="D89" i="9" s="1"/>
  <c r="Y71" i="19"/>
  <c r="C69" i="32" s="1"/>
  <c r="E69" i="32" s="1"/>
  <c r="Y52" i="19"/>
  <c r="C50" i="32" s="1"/>
  <c r="Y313" i="19"/>
  <c r="C311" i="32" s="1"/>
  <c r="H311" i="32" s="1"/>
  <c r="D317" i="9" s="1"/>
  <c r="Y291" i="19"/>
  <c r="C289" i="32" s="1"/>
  <c r="Y283" i="19"/>
  <c r="C281" i="32" s="1"/>
  <c r="E281" i="32" s="1"/>
  <c r="Y264" i="19"/>
  <c r="C262" i="32" s="1"/>
  <c r="E262" i="32" s="1"/>
  <c r="Y250" i="19"/>
  <c r="C248" i="32" s="1"/>
  <c r="E248" i="32" s="1"/>
  <c r="Y225" i="19"/>
  <c r="C223" i="32" s="1"/>
  <c r="H223" i="32" s="1"/>
  <c r="D229" i="9" s="1"/>
  <c r="Y203" i="19"/>
  <c r="C201" i="32" s="1"/>
  <c r="E201" i="32" s="1"/>
  <c r="Y195" i="19"/>
  <c r="C193" i="32" s="1"/>
  <c r="E193" i="32" s="1"/>
  <c r="Y187" i="19"/>
  <c r="C185" i="32" s="1"/>
  <c r="Y174" i="19"/>
  <c r="C172" i="32" s="1"/>
  <c r="E172" i="32" s="1"/>
  <c r="Y162" i="19"/>
  <c r="C160" i="32" s="1"/>
  <c r="E160" i="32" s="1"/>
  <c r="Y150" i="19"/>
  <c r="C148" i="32" s="1"/>
  <c r="E148" i="32" s="1"/>
  <c r="Y142" i="19"/>
  <c r="C140" i="32" s="1"/>
  <c r="E140" i="32" s="1"/>
  <c r="Y131" i="19"/>
  <c r="C129" i="32" s="1"/>
  <c r="E129" i="32" s="1"/>
  <c r="Y122" i="19"/>
  <c r="C120" i="32" s="1"/>
  <c r="E120" i="32" s="1"/>
  <c r="Y113" i="19"/>
  <c r="C111" i="32" s="1"/>
  <c r="E111" i="32" s="1"/>
  <c r="Y94" i="19"/>
  <c r="C92" i="32" s="1"/>
  <c r="E92" i="32" s="1"/>
  <c r="Y80" i="19"/>
  <c r="C78" i="32" s="1"/>
  <c r="E78" i="32" s="1"/>
  <c r="Y65" i="19"/>
  <c r="C63" i="32" s="1"/>
  <c r="E63" i="32" s="1"/>
  <c r="Y55" i="19"/>
  <c r="C53" i="32" s="1"/>
  <c r="H53" i="32" s="1"/>
  <c r="D59" i="9" s="1"/>
  <c r="Y41" i="19"/>
  <c r="C39" i="32" s="1"/>
  <c r="H39" i="32" s="1"/>
  <c r="D45" i="9" s="1"/>
  <c r="Y31" i="19"/>
  <c r="C29" i="32" s="1"/>
  <c r="E29" i="32" s="1"/>
  <c r="Y22" i="19"/>
  <c r="C20" i="32" s="1"/>
  <c r="H20" i="32" s="1"/>
  <c r="D26" i="9" s="1"/>
  <c r="Y14" i="19"/>
  <c r="C12" i="32" s="1"/>
  <c r="E12" i="32" s="1"/>
  <c r="Y315" i="19"/>
  <c r="C313" i="32" s="1"/>
  <c r="E313" i="32" s="1"/>
  <c r="Y311" i="19"/>
  <c r="C309" i="32" s="1"/>
  <c r="E309" i="32" s="1"/>
  <c r="Y305" i="19"/>
  <c r="C303" i="32" s="1"/>
  <c r="E303" i="32" s="1"/>
  <c r="Y280" i="19"/>
  <c r="C278" i="32" s="1"/>
  <c r="H278" i="32" s="1"/>
  <c r="D284" i="9" s="1"/>
  <c r="Y259" i="19"/>
  <c r="C257" i="32" s="1"/>
  <c r="E257" i="32" s="1"/>
  <c r="Y242" i="19"/>
  <c r="C240" i="32" s="1"/>
  <c r="E240" i="32" s="1"/>
  <c r="Y238" i="19"/>
  <c r="C236" i="32" s="1"/>
  <c r="E236" i="32" s="1"/>
  <c r="Y233" i="19"/>
  <c r="C231" i="32" s="1"/>
  <c r="H231" i="32" s="1"/>
  <c r="D237" i="9" s="1"/>
  <c r="Y229" i="19"/>
  <c r="C227" i="32" s="1"/>
  <c r="H227" i="32" s="1"/>
  <c r="D233" i="9" s="1"/>
  <c r="Y224" i="19"/>
  <c r="C222" i="32" s="1"/>
  <c r="H222" i="32" s="1"/>
  <c r="D228" i="9" s="1"/>
  <c r="Y104" i="19"/>
  <c r="C102" i="32" s="1"/>
  <c r="H102" i="32" s="1"/>
  <c r="D108" i="9" s="1"/>
  <c r="Y81" i="19"/>
  <c r="C79" i="32" s="1"/>
  <c r="H79" i="32" s="1"/>
  <c r="D85" i="9" s="1"/>
  <c r="Y54" i="19"/>
  <c r="C52" i="32" s="1"/>
  <c r="H52" i="32" s="1"/>
  <c r="D58" i="9" s="1"/>
  <c r="Y323" i="19"/>
  <c r="C321" i="32" s="1"/>
  <c r="E321" i="32" s="1"/>
  <c r="Y310" i="19"/>
  <c r="C308" i="32" s="1"/>
  <c r="E308" i="32" s="1"/>
  <c r="Y304" i="19"/>
  <c r="C302" i="32" s="1"/>
  <c r="E302" i="32" s="1"/>
  <c r="Y298" i="19"/>
  <c r="C296" i="32" s="1"/>
  <c r="E296" i="32" s="1"/>
  <c r="Y293" i="19"/>
  <c r="C291" i="32" s="1"/>
  <c r="H291" i="32" s="1"/>
  <c r="D297" i="9" s="1"/>
  <c r="Y289" i="19"/>
  <c r="C287" i="32" s="1"/>
  <c r="H287" i="32" s="1"/>
  <c r="D293" i="9" s="1"/>
  <c r="Y285" i="19"/>
  <c r="C283" i="32" s="1"/>
  <c r="H283" i="32" s="1"/>
  <c r="D289" i="9" s="1"/>
  <c r="Y281" i="19"/>
  <c r="C279" i="32" s="1"/>
  <c r="H279" i="32" s="1"/>
  <c r="D285" i="9" s="1"/>
  <c r="Y275" i="19"/>
  <c r="C273" i="32" s="1"/>
  <c r="H273" i="32" s="1"/>
  <c r="D279" i="9" s="1"/>
  <c r="Y270" i="19"/>
  <c r="C268" i="32" s="1"/>
  <c r="E268" i="32" s="1"/>
  <c r="Y266" i="19"/>
  <c r="C264" i="32" s="1"/>
  <c r="E264" i="32" s="1"/>
  <c r="Y260" i="19"/>
  <c r="C258" i="32" s="1"/>
  <c r="H258" i="32" s="1"/>
  <c r="D264" i="9" s="1"/>
  <c r="Y252" i="19"/>
  <c r="C250" i="32" s="1"/>
  <c r="E250" i="32" s="1"/>
  <c r="Y247" i="19"/>
  <c r="C245" i="32" s="1"/>
  <c r="H245" i="32" s="1"/>
  <c r="D251" i="9" s="1"/>
  <c r="Y240" i="19"/>
  <c r="C238" i="32" s="1"/>
  <c r="E238" i="32" s="1"/>
  <c r="Y235" i="19"/>
  <c r="C233" i="32" s="1"/>
  <c r="E233" i="32" s="1"/>
  <c r="Y230" i="19"/>
  <c r="C228" i="32" s="1"/>
  <c r="E228" i="32" s="1"/>
  <c r="Y221" i="19"/>
  <c r="C219" i="32" s="1"/>
  <c r="E219" i="32" s="1"/>
  <c r="Y214" i="19"/>
  <c r="C212" i="32" s="1"/>
  <c r="E212" i="32" s="1"/>
  <c r="Y210" i="19"/>
  <c r="C208" i="32" s="1"/>
  <c r="E208" i="32" s="1"/>
  <c r="Y206" i="19"/>
  <c r="C204" i="32" s="1"/>
  <c r="E204" i="32" s="1"/>
  <c r="Y201" i="19"/>
  <c r="C199" i="32" s="1"/>
  <c r="H199" i="32" s="1"/>
  <c r="D205" i="9" s="1"/>
  <c r="Y197" i="19"/>
  <c r="C195" i="32" s="1"/>
  <c r="E195" i="32" s="1"/>
  <c r="Y190" i="19"/>
  <c r="C188" i="32" s="1"/>
  <c r="E188" i="32" s="1"/>
  <c r="Y184" i="19"/>
  <c r="C182" i="32" s="1"/>
  <c r="E182" i="32" s="1"/>
  <c r="Y176" i="19"/>
  <c r="C174" i="32" s="1"/>
  <c r="H174" i="32" s="1"/>
  <c r="D180" i="9" s="1"/>
  <c r="Y168" i="19"/>
  <c r="C166" i="32" s="1"/>
  <c r="Y158" i="19"/>
  <c r="C156" i="32" s="1"/>
  <c r="E156" i="32" s="1"/>
  <c r="Y152" i="19"/>
  <c r="C150" i="32" s="1"/>
  <c r="E150" i="32" s="1"/>
  <c r="Y148" i="19"/>
  <c r="C146" i="32" s="1"/>
  <c r="E146" i="32" s="1"/>
  <c r="Y144" i="19"/>
  <c r="C142" i="32" s="1"/>
  <c r="E142" i="32" s="1"/>
  <c r="Y140" i="19"/>
  <c r="C138" i="32" s="1"/>
  <c r="E138" i="32" s="1"/>
  <c r="Y135" i="19"/>
  <c r="C133" i="32" s="1"/>
  <c r="E133" i="32" s="1"/>
  <c r="Y129" i="19"/>
  <c r="C127" i="32" s="1"/>
  <c r="E127" i="32" s="1"/>
  <c r="Y124" i="19"/>
  <c r="C122" i="32" s="1"/>
  <c r="E122" i="32" s="1"/>
  <c r="Y119" i="19"/>
  <c r="C117" i="32" s="1"/>
  <c r="E117" i="32" s="1"/>
  <c r="Y115" i="19"/>
  <c r="C113" i="32" s="1"/>
  <c r="Y111" i="19"/>
  <c r="C109" i="32" s="1"/>
  <c r="E109" i="32" s="1"/>
  <c r="Y105" i="19"/>
  <c r="C103" i="32" s="1"/>
  <c r="E103" i="32" s="1"/>
  <c r="Y100" i="19"/>
  <c r="C98" i="32" s="1"/>
  <c r="Y96" i="19"/>
  <c r="C94" i="32" s="1"/>
  <c r="E94" i="32" s="1"/>
  <c r="Y92" i="19"/>
  <c r="C90" i="32" s="1"/>
  <c r="E90" i="32" s="1"/>
  <c r="Y83" i="19"/>
  <c r="C81" i="32" s="1"/>
  <c r="Y77" i="19"/>
  <c r="C75" i="32" s="1"/>
  <c r="E75" i="32" s="1"/>
  <c r="Y72" i="19"/>
  <c r="C70" i="32" s="1"/>
  <c r="E70" i="32" s="1"/>
  <c r="Y67" i="19"/>
  <c r="C65" i="32" s="1"/>
  <c r="E65" i="32" s="1"/>
  <c r="Y63" i="19"/>
  <c r="C61" i="32" s="1"/>
  <c r="E61" i="32" s="1"/>
  <c r="Y57" i="19"/>
  <c r="C55" i="32" s="1"/>
  <c r="H55" i="32" s="1"/>
  <c r="D61" i="9" s="1"/>
  <c r="Y51" i="19"/>
  <c r="C49" i="32" s="1"/>
  <c r="E49" i="32" s="1"/>
  <c r="Y46" i="19"/>
  <c r="C44" i="32" s="1"/>
  <c r="E44" i="32" s="1"/>
  <c r="Y39" i="19"/>
  <c r="C37" i="32" s="1"/>
  <c r="E37" i="32" s="1"/>
  <c r="Y34" i="19"/>
  <c r="C32" i="32" s="1"/>
  <c r="E32" i="32" s="1"/>
  <c r="Y29" i="19"/>
  <c r="C27" i="32" s="1"/>
  <c r="E27" i="32" s="1"/>
  <c r="Y25" i="19"/>
  <c r="C23" i="32" s="1"/>
  <c r="E23" i="32" s="1"/>
  <c r="Y20" i="19"/>
  <c r="C18" i="32" s="1"/>
  <c r="H18" i="32" s="1"/>
  <c r="D24" i="9" s="1"/>
  <c r="Y16" i="19"/>
  <c r="C14" i="32" s="1"/>
  <c r="E14" i="32" s="1"/>
  <c r="Y12" i="19"/>
  <c r="C10" i="32" s="1"/>
  <c r="E10" i="32" s="1"/>
  <c r="Y8" i="19"/>
  <c r="C6" i="32" s="1"/>
  <c r="E6" i="32" s="1"/>
  <c r="Y309" i="19"/>
  <c r="C307" i="32" s="1"/>
  <c r="Y278" i="19"/>
  <c r="C276" i="32" s="1"/>
  <c r="E276" i="32" s="1"/>
  <c r="Y246" i="19"/>
  <c r="C244" i="32" s="1"/>
  <c r="E244" i="32" s="1"/>
  <c r="Y175" i="19"/>
  <c r="C173" i="32" s="1"/>
  <c r="E173" i="32" s="1"/>
  <c r="Y163" i="19"/>
  <c r="C161" i="32" s="1"/>
  <c r="E161" i="32" s="1"/>
  <c r="Y132" i="19"/>
  <c r="C130" i="32" s="1"/>
  <c r="E130" i="32" s="1"/>
  <c r="Y118" i="19"/>
  <c r="C116" i="32" s="1"/>
  <c r="Y110" i="19"/>
  <c r="C108" i="32" s="1"/>
  <c r="E108" i="32" s="1"/>
  <c r="Y99" i="19"/>
  <c r="C97" i="32" s="1"/>
  <c r="E97" i="32" s="1"/>
  <c r="Y95" i="19"/>
  <c r="C93" i="32" s="1"/>
  <c r="E93" i="32" s="1"/>
  <c r="Y61" i="19"/>
  <c r="C59" i="32" s="1"/>
  <c r="E59" i="32" s="1"/>
  <c r="Y38" i="19"/>
  <c r="C36" i="32" s="1"/>
  <c r="Y28" i="19"/>
  <c r="C26" i="32" s="1"/>
  <c r="H26" i="32" s="1"/>
  <c r="D32" i="9" s="1"/>
  <c r="Y7" i="19"/>
  <c r="Y317" i="19"/>
  <c r="C315" i="32" s="1"/>
  <c r="H315" i="32" s="1"/>
  <c r="D321" i="9" s="1"/>
  <c r="Y261" i="19"/>
  <c r="C259" i="32" s="1"/>
  <c r="E259" i="32" s="1"/>
  <c r="Y245" i="19"/>
  <c r="C243" i="32" s="1"/>
  <c r="E243" i="32" s="1"/>
  <c r="Y89" i="19"/>
  <c r="C87" i="32" s="1"/>
  <c r="Y62" i="19"/>
  <c r="C60" i="32" s="1"/>
  <c r="E60" i="32" s="1"/>
  <c r="Y307" i="19"/>
  <c r="C305" i="32" s="1"/>
  <c r="Y287" i="19"/>
  <c r="C285" i="32" s="1"/>
  <c r="E285" i="32" s="1"/>
  <c r="Y277" i="19"/>
  <c r="C275" i="32" s="1"/>
  <c r="E275" i="32" s="1"/>
  <c r="Y268" i="19"/>
  <c r="C266" i="32" s="1"/>
  <c r="E266" i="32" s="1"/>
  <c r="Y244" i="19"/>
  <c r="C242" i="32" s="1"/>
  <c r="H242" i="32" s="1"/>
  <c r="D248" i="9" s="1"/>
  <c r="Y232" i="19"/>
  <c r="C230" i="32" s="1"/>
  <c r="E230" i="32" s="1"/>
  <c r="Y219" i="19"/>
  <c r="C217" i="32" s="1"/>
  <c r="E217" i="32" s="1"/>
  <c r="Y199" i="19"/>
  <c r="C197" i="32" s="1"/>
  <c r="E197" i="32" s="1"/>
  <c r="Y180" i="19"/>
  <c r="C178" i="32" s="1"/>
  <c r="E178" i="32" s="1"/>
  <c r="Y146" i="19"/>
  <c r="C144" i="32" s="1"/>
  <c r="E144" i="32" s="1"/>
  <c r="Y137" i="19"/>
  <c r="C135" i="32" s="1"/>
  <c r="E135" i="32" s="1"/>
  <c r="Y117" i="19"/>
  <c r="C115" i="32" s="1"/>
  <c r="E115" i="32" s="1"/>
  <c r="Y109" i="19"/>
  <c r="C107" i="32" s="1"/>
  <c r="E107" i="32" s="1"/>
  <c r="Y98" i="19"/>
  <c r="C96" i="32" s="1"/>
  <c r="H96" i="32" s="1"/>
  <c r="D102" i="9" s="1"/>
  <c r="Y87" i="19"/>
  <c r="C85" i="32" s="1"/>
  <c r="E85" i="32" s="1"/>
  <c r="Y75" i="19"/>
  <c r="C73" i="32" s="1"/>
  <c r="E73" i="32" s="1"/>
  <c r="Y48" i="19"/>
  <c r="C46" i="32" s="1"/>
  <c r="E46" i="32" s="1"/>
  <c r="Y37" i="19"/>
  <c r="C35" i="32" s="1"/>
  <c r="E35" i="32" s="1"/>
  <c r="Y27" i="19"/>
  <c r="C25" i="32" s="1"/>
  <c r="E25" i="32" s="1"/>
  <c r="Y18" i="19"/>
  <c r="C16" i="32" s="1"/>
  <c r="E16" i="32" s="1"/>
  <c r="Y10" i="19"/>
  <c r="C8" i="32" s="1"/>
  <c r="E8" i="32" s="1"/>
  <c r="Y322" i="19"/>
  <c r="C320" i="32" s="1"/>
  <c r="H320" i="32" s="1"/>
  <c r="D326" i="9" s="1"/>
  <c r="Y273" i="19"/>
  <c r="C271" i="32" s="1"/>
  <c r="Y248" i="19"/>
  <c r="C246" i="32" s="1"/>
  <c r="E246" i="32" s="1"/>
  <c r="Y217" i="19"/>
  <c r="C215" i="32" s="1"/>
  <c r="E215" i="32" s="1"/>
  <c r="Y193" i="19"/>
  <c r="C191" i="32" s="1"/>
  <c r="E191" i="32" s="1"/>
  <c r="Y189" i="19"/>
  <c r="C187" i="32" s="1"/>
  <c r="E187" i="32" s="1"/>
  <c r="Y185" i="19"/>
  <c r="C183" i="32" s="1"/>
  <c r="E183" i="32" s="1"/>
  <c r="Y139" i="19"/>
  <c r="C137" i="32" s="1"/>
  <c r="E137" i="32" s="1"/>
  <c r="Y120" i="19"/>
  <c r="C118" i="32" s="1"/>
  <c r="E118" i="32" s="1"/>
  <c r="Y108" i="19"/>
  <c r="C106" i="32" s="1"/>
  <c r="E106" i="32" s="1"/>
  <c r="Y106" i="19"/>
  <c r="C104" i="32" s="1"/>
  <c r="H104" i="32" s="1"/>
  <c r="D110" i="9" s="1"/>
  <c r="Y78" i="19"/>
  <c r="C76" i="32" s="1"/>
  <c r="E76" i="32" s="1"/>
  <c r="Y74" i="19"/>
  <c r="C72" i="32" s="1"/>
  <c r="H72" i="32" s="1"/>
  <c r="D78" i="9" s="1"/>
  <c r="Y60" i="19"/>
  <c r="C58" i="32" s="1"/>
  <c r="H58" i="32" s="1"/>
  <c r="D64" i="9" s="1"/>
  <c r="Y49" i="19"/>
  <c r="C47" i="32" s="1"/>
  <c r="E47" i="32" s="1"/>
  <c r="Y45" i="19"/>
  <c r="C43" i="32" s="1"/>
  <c r="H43" i="32" s="1"/>
  <c r="D49" i="9" s="1"/>
  <c r="Y44" i="19"/>
  <c r="C42" i="32" s="1"/>
  <c r="E42" i="32" s="1"/>
  <c r="Y42" i="19"/>
  <c r="C40" i="32" s="1"/>
  <c r="H40" i="32" s="1"/>
  <c r="D46" i="9" s="1"/>
  <c r="Y33" i="19"/>
  <c r="C31" i="32" s="1"/>
  <c r="E31" i="32" s="1"/>
  <c r="Y324" i="19"/>
  <c r="C322" i="32" s="1"/>
  <c r="E322" i="32" s="1"/>
  <c r="Y312" i="19"/>
  <c r="C310" i="32" s="1"/>
  <c r="E310" i="32" s="1"/>
  <c r="Y306" i="19"/>
  <c r="C304" i="32" s="1"/>
  <c r="H304" i="32" s="1"/>
  <c r="D310" i="9" s="1"/>
  <c r="Y299" i="19"/>
  <c r="C297" i="32" s="1"/>
  <c r="E297" i="32" s="1"/>
  <c r="Y294" i="19"/>
  <c r="C292" i="32" s="1"/>
  <c r="E292" i="32" s="1"/>
  <c r="Y290" i="19"/>
  <c r="C288" i="32" s="1"/>
  <c r="E288" i="32" s="1"/>
  <c r="Y286" i="19"/>
  <c r="C284" i="32" s="1"/>
  <c r="E284" i="32" s="1"/>
  <c r="Y282" i="19"/>
  <c r="C280" i="32" s="1"/>
  <c r="E280" i="32" s="1"/>
  <c r="Y276" i="19"/>
  <c r="C274" i="32" s="1"/>
  <c r="E274" i="32" s="1"/>
  <c r="Y271" i="19"/>
  <c r="C269" i="32" s="1"/>
  <c r="E269" i="32" s="1"/>
  <c r="Y267" i="19"/>
  <c r="C265" i="32" s="1"/>
  <c r="H265" i="32" s="1"/>
  <c r="D271" i="9" s="1"/>
  <c r="Y262" i="19"/>
  <c r="C260" i="32" s="1"/>
  <c r="E260" i="32" s="1"/>
  <c r="Y253" i="19"/>
  <c r="C251" i="32" s="1"/>
  <c r="E251" i="32" s="1"/>
  <c r="Y249" i="19"/>
  <c r="C247" i="32" s="1"/>
  <c r="Y243" i="19"/>
  <c r="C241" i="32" s="1"/>
  <c r="H241" i="32" s="1"/>
  <c r="D247" i="9" s="1"/>
  <c r="Y236" i="19"/>
  <c r="C234" i="32" s="1"/>
  <c r="E234" i="32" s="1"/>
  <c r="Y231" i="19"/>
  <c r="C229" i="32" s="1"/>
  <c r="E229" i="32" s="1"/>
  <c r="Y222" i="19"/>
  <c r="C220" i="32" s="1"/>
  <c r="Y218" i="19"/>
  <c r="C216" i="32" s="1"/>
  <c r="Y211" i="19"/>
  <c r="C209" i="32" s="1"/>
  <c r="E209" i="32" s="1"/>
  <c r="Y207" i="19"/>
  <c r="C205" i="32" s="1"/>
  <c r="E205" i="32" s="1"/>
  <c r="Y202" i="19"/>
  <c r="C200" i="32" s="1"/>
  <c r="E200" i="32" s="1"/>
  <c r="Y198" i="19"/>
  <c r="C196" i="32" s="1"/>
  <c r="E196" i="32" s="1"/>
  <c r="Y194" i="19"/>
  <c r="C192" i="32" s="1"/>
  <c r="E192" i="32" s="1"/>
  <c r="Y186" i="19"/>
  <c r="C184" i="32" s="1"/>
  <c r="E184" i="32" s="1"/>
  <c r="Y179" i="19"/>
  <c r="C177" i="32" s="1"/>
  <c r="Y173" i="19"/>
  <c r="C171" i="32" s="1"/>
  <c r="Y161" i="19"/>
  <c r="C159" i="32" s="1"/>
  <c r="H159" i="32" s="1"/>
  <c r="D165" i="9" s="1"/>
  <c r="Y155" i="19"/>
  <c r="C153" i="32" s="1"/>
  <c r="E153" i="32" s="1"/>
  <c r="Y149" i="19"/>
  <c r="C147" i="32" s="1"/>
  <c r="Y145" i="19"/>
  <c r="C143" i="32" s="1"/>
  <c r="E143" i="32" s="1"/>
  <c r="Y141" i="19"/>
  <c r="C139" i="32" s="1"/>
  <c r="Y136" i="19"/>
  <c r="C134" i="32" s="1"/>
  <c r="E134" i="32" s="1"/>
  <c r="Y130" i="19"/>
  <c r="C128" i="32" s="1"/>
  <c r="E128" i="32" s="1"/>
  <c r="Y125" i="19"/>
  <c r="C123" i="32" s="1"/>
  <c r="E123" i="32" s="1"/>
  <c r="Y121" i="19"/>
  <c r="C119" i="32" s="1"/>
  <c r="E119" i="32" s="1"/>
  <c r="Y116" i="19"/>
  <c r="C114" i="32" s="1"/>
  <c r="E114" i="32" s="1"/>
  <c r="Y112" i="19"/>
  <c r="C110" i="32" s="1"/>
  <c r="H110" i="32" s="1"/>
  <c r="D116" i="9" s="1"/>
  <c r="Y107" i="19"/>
  <c r="C105" i="32" s="1"/>
  <c r="E105" i="32" s="1"/>
  <c r="Y101" i="19"/>
  <c r="C99" i="32" s="1"/>
  <c r="E99" i="32" s="1"/>
  <c r="Y97" i="19"/>
  <c r="C95" i="32" s="1"/>
  <c r="H95" i="32" s="1"/>
  <c r="D101" i="9" s="1"/>
  <c r="Y93" i="19"/>
  <c r="C91" i="32" s="1"/>
  <c r="E91" i="32" s="1"/>
  <c r="Y84" i="19"/>
  <c r="C82" i="32" s="1"/>
  <c r="E82" i="32" s="1"/>
  <c r="Y79" i="19"/>
  <c r="C77" i="32" s="1"/>
  <c r="E77" i="32" s="1"/>
  <c r="Y73" i="19"/>
  <c r="C71" i="32" s="1"/>
  <c r="H71" i="32" s="1"/>
  <c r="D77" i="9" s="1"/>
  <c r="Y68" i="19"/>
  <c r="C66" i="32" s="1"/>
  <c r="E66" i="32" s="1"/>
  <c r="Y64" i="19"/>
  <c r="C62" i="32" s="1"/>
  <c r="E62" i="32" s="1"/>
  <c r="Y58" i="19"/>
  <c r="C56" i="32" s="1"/>
  <c r="E56" i="32" s="1"/>
  <c r="Y53" i="19"/>
  <c r="C51" i="32" s="1"/>
  <c r="E51" i="32" s="1"/>
  <c r="Y47" i="19"/>
  <c r="C45" i="32" s="1"/>
  <c r="E45" i="32" s="1"/>
  <c r="Y40" i="19"/>
  <c r="C38" i="32" s="1"/>
  <c r="E38" i="32" s="1"/>
  <c r="Y35" i="19"/>
  <c r="C33" i="32" s="1"/>
  <c r="E33" i="32" s="1"/>
  <c r="Y30" i="19"/>
  <c r="C28" i="32" s="1"/>
  <c r="E28" i="32" s="1"/>
  <c r="Y26" i="19"/>
  <c r="C24" i="32" s="1"/>
  <c r="H24" i="32" s="1"/>
  <c r="D30" i="9" s="1"/>
  <c r="Y21" i="19"/>
  <c r="C19" i="32" s="1"/>
  <c r="H19" i="32" s="1"/>
  <c r="D25" i="9" s="1"/>
  <c r="Y17" i="19"/>
  <c r="C15" i="32" s="1"/>
  <c r="E15" i="32" s="1"/>
  <c r="Y13" i="19"/>
  <c r="C11" i="32" s="1"/>
  <c r="E11" i="32" s="1"/>
  <c r="Y9" i="19"/>
  <c r="C7" i="32" s="1"/>
  <c r="E7" i="32" s="1"/>
  <c r="E258" i="32"/>
  <c r="L180" i="13"/>
  <c r="M180" i="13" s="1"/>
  <c r="L280" i="13"/>
  <c r="M280" i="13" s="1"/>
  <c r="E169" i="32"/>
  <c r="L308" i="13"/>
  <c r="M308" i="13" s="1"/>
  <c r="L196" i="13"/>
  <c r="M196" i="13" s="1"/>
  <c r="L68" i="13"/>
  <c r="M68" i="13" s="1"/>
  <c r="L36" i="13"/>
  <c r="M36" i="13" s="1"/>
  <c r="E98" i="32"/>
  <c r="L285" i="13"/>
  <c r="M285" i="13" s="1"/>
  <c r="L257" i="13"/>
  <c r="M257" i="13" s="1"/>
  <c r="L249" i="13"/>
  <c r="M249" i="13" s="1"/>
  <c r="L323" i="13"/>
  <c r="M323" i="13" s="1"/>
  <c r="L316" i="13"/>
  <c r="M316" i="13" s="1"/>
  <c r="L312" i="13"/>
  <c r="M312" i="13" s="1"/>
  <c r="L292" i="13"/>
  <c r="M292" i="13" s="1"/>
  <c r="L268" i="13"/>
  <c r="M268" i="13" s="1"/>
  <c r="L260" i="13"/>
  <c r="M260" i="13" s="1"/>
  <c r="L248" i="13"/>
  <c r="M248" i="13" s="1"/>
  <c r="L232" i="13"/>
  <c r="M232" i="13" s="1"/>
  <c r="L212" i="13"/>
  <c r="M212" i="13" s="1"/>
  <c r="L188" i="13"/>
  <c r="M188" i="13" s="1"/>
  <c r="L176" i="13"/>
  <c r="M176" i="13" s="1"/>
  <c r="L60" i="13"/>
  <c r="M60" i="13" s="1"/>
  <c r="L56" i="13"/>
  <c r="M56" i="13" s="1"/>
  <c r="L48" i="13"/>
  <c r="M48" i="13" s="1"/>
  <c r="L28" i="13"/>
  <c r="M28" i="13" s="1"/>
  <c r="L16" i="13"/>
  <c r="M16" i="13" s="1"/>
  <c r="L256" i="13"/>
  <c r="M256" i="13" s="1"/>
  <c r="L236" i="13"/>
  <c r="M236" i="13" s="1"/>
  <c r="L272" i="13"/>
  <c r="M272" i="13" s="1"/>
  <c r="L320" i="13"/>
  <c r="M320" i="13" s="1"/>
  <c r="L300" i="13"/>
  <c r="M300" i="13" s="1"/>
  <c r="L296" i="13"/>
  <c r="M296" i="13" s="1"/>
  <c r="L288" i="13"/>
  <c r="M288" i="13" s="1"/>
  <c r="L276" i="13"/>
  <c r="M276" i="13" s="1"/>
  <c r="L216" i="13"/>
  <c r="M216" i="13" s="1"/>
  <c r="L208" i="13"/>
  <c r="M208" i="13" s="1"/>
  <c r="L200" i="13"/>
  <c r="M200" i="13" s="1"/>
  <c r="L192" i="13"/>
  <c r="M192" i="13" s="1"/>
  <c r="L44" i="13"/>
  <c r="M44" i="13" s="1"/>
  <c r="L24" i="13"/>
  <c r="M24" i="13" s="1"/>
  <c r="L184" i="13"/>
  <c r="M184" i="13" s="1"/>
  <c r="L162" i="13"/>
  <c r="M162" i="13" s="1"/>
  <c r="L154" i="13"/>
  <c r="M154" i="13" s="1"/>
  <c r="L146" i="13"/>
  <c r="M146" i="13" s="1"/>
  <c r="L138" i="13"/>
  <c r="M138" i="13" s="1"/>
  <c r="L130" i="13"/>
  <c r="M130" i="13" s="1"/>
  <c r="L114" i="13"/>
  <c r="M114" i="13" s="1"/>
  <c r="L106" i="13"/>
  <c r="M106" i="13" s="1"/>
  <c r="L98" i="13"/>
  <c r="M98" i="13" s="1"/>
  <c r="L90" i="13"/>
  <c r="M90" i="13" s="1"/>
  <c r="L82" i="13"/>
  <c r="M82" i="13" s="1"/>
  <c r="L122" i="13"/>
  <c r="M122" i="13" s="1"/>
  <c r="L313" i="13"/>
  <c r="M313" i="13" s="1"/>
  <c r="L158" i="13"/>
  <c r="M158" i="13" s="1"/>
  <c r="L150" i="13"/>
  <c r="M150" i="13" s="1"/>
  <c r="L142" i="13"/>
  <c r="M142" i="13" s="1"/>
  <c r="L134" i="13"/>
  <c r="M134" i="13" s="1"/>
  <c r="L102" i="13"/>
  <c r="M102" i="13" s="1"/>
  <c r="L94" i="13"/>
  <c r="M94" i="13" s="1"/>
  <c r="L78" i="13"/>
  <c r="M78" i="13" s="1"/>
  <c r="L110" i="13"/>
  <c r="M110" i="13" s="1"/>
  <c r="L321" i="13"/>
  <c r="M321" i="13" s="1"/>
  <c r="L317" i="13"/>
  <c r="M317" i="13" s="1"/>
  <c r="L309" i="13"/>
  <c r="M309" i="13" s="1"/>
  <c r="L126" i="13"/>
  <c r="M126" i="13" s="1"/>
  <c r="L293" i="13"/>
  <c r="M293" i="13" s="1"/>
  <c r="L277" i="13"/>
  <c r="M277" i="13" s="1"/>
  <c r="L269" i="13"/>
  <c r="M269" i="13" s="1"/>
  <c r="L261" i="13"/>
  <c r="M261" i="13" s="1"/>
  <c r="L221" i="13"/>
  <c r="M221" i="13" s="1"/>
  <c r="L213" i="13"/>
  <c r="M213" i="13" s="1"/>
  <c r="L197" i="13"/>
  <c r="M197" i="13" s="1"/>
  <c r="L177" i="13"/>
  <c r="M177" i="13" s="1"/>
  <c r="L173" i="13"/>
  <c r="M173" i="13" s="1"/>
  <c r="L165" i="13"/>
  <c r="M165" i="13" s="1"/>
  <c r="L161" i="13"/>
  <c r="M161" i="13" s="1"/>
  <c r="L305" i="13"/>
  <c r="M305" i="13" s="1"/>
  <c r="L181" i="13"/>
  <c r="M181" i="13" s="1"/>
  <c r="L301" i="13"/>
  <c r="M301" i="13" s="1"/>
  <c r="L289" i="13"/>
  <c r="M289" i="13" s="1"/>
  <c r="L281" i="13"/>
  <c r="M281" i="13" s="1"/>
  <c r="L273" i="13"/>
  <c r="M273" i="13" s="1"/>
  <c r="L245" i="13"/>
  <c r="M245" i="13" s="1"/>
  <c r="L233" i="13"/>
  <c r="M233" i="13" s="1"/>
  <c r="L225" i="13"/>
  <c r="M225" i="13" s="1"/>
  <c r="L217" i="13"/>
  <c r="M217" i="13" s="1"/>
  <c r="L209" i="13"/>
  <c r="M209" i="13" s="1"/>
  <c r="L193" i="13"/>
  <c r="M193" i="13" s="1"/>
  <c r="L169" i="13"/>
  <c r="M169" i="13" s="1"/>
  <c r="L157" i="13"/>
  <c r="M157" i="13" s="1"/>
  <c r="L205" i="13"/>
  <c r="M205" i="13" s="1"/>
  <c r="L237" i="13"/>
  <c r="M237" i="13" s="1"/>
  <c r="L241" i="13"/>
  <c r="M241" i="13" s="1"/>
  <c r="L229" i="13"/>
  <c r="M229" i="13" s="1"/>
  <c r="L189" i="13"/>
  <c r="M189" i="13" s="1"/>
  <c r="L153" i="13"/>
  <c r="M153" i="13" s="1"/>
  <c r="E165" i="32"/>
  <c r="E86" i="32"/>
  <c r="AB325" i="19"/>
  <c r="L13" i="13"/>
  <c r="M13" i="13" s="1"/>
  <c r="L20" i="13"/>
  <c r="M20" i="13" s="1"/>
  <c r="L72" i="13"/>
  <c r="M72" i="13" s="1"/>
  <c r="L64" i="13"/>
  <c r="M64" i="13" s="1"/>
  <c r="L52" i="13"/>
  <c r="M52" i="13" s="1"/>
  <c r="K325" i="19"/>
  <c r="E325" i="19"/>
  <c r="E301" i="32"/>
  <c r="G264" i="19"/>
  <c r="E261" i="32"/>
  <c r="G248" i="19"/>
  <c r="G201" i="19"/>
  <c r="T201" i="19" s="1"/>
  <c r="H200" i="49" s="1"/>
  <c r="I200" i="49" s="1"/>
  <c r="E181" i="32"/>
  <c r="L12" i="13"/>
  <c r="M12" i="13" s="1"/>
  <c r="L40" i="13"/>
  <c r="M40" i="13" s="1"/>
  <c r="L32" i="13"/>
  <c r="M32" i="13" s="1"/>
  <c r="E96" i="32"/>
  <c r="E176" i="32"/>
  <c r="G170" i="19"/>
  <c r="G167" i="19"/>
  <c r="T167" i="19" s="1"/>
  <c r="H166" i="49" s="1"/>
  <c r="G166" i="19"/>
  <c r="T166" i="19" s="1"/>
  <c r="H165" i="49" s="1"/>
  <c r="I165" i="49" s="1"/>
  <c r="G165" i="19"/>
  <c r="E158" i="32"/>
  <c r="E132" i="32"/>
  <c r="E84" i="32"/>
  <c r="AI325" i="19"/>
  <c r="E290" i="32"/>
  <c r="E318" i="32"/>
  <c r="L38" i="13"/>
  <c r="M38" i="13" s="1"/>
  <c r="F325" i="19"/>
  <c r="AA325" i="19"/>
  <c r="M325" i="19"/>
  <c r="O9" i="19"/>
  <c r="P325" i="19"/>
  <c r="V325" i="19"/>
  <c r="L179" i="13"/>
  <c r="M179" i="13" s="1"/>
  <c r="C325" i="19"/>
  <c r="E319" i="32"/>
  <c r="E190" i="32"/>
  <c r="E224" i="32"/>
  <c r="E126" i="32"/>
  <c r="L278" i="13"/>
  <c r="M278" i="13" s="1"/>
  <c r="E306" i="32"/>
  <c r="J325" i="19"/>
  <c r="E151" i="32"/>
  <c r="M244" i="13"/>
  <c r="AH325" i="19"/>
  <c r="AK325" i="19"/>
  <c r="AP325" i="19"/>
  <c r="AQ325" i="19"/>
  <c r="AO325" i="19"/>
  <c r="AJ325" i="19"/>
  <c r="D5" i="32"/>
  <c r="Z325" i="19"/>
  <c r="L319" i="13"/>
  <c r="M319" i="13" s="1"/>
  <c r="L311" i="13"/>
  <c r="M311" i="13" s="1"/>
  <c r="L307" i="13"/>
  <c r="M307" i="13" s="1"/>
  <c r="L299" i="13"/>
  <c r="M299" i="13" s="1"/>
  <c r="L295" i="13"/>
  <c r="M295" i="13" s="1"/>
  <c r="L291" i="13"/>
  <c r="M291" i="13" s="1"/>
  <c r="L283" i="13"/>
  <c r="M283" i="13" s="1"/>
  <c r="L279" i="13"/>
  <c r="M279" i="13" s="1"/>
  <c r="L275" i="13"/>
  <c r="M275" i="13" s="1"/>
  <c r="L271" i="13"/>
  <c r="M271" i="13" s="1"/>
  <c r="L263" i="13"/>
  <c r="M263" i="13" s="1"/>
  <c r="L255" i="13"/>
  <c r="M255" i="13" s="1"/>
  <c r="L247" i="13"/>
  <c r="M247" i="13" s="1"/>
  <c r="L239" i="13"/>
  <c r="M239" i="13" s="1"/>
  <c r="L231" i="13"/>
  <c r="M231" i="13" s="1"/>
  <c r="L223" i="13"/>
  <c r="M223" i="13" s="1"/>
  <c r="L207" i="13"/>
  <c r="M207" i="13" s="1"/>
  <c r="L203" i="13"/>
  <c r="M203" i="13" s="1"/>
  <c r="L199" i="13"/>
  <c r="M199" i="13" s="1"/>
  <c r="L191" i="13"/>
  <c r="M191" i="13" s="1"/>
  <c r="L187" i="13"/>
  <c r="M187" i="13" s="1"/>
  <c r="L183" i="13"/>
  <c r="M183" i="13" s="1"/>
  <c r="L164" i="13"/>
  <c r="M164" i="13" s="1"/>
  <c r="L160" i="13"/>
  <c r="M160" i="13" s="1"/>
  <c r="L156" i="13"/>
  <c r="M156" i="13" s="1"/>
  <c r="L148" i="13"/>
  <c r="M148" i="13" s="1"/>
  <c r="L145" i="13"/>
  <c r="M145" i="13" s="1"/>
  <c r="L137" i="13"/>
  <c r="M137" i="13" s="1"/>
  <c r="L133" i="13"/>
  <c r="M133" i="13" s="1"/>
  <c r="L129" i="13"/>
  <c r="M129" i="13" s="1"/>
  <c r="L125" i="13"/>
  <c r="M125" i="13" s="1"/>
  <c r="L113" i="13"/>
  <c r="M113" i="13" s="1"/>
  <c r="L109" i="13"/>
  <c r="M109" i="13" s="1"/>
  <c r="L105" i="13"/>
  <c r="M105" i="13" s="1"/>
  <c r="L101" i="13"/>
  <c r="M101" i="13" s="1"/>
  <c r="L97" i="13"/>
  <c r="M97" i="13" s="1"/>
  <c r="L89" i="13"/>
  <c r="M89" i="13" s="1"/>
  <c r="L81" i="13"/>
  <c r="M81" i="13" s="1"/>
  <c r="L70" i="13"/>
  <c r="M70" i="13" s="1"/>
  <c r="L66" i="13"/>
  <c r="M66" i="13" s="1"/>
  <c r="L62" i="13"/>
  <c r="M62" i="13" s="1"/>
  <c r="L58" i="13"/>
  <c r="M58" i="13" s="1"/>
  <c r="L54" i="13"/>
  <c r="M54" i="13" s="1"/>
  <c r="L50" i="13"/>
  <c r="M50" i="13" s="1"/>
  <c r="L46" i="13"/>
  <c r="M46" i="13" s="1"/>
  <c r="L42" i="13"/>
  <c r="M42" i="13" s="1"/>
  <c r="L34" i="13"/>
  <c r="M34" i="13" s="1"/>
  <c r="L30" i="13"/>
  <c r="M30" i="13" s="1"/>
  <c r="L26" i="13"/>
  <c r="M26" i="13" s="1"/>
  <c r="L22" i="13"/>
  <c r="M22" i="13" s="1"/>
  <c r="L18" i="13"/>
  <c r="M18" i="13" s="1"/>
  <c r="L10" i="13"/>
  <c r="M10" i="13" s="1"/>
  <c r="L7" i="13"/>
  <c r="M7" i="13" s="1"/>
  <c r="H325" i="19"/>
  <c r="I325" i="19"/>
  <c r="AE325" i="19"/>
  <c r="L211" i="13"/>
  <c r="M211" i="13" s="1"/>
  <c r="L85" i="13"/>
  <c r="M85" i="13" s="1"/>
  <c r="AR325" i="19"/>
  <c r="L318" i="13"/>
  <c r="M318" i="13" s="1"/>
  <c r="L310" i="13"/>
  <c r="M310" i="13" s="1"/>
  <c r="L302" i="13"/>
  <c r="M302" i="13" s="1"/>
  <c r="L294" i="13"/>
  <c r="M294" i="13" s="1"/>
  <c r="L286" i="13"/>
  <c r="M286" i="13" s="1"/>
  <c r="L282" i="13"/>
  <c r="M282" i="13" s="1"/>
  <c r="L274" i="13"/>
  <c r="M274" i="13" s="1"/>
  <c r="L266" i="13"/>
  <c r="M266" i="13" s="1"/>
  <c r="L258" i="13"/>
  <c r="M258" i="13" s="1"/>
  <c r="L250" i="13"/>
  <c r="M250" i="13" s="1"/>
  <c r="L242" i="13"/>
  <c r="M242" i="13" s="1"/>
  <c r="L234" i="13"/>
  <c r="M234" i="13" s="1"/>
  <c r="L226" i="13"/>
  <c r="M226" i="13" s="1"/>
  <c r="L214" i="13"/>
  <c r="M214" i="13" s="1"/>
  <c r="L202" i="13"/>
  <c r="M202" i="13" s="1"/>
  <c r="L194" i="13"/>
  <c r="M194" i="13" s="1"/>
  <c r="L186" i="13"/>
  <c r="M186" i="13" s="1"/>
  <c r="L182" i="13"/>
  <c r="M182" i="13" s="1"/>
  <c r="L166" i="13"/>
  <c r="M166" i="13" s="1"/>
  <c r="L163" i="13"/>
  <c r="M163" i="13" s="1"/>
  <c r="L155" i="13"/>
  <c r="M155" i="13" s="1"/>
  <c r="L124" i="13"/>
  <c r="M124" i="13" s="1"/>
  <c r="L116" i="13"/>
  <c r="M116" i="13" s="1"/>
  <c r="L108" i="13"/>
  <c r="M108" i="13" s="1"/>
  <c r="L100" i="13"/>
  <c r="M100" i="13" s="1"/>
  <c r="L92" i="13"/>
  <c r="M92" i="13" s="1"/>
  <c r="L76" i="13"/>
  <c r="M76" i="13" s="1"/>
  <c r="L69" i="13"/>
  <c r="M69" i="13" s="1"/>
  <c r="L65" i="13"/>
  <c r="M65" i="13" s="1"/>
  <c r="L57" i="13"/>
  <c r="M57" i="13" s="1"/>
  <c r="L49" i="13"/>
  <c r="M49" i="13" s="1"/>
  <c r="L41" i="13"/>
  <c r="M41" i="13" s="1"/>
  <c r="L37" i="13"/>
  <c r="M37" i="13" s="1"/>
  <c r="L29" i="13"/>
  <c r="M29" i="13" s="1"/>
  <c r="L21" i="13"/>
  <c r="M21" i="13" s="1"/>
  <c r="L9" i="13"/>
  <c r="M9" i="13" s="1"/>
  <c r="D325" i="19"/>
  <c r="E247" i="32"/>
  <c r="G156" i="19"/>
  <c r="G151" i="19"/>
  <c r="T151" i="19" s="1"/>
  <c r="H150" i="49" s="1"/>
  <c r="E50" i="32"/>
  <c r="G28" i="19"/>
  <c r="G27" i="19"/>
  <c r="G26" i="19"/>
  <c r="G25" i="19"/>
  <c r="G24" i="19"/>
  <c r="G22" i="19"/>
  <c r="G21" i="19"/>
  <c r="G20" i="19"/>
  <c r="T20" i="19" s="1"/>
  <c r="H19" i="49" s="1"/>
  <c r="I19" i="49" s="1"/>
  <c r="L325" i="19"/>
  <c r="AC325" i="19"/>
  <c r="L206" i="13"/>
  <c r="M206" i="13" s="1"/>
  <c r="L218" i="13"/>
  <c r="M218" i="13" s="1"/>
  <c r="L93" i="13"/>
  <c r="M93" i="13" s="1"/>
  <c r="L141" i="13"/>
  <c r="M141" i="13" s="1"/>
  <c r="L77" i="13"/>
  <c r="M77" i="13" s="1"/>
  <c r="L74" i="13"/>
  <c r="M74" i="13" s="1"/>
  <c r="L14" i="13"/>
  <c r="M14" i="13" s="1"/>
  <c r="AL325" i="19"/>
  <c r="AM325" i="19"/>
  <c r="AG325" i="19"/>
  <c r="AN325" i="19"/>
  <c r="AF325" i="19"/>
  <c r="L315" i="13"/>
  <c r="M315" i="13" s="1"/>
  <c r="L303" i="13"/>
  <c r="M303" i="13" s="1"/>
  <c r="L287" i="13"/>
  <c r="M287" i="13" s="1"/>
  <c r="L259" i="13"/>
  <c r="M259" i="13" s="1"/>
  <c r="L243" i="13"/>
  <c r="M243" i="13" s="1"/>
  <c r="L219" i="13"/>
  <c r="M219" i="13" s="1"/>
  <c r="L215" i="13"/>
  <c r="M215" i="13" s="1"/>
  <c r="L195" i="13"/>
  <c r="M195" i="13" s="1"/>
  <c r="L117" i="13"/>
  <c r="M117" i="13" s="1"/>
  <c r="AD325" i="19"/>
  <c r="W325" i="19"/>
  <c r="X325" i="19"/>
  <c r="L322" i="13"/>
  <c r="M322" i="13" s="1"/>
  <c r="L314" i="13"/>
  <c r="M314" i="13" s="1"/>
  <c r="L306" i="13"/>
  <c r="M306" i="13" s="1"/>
  <c r="L298" i="13"/>
  <c r="M298" i="13" s="1"/>
  <c r="L290" i="13"/>
  <c r="M290" i="13" s="1"/>
  <c r="L270" i="13"/>
  <c r="M270" i="13" s="1"/>
  <c r="L262" i="13"/>
  <c r="M262" i="13" s="1"/>
  <c r="L254" i="13"/>
  <c r="M254" i="13" s="1"/>
  <c r="L246" i="13"/>
  <c r="M246" i="13" s="1"/>
  <c r="L238" i="13"/>
  <c r="M238" i="13" s="1"/>
  <c r="L230" i="13"/>
  <c r="M230" i="13" s="1"/>
  <c r="L222" i="13"/>
  <c r="M222" i="13" s="1"/>
  <c r="L210" i="13"/>
  <c r="M210" i="13" s="1"/>
  <c r="L198" i="13"/>
  <c r="M198" i="13" s="1"/>
  <c r="L190" i="13"/>
  <c r="M190" i="13" s="1"/>
  <c r="L151" i="13"/>
  <c r="M151" i="13" s="1"/>
  <c r="L144" i="13"/>
  <c r="M144" i="13" s="1"/>
  <c r="L136" i="13"/>
  <c r="M136" i="13" s="1"/>
  <c r="L112" i="13"/>
  <c r="M112" i="13" s="1"/>
  <c r="L104" i="13"/>
  <c r="M104" i="13" s="1"/>
  <c r="L88" i="13"/>
  <c r="M88" i="13" s="1"/>
  <c r="L84" i="13"/>
  <c r="M84" i="13" s="1"/>
  <c r="L73" i="13"/>
  <c r="M73" i="13" s="1"/>
  <c r="L61" i="13"/>
  <c r="M61" i="13" s="1"/>
  <c r="L53" i="13"/>
  <c r="M53" i="13" s="1"/>
  <c r="L45" i="13"/>
  <c r="M45" i="13" s="1"/>
  <c r="L33" i="13"/>
  <c r="M33" i="13" s="1"/>
  <c r="L25" i="13"/>
  <c r="M25" i="13" s="1"/>
  <c r="G276" i="19"/>
  <c r="E87" i="32"/>
  <c r="L267" i="13"/>
  <c r="M267" i="13" s="1"/>
  <c r="L170" i="13"/>
  <c r="M170" i="13" s="1"/>
  <c r="L80" i="13"/>
  <c r="M80" i="13" s="1"/>
  <c r="L17" i="13"/>
  <c r="M17" i="13" s="1"/>
  <c r="L140" i="13"/>
  <c r="M140" i="13" s="1"/>
  <c r="L159" i="13"/>
  <c r="M159" i="13" s="1"/>
  <c r="L178" i="13"/>
  <c r="M178" i="13" s="1"/>
  <c r="L147" i="13"/>
  <c r="M147" i="13" s="1"/>
  <c r="G7" i="19"/>
  <c r="G195" i="19"/>
  <c r="G100" i="19"/>
  <c r="G240" i="19"/>
  <c r="G109" i="19"/>
  <c r="G108" i="19"/>
  <c r="T108" i="19" s="1"/>
  <c r="H107" i="49" s="1"/>
  <c r="I107" i="49" s="1"/>
  <c r="G94" i="19"/>
  <c r="G83" i="19"/>
  <c r="G79" i="19"/>
  <c r="G75" i="19"/>
  <c r="G56" i="19"/>
  <c r="T56" i="19" s="1"/>
  <c r="H55" i="49" s="1"/>
  <c r="I55" i="49" s="1"/>
  <c r="G51" i="19"/>
  <c r="G50" i="19"/>
  <c r="G46" i="19"/>
  <c r="G45" i="19"/>
  <c r="G44" i="19"/>
  <c r="G11" i="19"/>
  <c r="G9" i="19"/>
  <c r="T9" i="19" s="1"/>
  <c r="H8" i="49" s="1"/>
  <c r="I8" i="49" s="1"/>
  <c r="G316" i="19"/>
  <c r="G260" i="19"/>
  <c r="G174" i="19"/>
  <c r="G30" i="19"/>
  <c r="G107" i="19"/>
  <c r="T107" i="19" s="1"/>
  <c r="H106" i="49" s="1"/>
  <c r="I106" i="49" s="1"/>
  <c r="G89" i="19"/>
  <c r="G43" i="19"/>
  <c r="G281" i="19"/>
  <c r="G256" i="19"/>
  <c r="G253" i="19"/>
  <c r="G245" i="19"/>
  <c r="T245" i="19" s="1"/>
  <c r="H244" i="49" s="1"/>
  <c r="I244" i="49" s="1"/>
  <c r="G125" i="19"/>
  <c r="G113" i="19"/>
  <c r="G42" i="19"/>
  <c r="G322" i="19"/>
  <c r="G301" i="19"/>
  <c r="G217" i="19"/>
  <c r="G205" i="19"/>
  <c r="G142" i="19"/>
  <c r="G317" i="19"/>
  <c r="G244" i="19"/>
  <c r="G131" i="19"/>
  <c r="T131" i="19" s="1"/>
  <c r="H130" i="49" s="1"/>
  <c r="G272" i="19"/>
  <c r="G180" i="19"/>
  <c r="G178" i="19"/>
  <c r="G177" i="19"/>
  <c r="T177" i="19" s="1"/>
  <c r="H176" i="49" s="1"/>
  <c r="G173" i="19"/>
  <c r="G97" i="19"/>
  <c r="G19" i="19"/>
  <c r="G304" i="19"/>
  <c r="G287" i="19"/>
  <c r="G228" i="19"/>
  <c r="G187" i="19"/>
  <c r="G183" i="19"/>
  <c r="G169" i="19"/>
  <c r="G132" i="19"/>
  <c r="G118" i="19"/>
  <c r="G8" i="19"/>
  <c r="G323" i="19"/>
  <c r="G235" i="19"/>
  <c r="G154" i="19"/>
  <c r="G130" i="19"/>
  <c r="G41" i="19"/>
  <c r="G40" i="19"/>
  <c r="T40" i="19" s="1"/>
  <c r="H39" i="49" s="1"/>
  <c r="I39" i="49" s="1"/>
  <c r="G35" i="19"/>
  <c r="G34" i="19"/>
  <c r="G320" i="19"/>
  <c r="G312" i="19"/>
  <c r="G306" i="19"/>
  <c r="G297" i="19"/>
  <c r="T297" i="19" s="1"/>
  <c r="H296" i="49" s="1"/>
  <c r="I296" i="49" s="1"/>
  <c r="G277" i="19"/>
  <c r="G213" i="19"/>
  <c r="T213" i="19" s="1"/>
  <c r="H212" i="49" s="1"/>
  <c r="I212" i="49" s="1"/>
  <c r="G209" i="19"/>
  <c r="G197" i="19"/>
  <c r="T197" i="19" s="1"/>
  <c r="H196" i="49" s="1"/>
  <c r="G193" i="19"/>
  <c r="G185" i="19"/>
  <c r="G161" i="19"/>
  <c r="G152" i="19"/>
  <c r="G148" i="19"/>
  <c r="G144" i="19"/>
  <c r="T144" i="19" s="1"/>
  <c r="H143" i="49" s="1"/>
  <c r="I143" i="49" s="1"/>
  <c r="G139" i="19"/>
  <c r="G105" i="19"/>
  <c r="G102" i="19"/>
  <c r="G70" i="19"/>
  <c r="G65" i="19"/>
  <c r="G60" i="19"/>
  <c r="T60" i="19" s="1"/>
  <c r="H59" i="49" s="1"/>
  <c r="I59" i="49" s="1"/>
  <c r="G48" i="19"/>
  <c r="T48" i="19" s="1"/>
  <c r="H47" i="49" s="1"/>
  <c r="G321" i="19"/>
  <c r="G319" i="19"/>
  <c r="G315" i="19"/>
  <c r="G311" i="19"/>
  <c r="G305" i="19"/>
  <c r="T305" i="19" s="1"/>
  <c r="H304" i="49" s="1"/>
  <c r="I304" i="49" s="1"/>
  <c r="G300" i="19"/>
  <c r="G296" i="19"/>
  <c r="G292" i="19"/>
  <c r="G288" i="19"/>
  <c r="G284" i="19"/>
  <c r="G280" i="19"/>
  <c r="G267" i="19"/>
  <c r="G263" i="19"/>
  <c r="G259" i="19"/>
  <c r="G255" i="19"/>
  <c r="G251" i="19"/>
  <c r="G247" i="19"/>
  <c r="G242" i="19"/>
  <c r="G238" i="19"/>
  <c r="T238" i="19" s="1"/>
  <c r="H237" i="49" s="1"/>
  <c r="G237" i="19"/>
  <c r="T237" i="19" s="1"/>
  <c r="H236" i="49" s="1"/>
  <c r="I236" i="49" s="1"/>
  <c r="G233" i="19"/>
  <c r="T233" i="19" s="1"/>
  <c r="H232" i="49" s="1"/>
  <c r="G229" i="19"/>
  <c r="G224" i="19"/>
  <c r="G220" i="19"/>
  <c r="G216" i="19"/>
  <c r="G212" i="19"/>
  <c r="T212" i="19" s="1"/>
  <c r="H211" i="49" s="1"/>
  <c r="I211" i="49" s="1"/>
  <c r="G208" i="19"/>
  <c r="G204" i="19"/>
  <c r="G200" i="19"/>
  <c r="G196" i="19"/>
  <c r="G192" i="19"/>
  <c r="G188" i="19"/>
  <c r="G184" i="19"/>
  <c r="G172" i="19"/>
  <c r="G164" i="19"/>
  <c r="T164" i="19" s="1"/>
  <c r="H163" i="49" s="1"/>
  <c r="G160" i="19"/>
  <c r="G147" i="19"/>
  <c r="G143" i="19"/>
  <c r="G138" i="19"/>
  <c r="G134" i="19"/>
  <c r="G133" i="19"/>
  <c r="G127" i="19"/>
  <c r="T127" i="19" s="1"/>
  <c r="H126" i="49" s="1"/>
  <c r="I126" i="49" s="1"/>
  <c r="G123" i="19"/>
  <c r="G119" i="19"/>
  <c r="G115" i="19"/>
  <c r="T115" i="19" s="1"/>
  <c r="H114" i="49" s="1"/>
  <c r="I114" i="49" s="1"/>
  <c r="G111" i="19"/>
  <c r="G103" i="19"/>
  <c r="G101" i="19"/>
  <c r="G91" i="19"/>
  <c r="T91" i="19" s="1"/>
  <c r="H90" i="49" s="1"/>
  <c r="I90" i="49" s="1"/>
  <c r="G88" i="19"/>
  <c r="T88" i="19" s="1"/>
  <c r="H87" i="49" s="1"/>
  <c r="I87" i="49" s="1"/>
  <c r="G81" i="19"/>
  <c r="T81" i="19" s="1"/>
  <c r="H80" i="49" s="1"/>
  <c r="G77" i="19"/>
  <c r="G73" i="19"/>
  <c r="T73" i="19" s="1"/>
  <c r="H72" i="49" s="1"/>
  <c r="I72" i="49" s="1"/>
  <c r="G69" i="19"/>
  <c r="T69" i="19" s="1"/>
  <c r="H68" i="49" s="1"/>
  <c r="G64" i="19"/>
  <c r="T64" i="19" s="1"/>
  <c r="H63" i="49" s="1"/>
  <c r="I63" i="49" s="1"/>
  <c r="G59" i="19"/>
  <c r="G58" i="19"/>
  <c r="G54" i="19"/>
  <c r="G37" i="19"/>
  <c r="T37" i="19" s="1"/>
  <c r="H36" i="49" s="1"/>
  <c r="G29" i="19"/>
  <c r="T29" i="19" s="1"/>
  <c r="H28" i="49" s="1"/>
  <c r="I28" i="49" s="1"/>
  <c r="G23" i="19"/>
  <c r="G18" i="19"/>
  <c r="G14" i="19"/>
  <c r="T14" i="19" s="1"/>
  <c r="H13" i="49" s="1"/>
  <c r="I13" i="49" s="1"/>
  <c r="G12" i="19"/>
  <c r="T12" i="19" s="1"/>
  <c r="H11" i="49" s="1"/>
  <c r="I11" i="49" s="1"/>
  <c r="G10" i="19"/>
  <c r="G68" i="19"/>
  <c r="T68" i="19" s="1"/>
  <c r="H67" i="49" s="1"/>
  <c r="I67" i="49" s="1"/>
  <c r="G318" i="19"/>
  <c r="G314" i="19"/>
  <c r="G310" i="19"/>
  <c r="G308" i="19"/>
  <c r="G303" i="19"/>
  <c r="G299" i="19"/>
  <c r="G295" i="19"/>
  <c r="G291" i="19"/>
  <c r="G283" i="19"/>
  <c r="G279" i="19"/>
  <c r="G275" i="19"/>
  <c r="T275" i="19" s="1"/>
  <c r="H274" i="49" s="1"/>
  <c r="G271" i="19"/>
  <c r="G266" i="19"/>
  <c r="G262" i="19"/>
  <c r="G258" i="19"/>
  <c r="G254" i="19"/>
  <c r="G250" i="19"/>
  <c r="T250" i="19" s="1"/>
  <c r="H249" i="49" s="1"/>
  <c r="I249" i="49" s="1"/>
  <c r="G246" i="19"/>
  <c r="G241" i="19"/>
  <c r="G236" i="19"/>
  <c r="G232" i="19"/>
  <c r="G223" i="19"/>
  <c r="G219" i="19"/>
  <c r="G215" i="19"/>
  <c r="G211" i="19"/>
  <c r="G207" i="19"/>
  <c r="G203" i="19"/>
  <c r="G199" i="19"/>
  <c r="G191" i="19"/>
  <c r="G182" i="19"/>
  <c r="T182" i="19" s="1"/>
  <c r="H181" i="49" s="1"/>
  <c r="G181" i="19"/>
  <c r="T181" i="19" s="1"/>
  <c r="H180" i="49" s="1"/>
  <c r="I180" i="49" s="1"/>
  <c r="G179" i="19"/>
  <c r="G176" i="19"/>
  <c r="G168" i="19"/>
  <c r="G163" i="19"/>
  <c r="G159" i="19"/>
  <c r="G155" i="19"/>
  <c r="G150" i="19"/>
  <c r="G146" i="19"/>
  <c r="G141" i="19"/>
  <c r="G137" i="19"/>
  <c r="G126" i="19"/>
  <c r="T126" i="19" s="1"/>
  <c r="H125" i="49" s="1"/>
  <c r="G122" i="19"/>
  <c r="G114" i="19"/>
  <c r="G110" i="19"/>
  <c r="G96" i="19"/>
  <c r="T96" i="19" s="1"/>
  <c r="H95" i="49" s="1"/>
  <c r="I95" i="49" s="1"/>
  <c r="G95" i="19"/>
  <c r="G90" i="19"/>
  <c r="G87" i="19"/>
  <c r="G86" i="19"/>
  <c r="T86" i="19" s="1"/>
  <c r="H85" i="49" s="1"/>
  <c r="G85" i="19"/>
  <c r="T85" i="19" s="1"/>
  <c r="H84" i="49" s="1"/>
  <c r="G84" i="19"/>
  <c r="T84" i="19" s="1"/>
  <c r="H83" i="49" s="1"/>
  <c r="I83" i="49" s="1"/>
  <c r="G80" i="19"/>
  <c r="T80" i="19" s="1"/>
  <c r="H79" i="49" s="1"/>
  <c r="I79" i="49" s="1"/>
  <c r="G76" i="19"/>
  <c r="T76" i="19" s="1"/>
  <c r="H75" i="49" s="1"/>
  <c r="I75" i="49" s="1"/>
  <c r="G72" i="19"/>
  <c r="T72" i="19" s="1"/>
  <c r="H71" i="49" s="1"/>
  <c r="I71" i="49" s="1"/>
  <c r="G67" i="19"/>
  <c r="G63" i="19"/>
  <c r="G62" i="19"/>
  <c r="G57" i="19"/>
  <c r="T57" i="19" s="1"/>
  <c r="H56" i="49" s="1"/>
  <c r="I56" i="49" s="1"/>
  <c r="G53" i="19"/>
  <c r="T53" i="19" s="1"/>
  <c r="H52" i="49" s="1"/>
  <c r="G52" i="19"/>
  <c r="T52" i="19" s="1"/>
  <c r="H51" i="49" s="1"/>
  <c r="G39" i="19"/>
  <c r="G38" i="19"/>
  <c r="G32" i="19"/>
  <c r="T32" i="19" s="1"/>
  <c r="H31" i="49" s="1"/>
  <c r="I31" i="49" s="1"/>
  <c r="G31" i="19"/>
  <c r="G15" i="19"/>
  <c r="T15" i="19" s="1"/>
  <c r="H14" i="49" s="1"/>
  <c r="I14" i="49" s="1"/>
  <c r="G313" i="19"/>
  <c r="T313" i="19" s="1"/>
  <c r="H312" i="49" s="1"/>
  <c r="I312" i="49" s="1"/>
  <c r="G309" i="19"/>
  <c r="T309" i="19" s="1"/>
  <c r="H308" i="49" s="1"/>
  <c r="I308" i="49" s="1"/>
  <c r="G307" i="19"/>
  <c r="G302" i="19"/>
  <c r="G298" i="19"/>
  <c r="T298" i="19" s="1"/>
  <c r="H297" i="49" s="1"/>
  <c r="I297" i="49" s="1"/>
  <c r="G294" i="19"/>
  <c r="G290" i="19"/>
  <c r="G286" i="19"/>
  <c r="G282" i="19"/>
  <c r="T282" i="19" s="1"/>
  <c r="H281" i="49" s="1"/>
  <c r="G278" i="19"/>
  <c r="G274" i="19"/>
  <c r="T274" i="19" s="1"/>
  <c r="H273" i="49" s="1"/>
  <c r="G270" i="19"/>
  <c r="G269" i="19"/>
  <c r="G265" i="19"/>
  <c r="G261" i="19"/>
  <c r="G257" i="19"/>
  <c r="T257" i="19" s="1"/>
  <c r="H256" i="49" s="1"/>
  <c r="I256" i="49" s="1"/>
  <c r="G249" i="19"/>
  <c r="T249" i="19" s="1"/>
  <c r="H248" i="49" s="1"/>
  <c r="I248" i="49" s="1"/>
  <c r="G231" i="19"/>
  <c r="G227" i="19"/>
  <c r="G226" i="19"/>
  <c r="T226" i="19" s="1"/>
  <c r="H225" i="49" s="1"/>
  <c r="I225" i="49" s="1"/>
  <c r="G222" i="19"/>
  <c r="G218" i="19"/>
  <c r="G214" i="19"/>
  <c r="G210" i="19"/>
  <c r="G206" i="19"/>
  <c r="G202" i="19"/>
  <c r="T202" i="19" s="1"/>
  <c r="H201" i="49" s="1"/>
  <c r="I201" i="49" s="1"/>
  <c r="G198" i="19"/>
  <c r="G194" i="19"/>
  <c r="G190" i="19"/>
  <c r="G186" i="19"/>
  <c r="G175" i="19"/>
  <c r="G162" i="19"/>
  <c r="G158" i="19"/>
  <c r="T158" i="19" s="1"/>
  <c r="H157" i="49" s="1"/>
  <c r="G153" i="19"/>
  <c r="G149" i="19"/>
  <c r="G145" i="19"/>
  <c r="G140" i="19"/>
  <c r="T140" i="19" s="1"/>
  <c r="H139" i="49" s="1"/>
  <c r="I139" i="49" s="1"/>
  <c r="G136" i="19"/>
  <c r="T136" i="19" s="1"/>
  <c r="H135" i="49" s="1"/>
  <c r="I135" i="49" s="1"/>
  <c r="G129" i="19"/>
  <c r="G121" i="19"/>
  <c r="G117" i="19"/>
  <c r="G106" i="19"/>
  <c r="G99" i="19"/>
  <c r="G71" i="19"/>
  <c r="G66" i="19"/>
  <c r="G61" i="19"/>
  <c r="T61" i="19" s="1"/>
  <c r="H60" i="49" s="1"/>
  <c r="I60" i="49" s="1"/>
  <c r="G49" i="19"/>
  <c r="T49" i="19" s="1"/>
  <c r="H48" i="49" s="1"/>
  <c r="G33" i="19"/>
  <c r="T33" i="19" s="1"/>
  <c r="H32" i="49" s="1"/>
  <c r="G16" i="19"/>
  <c r="T16" i="19" s="1"/>
  <c r="H15" i="49" s="1"/>
  <c r="I15" i="49" s="1"/>
  <c r="G324" i="19"/>
  <c r="G293" i="19"/>
  <c r="G289" i="19"/>
  <c r="T289" i="19" s="1"/>
  <c r="H288" i="49" s="1"/>
  <c r="G285" i="19"/>
  <c r="T285" i="19" s="1"/>
  <c r="H284" i="49" s="1"/>
  <c r="I284" i="49" s="1"/>
  <c r="G273" i="19"/>
  <c r="G268" i="19"/>
  <c r="T268" i="19" s="1"/>
  <c r="H267" i="49" s="1"/>
  <c r="I267" i="49" s="1"/>
  <c r="G252" i="19"/>
  <c r="G243" i="19"/>
  <c r="T243" i="19" s="1"/>
  <c r="H242" i="49" s="1"/>
  <c r="I242" i="49" s="1"/>
  <c r="G239" i="19"/>
  <c r="G234" i="19"/>
  <c r="G230" i="19"/>
  <c r="T230" i="19" s="1"/>
  <c r="H229" i="49" s="1"/>
  <c r="G225" i="19"/>
  <c r="G221" i="19"/>
  <c r="G189" i="19"/>
  <c r="T189" i="19" s="1"/>
  <c r="H188" i="49" s="1"/>
  <c r="I188" i="49" s="1"/>
  <c r="G171" i="19"/>
  <c r="G157" i="19"/>
  <c r="G135" i="19"/>
  <c r="G128" i="19"/>
  <c r="T128" i="19" s="1"/>
  <c r="H127" i="49" s="1"/>
  <c r="I127" i="49" s="1"/>
  <c r="G124" i="19"/>
  <c r="T124" i="19" s="1"/>
  <c r="H123" i="49" s="1"/>
  <c r="I123" i="49" s="1"/>
  <c r="G120" i="19"/>
  <c r="T120" i="19" s="1"/>
  <c r="H119" i="49" s="1"/>
  <c r="I119" i="49" s="1"/>
  <c r="G116" i="19"/>
  <c r="T116" i="19" s="1"/>
  <c r="H115" i="49" s="1"/>
  <c r="I115" i="49" s="1"/>
  <c r="G112" i="19"/>
  <c r="T112" i="19" s="1"/>
  <c r="G104" i="19"/>
  <c r="T104" i="19" s="1"/>
  <c r="H103" i="49" s="1"/>
  <c r="I103" i="49" s="1"/>
  <c r="G98" i="19"/>
  <c r="G93" i="19"/>
  <c r="G92" i="19"/>
  <c r="T92" i="19" s="1"/>
  <c r="H91" i="49" s="1"/>
  <c r="I91" i="49" s="1"/>
  <c r="G82" i="19"/>
  <c r="G78" i="19"/>
  <c r="T78" i="19" s="1"/>
  <c r="H77" i="49" s="1"/>
  <c r="G74" i="19"/>
  <c r="G55" i="19"/>
  <c r="G47" i="19"/>
  <c r="G36" i="19"/>
  <c r="T36" i="19" s="1"/>
  <c r="H35" i="49" s="1"/>
  <c r="I35" i="49" s="1"/>
  <c r="G17" i="19"/>
  <c r="T17" i="19" s="1"/>
  <c r="H16" i="49" s="1"/>
  <c r="G13" i="19"/>
  <c r="B324" i="25"/>
  <c r="L6" i="13"/>
  <c r="M6" i="13" s="1"/>
  <c r="I93" i="36"/>
  <c r="I62" i="36"/>
  <c r="I320" i="36"/>
  <c r="I219" i="36"/>
  <c r="I277" i="36"/>
  <c r="H53" i="36"/>
  <c r="D8" i="36"/>
  <c r="H300" i="36"/>
  <c r="H29" i="36"/>
  <c r="I61" i="36"/>
  <c r="I120" i="36"/>
  <c r="I29" i="36"/>
  <c r="I203" i="36"/>
  <c r="I109" i="36"/>
  <c r="I267" i="36"/>
  <c r="I273" i="36"/>
  <c r="I195" i="36"/>
  <c r="I122" i="36"/>
  <c r="I156" i="36"/>
  <c r="I38" i="36"/>
  <c r="I302" i="36"/>
  <c r="I52" i="36"/>
  <c r="I15" i="36"/>
  <c r="I75" i="36"/>
  <c r="J170" i="36"/>
  <c r="J174" i="36"/>
  <c r="J178" i="36"/>
  <c r="J182" i="36"/>
  <c r="J186" i="36"/>
  <c r="J190" i="36"/>
  <c r="J194" i="36"/>
  <c r="J198" i="36"/>
  <c r="J202" i="36"/>
  <c r="J206" i="36"/>
  <c r="J210" i="36"/>
  <c r="J214" i="36"/>
  <c r="J218" i="36"/>
  <c r="J222" i="36"/>
  <c r="J226" i="36"/>
  <c r="J230" i="36"/>
  <c r="J234" i="36"/>
  <c r="J238" i="36"/>
  <c r="J242" i="36"/>
  <c r="J246" i="36"/>
  <c r="J250" i="36"/>
  <c r="J254" i="36"/>
  <c r="J258" i="36"/>
  <c r="J262" i="36"/>
  <c r="J266" i="36"/>
  <c r="J270" i="36"/>
  <c r="J171" i="36"/>
  <c r="J175" i="36"/>
  <c r="J179" i="36"/>
  <c r="J183" i="36"/>
  <c r="J187" i="36"/>
  <c r="J191" i="36"/>
  <c r="J195" i="36"/>
  <c r="J199" i="36"/>
  <c r="J203" i="36"/>
  <c r="J207" i="36"/>
  <c r="J211" i="36"/>
  <c r="J215" i="36"/>
  <c r="J219" i="36"/>
  <c r="J223" i="36"/>
  <c r="J227" i="36"/>
  <c r="J231" i="36"/>
  <c r="J235" i="36"/>
  <c r="J239" i="36"/>
  <c r="J243" i="36"/>
  <c r="J247" i="36"/>
  <c r="J251" i="36"/>
  <c r="J255" i="36"/>
  <c r="J259" i="36"/>
  <c r="J263" i="36"/>
  <c r="J267" i="36"/>
  <c r="J271" i="36"/>
  <c r="J172" i="36"/>
  <c r="J176" i="36"/>
  <c r="J180" i="36"/>
  <c r="J184" i="36"/>
  <c r="J188" i="36"/>
  <c r="J192" i="36"/>
  <c r="J196" i="36"/>
  <c r="J200" i="36"/>
  <c r="J204" i="36"/>
  <c r="J208" i="36"/>
  <c r="J212" i="36"/>
  <c r="J216" i="36"/>
  <c r="J220" i="36"/>
  <c r="J224" i="36"/>
  <c r="J228" i="36"/>
  <c r="J232" i="36"/>
  <c r="J236" i="36"/>
  <c r="J240" i="36"/>
  <c r="J244" i="36"/>
  <c r="J248" i="36"/>
  <c r="J252" i="36"/>
  <c r="J256" i="36"/>
  <c r="J260" i="36"/>
  <c r="J264" i="36"/>
  <c r="J268" i="36"/>
  <c r="J169" i="36"/>
  <c r="J173" i="36"/>
  <c r="J177" i="36"/>
  <c r="J181" i="36"/>
  <c r="J185" i="36"/>
  <c r="J189" i="36"/>
  <c r="J193" i="36"/>
  <c r="J197" i="36"/>
  <c r="J201" i="36"/>
  <c r="J205" i="36"/>
  <c r="J209" i="36"/>
  <c r="J213" i="36"/>
  <c r="J217" i="36"/>
  <c r="J221" i="36"/>
  <c r="J225" i="36"/>
  <c r="J229" i="36"/>
  <c r="J233" i="36"/>
  <c r="J237" i="36"/>
  <c r="J241" i="36"/>
  <c r="J245" i="36"/>
  <c r="J249" i="36"/>
  <c r="J253" i="36"/>
  <c r="J257" i="36"/>
  <c r="J261" i="36"/>
  <c r="J265" i="36"/>
  <c r="J274" i="36"/>
  <c r="J278" i="36"/>
  <c r="J282" i="36"/>
  <c r="J286" i="36"/>
  <c r="J290" i="36"/>
  <c r="J294" i="36"/>
  <c r="J298" i="36"/>
  <c r="J302" i="36"/>
  <c r="J306" i="36"/>
  <c r="J310" i="36"/>
  <c r="J314" i="36"/>
  <c r="J318" i="36"/>
  <c r="J322" i="36"/>
  <c r="J125" i="36"/>
  <c r="J129" i="36"/>
  <c r="J133" i="36"/>
  <c r="J137" i="36"/>
  <c r="J141" i="36"/>
  <c r="J145" i="36"/>
  <c r="J149" i="36"/>
  <c r="J153" i="36"/>
  <c r="J157" i="36"/>
  <c r="J161" i="36"/>
  <c r="J165" i="36"/>
  <c r="J124" i="36"/>
  <c r="J123" i="36"/>
  <c r="J12" i="36"/>
  <c r="J16" i="36"/>
  <c r="J20" i="36"/>
  <c r="J24" i="36"/>
  <c r="J28" i="36"/>
  <c r="J32" i="36"/>
  <c r="J36" i="36"/>
  <c r="J40" i="36"/>
  <c r="J44" i="36"/>
  <c r="J48" i="36"/>
  <c r="J52" i="36"/>
  <c r="J56" i="36"/>
  <c r="J60" i="36"/>
  <c r="J64" i="36"/>
  <c r="J68" i="36"/>
  <c r="J72" i="36"/>
  <c r="J76" i="36"/>
  <c r="J80" i="36"/>
  <c r="J84" i="36"/>
  <c r="J88" i="36"/>
  <c r="J92" i="36"/>
  <c r="J96" i="36"/>
  <c r="J100" i="36"/>
  <c r="J104" i="36"/>
  <c r="J108" i="36"/>
  <c r="J112" i="36"/>
  <c r="J116" i="36"/>
  <c r="J8" i="36"/>
  <c r="J269" i="36"/>
  <c r="J275" i="36"/>
  <c r="J279" i="36"/>
  <c r="J283" i="36"/>
  <c r="J287" i="36"/>
  <c r="J291" i="36"/>
  <c r="J295" i="36"/>
  <c r="J299" i="36"/>
  <c r="J303" i="36"/>
  <c r="J307" i="36"/>
  <c r="J311" i="36"/>
  <c r="J315" i="36"/>
  <c r="J319" i="36"/>
  <c r="J323" i="36"/>
  <c r="J126" i="36"/>
  <c r="J130" i="36"/>
  <c r="J134" i="36"/>
  <c r="J138" i="36"/>
  <c r="J142" i="36"/>
  <c r="J146" i="36"/>
  <c r="J150" i="36"/>
  <c r="J154" i="36"/>
  <c r="J158" i="36"/>
  <c r="J162" i="36"/>
  <c r="J166" i="36"/>
  <c r="J120" i="36"/>
  <c r="J9" i="36"/>
  <c r="J13" i="36"/>
  <c r="J17" i="36"/>
  <c r="J21" i="36"/>
  <c r="J25" i="36"/>
  <c r="J29" i="36"/>
  <c r="J33" i="36"/>
  <c r="J37" i="36"/>
  <c r="J41" i="36"/>
  <c r="J45" i="36"/>
  <c r="J49" i="36"/>
  <c r="J53" i="36"/>
  <c r="J57" i="36"/>
  <c r="J61" i="36"/>
  <c r="J65" i="36"/>
  <c r="J69" i="36"/>
  <c r="J73" i="36"/>
  <c r="J77" i="36"/>
  <c r="J81" i="36"/>
  <c r="J85" i="36"/>
  <c r="J89" i="36"/>
  <c r="J93" i="36"/>
  <c r="J97" i="36"/>
  <c r="J101" i="36"/>
  <c r="J105" i="36"/>
  <c r="J109" i="36"/>
  <c r="J113" i="36"/>
  <c r="J117" i="36"/>
  <c r="J272" i="36"/>
  <c r="J276" i="36"/>
  <c r="J280" i="36"/>
  <c r="J284" i="36"/>
  <c r="J288" i="36"/>
  <c r="J292" i="36"/>
  <c r="J296" i="36"/>
  <c r="J300" i="36"/>
  <c r="J304" i="36"/>
  <c r="J308" i="36"/>
  <c r="J312" i="36"/>
  <c r="J316" i="36"/>
  <c r="J320" i="36"/>
  <c r="J324" i="36"/>
  <c r="J127" i="36"/>
  <c r="J131" i="36"/>
  <c r="J135" i="36"/>
  <c r="J139" i="36"/>
  <c r="J143" i="36"/>
  <c r="J147" i="36"/>
  <c r="J151" i="36"/>
  <c r="J155" i="36"/>
  <c r="J159" i="36"/>
  <c r="J163" i="36"/>
  <c r="J167" i="36"/>
  <c r="J121" i="36"/>
  <c r="J10" i="36"/>
  <c r="J14" i="36"/>
  <c r="J18" i="36"/>
  <c r="J22" i="36"/>
  <c r="J26" i="36"/>
  <c r="J30" i="36"/>
  <c r="J34" i="36"/>
  <c r="J38" i="36"/>
  <c r="J42" i="36"/>
  <c r="J46" i="36"/>
  <c r="J50" i="36"/>
  <c r="J54" i="36"/>
  <c r="J58" i="36"/>
  <c r="J62" i="36"/>
  <c r="J66" i="36"/>
  <c r="J70" i="36"/>
  <c r="J74" i="36"/>
  <c r="J78" i="36"/>
  <c r="J82" i="36"/>
  <c r="J86" i="36"/>
  <c r="J90" i="36"/>
  <c r="J94" i="36"/>
  <c r="J98" i="36"/>
  <c r="J102" i="36"/>
  <c r="J106" i="36"/>
  <c r="J110" i="36"/>
  <c r="J114" i="36"/>
  <c r="J118" i="36"/>
  <c r="J273" i="36"/>
  <c r="J277" i="36"/>
  <c r="J281" i="36"/>
  <c r="J285" i="36"/>
  <c r="J289" i="36"/>
  <c r="J293" i="36"/>
  <c r="J297" i="36"/>
  <c r="J301" i="36"/>
  <c r="J305" i="36"/>
  <c r="J309" i="36"/>
  <c r="J313" i="36"/>
  <c r="J317" i="36"/>
  <c r="J321" i="36"/>
  <c r="J325" i="36"/>
  <c r="J128" i="36"/>
  <c r="J132" i="36"/>
  <c r="J136" i="36"/>
  <c r="J140" i="36"/>
  <c r="J144" i="36"/>
  <c r="J148" i="36"/>
  <c r="J152" i="36"/>
  <c r="J156" i="36"/>
  <c r="J160" i="36"/>
  <c r="J164" i="36"/>
  <c r="J168" i="36"/>
  <c r="J122" i="36"/>
  <c r="J11" i="36"/>
  <c r="J15" i="36"/>
  <c r="J19" i="36"/>
  <c r="J23" i="36"/>
  <c r="J27" i="36"/>
  <c r="J31" i="36"/>
  <c r="J35" i="36"/>
  <c r="J39" i="36"/>
  <c r="J43" i="36"/>
  <c r="J47" i="36"/>
  <c r="J51" i="36"/>
  <c r="J55" i="36"/>
  <c r="J59" i="36"/>
  <c r="J63" i="36"/>
  <c r="J67" i="36"/>
  <c r="J71" i="36"/>
  <c r="J75" i="36"/>
  <c r="J79" i="36"/>
  <c r="J83" i="36"/>
  <c r="J87" i="36"/>
  <c r="J91" i="36"/>
  <c r="J95" i="36"/>
  <c r="J99" i="36"/>
  <c r="J103" i="36"/>
  <c r="J107" i="36"/>
  <c r="J111" i="36"/>
  <c r="J115" i="36"/>
  <c r="J119" i="36"/>
  <c r="M96" i="13"/>
  <c r="M111" i="13"/>
  <c r="M325" i="42"/>
  <c r="X9" i="42"/>
  <c r="X325" i="42" s="1"/>
  <c r="G314" i="36"/>
  <c r="H314" i="36"/>
  <c r="G286" i="36"/>
  <c r="M31" i="13"/>
  <c r="E163" i="32"/>
  <c r="G255" i="36"/>
  <c r="H20" i="36"/>
  <c r="E306" i="36"/>
  <c r="F247" i="36"/>
  <c r="G315" i="36"/>
  <c r="G295" i="36"/>
  <c r="G174" i="36"/>
  <c r="G132" i="36"/>
  <c r="G104" i="36"/>
  <c r="G181" i="36"/>
  <c r="G182" i="36"/>
  <c r="G214" i="36"/>
  <c r="G98" i="36"/>
  <c r="G224" i="36"/>
  <c r="G110" i="36"/>
  <c r="G319" i="36"/>
  <c r="G75" i="36"/>
  <c r="G322" i="36"/>
  <c r="G37" i="36"/>
  <c r="G180" i="36"/>
  <c r="G227" i="36"/>
  <c r="G231" i="36"/>
  <c r="G51" i="36"/>
  <c r="G197" i="36"/>
  <c r="G109" i="36"/>
  <c r="G47" i="36"/>
  <c r="G270" i="36"/>
  <c r="G297" i="36"/>
  <c r="G18" i="36"/>
  <c r="G155" i="36"/>
  <c r="G204" i="36"/>
  <c r="G175" i="36"/>
  <c r="G268" i="36"/>
  <c r="G225" i="36"/>
  <c r="G93" i="36"/>
  <c r="G61" i="36"/>
  <c r="G130" i="36"/>
  <c r="G41" i="36"/>
  <c r="G70" i="36"/>
  <c r="G114" i="36"/>
  <c r="G30" i="36"/>
  <c r="G192" i="36"/>
  <c r="G280" i="36"/>
  <c r="G203" i="36"/>
  <c r="G186" i="36"/>
  <c r="G202" i="36"/>
  <c r="G230" i="36"/>
  <c r="G289" i="36"/>
  <c r="G149" i="36"/>
  <c r="G303" i="36"/>
  <c r="G257" i="36"/>
  <c r="G162" i="36"/>
  <c r="G269" i="36"/>
  <c r="G113" i="36"/>
  <c r="G287" i="36"/>
  <c r="F207" i="36"/>
  <c r="G158" i="36"/>
  <c r="G236" i="36"/>
  <c r="G167" i="36"/>
  <c r="G179" i="36"/>
  <c r="G163" i="36"/>
  <c r="G325" i="36"/>
  <c r="G94" i="36"/>
  <c r="G299" i="36"/>
  <c r="G161" i="36"/>
  <c r="G277" i="36"/>
  <c r="G62" i="36"/>
  <c r="G107" i="36"/>
  <c r="G15" i="36"/>
  <c r="G176" i="36"/>
  <c r="G266" i="36"/>
  <c r="G212" i="36"/>
  <c r="G252" i="36"/>
  <c r="G242" i="36"/>
  <c r="G27" i="36"/>
  <c r="G264" i="36"/>
  <c r="F283" i="36"/>
  <c r="F49" i="36"/>
  <c r="F98" i="36"/>
  <c r="F134" i="36"/>
  <c r="F23" i="36"/>
  <c r="F189" i="36"/>
  <c r="F206" i="36"/>
  <c r="F251" i="36"/>
  <c r="F213" i="36"/>
  <c r="F127" i="36"/>
  <c r="F295" i="36"/>
  <c r="F201" i="36"/>
  <c r="F269" i="36"/>
  <c r="F133" i="36"/>
  <c r="D193" i="36"/>
  <c r="G311" i="36"/>
  <c r="I311" i="36"/>
  <c r="H10" i="36"/>
  <c r="I10" i="36"/>
  <c r="G10" i="36"/>
  <c r="I318" i="36"/>
  <c r="G318" i="36"/>
  <c r="H11" i="36"/>
  <c r="I11" i="36"/>
  <c r="H251" i="36"/>
  <c r="I251" i="36"/>
  <c r="H229" i="36"/>
  <c r="I229" i="36"/>
  <c r="G249" i="36"/>
  <c r="H249" i="36"/>
  <c r="G305" i="36"/>
  <c r="I305" i="36"/>
  <c r="I257" i="36"/>
  <c r="I233" i="36"/>
  <c r="I107" i="36"/>
  <c r="I67" i="36"/>
  <c r="I105" i="36"/>
  <c r="I126" i="36"/>
  <c r="I255" i="36"/>
  <c r="I175" i="36"/>
  <c r="I18" i="36"/>
  <c r="I19" i="36"/>
  <c r="I218" i="36"/>
  <c r="I58" i="36"/>
  <c r="I163" i="36"/>
  <c r="I200" i="36"/>
  <c r="I78" i="36"/>
  <c r="I187" i="36"/>
  <c r="I225" i="36"/>
  <c r="I100" i="36"/>
  <c r="I112" i="36"/>
  <c r="I135" i="36"/>
  <c r="I147" i="36"/>
  <c r="I103" i="36"/>
  <c r="I322" i="36"/>
  <c r="I23" i="36"/>
  <c r="I265" i="36"/>
  <c r="I275" i="36"/>
  <c r="I191" i="36"/>
  <c r="I207" i="36"/>
  <c r="I98" i="36"/>
  <c r="I51" i="36"/>
  <c r="I87" i="36"/>
  <c r="I183" i="36"/>
  <c r="I248" i="36"/>
  <c r="I220" i="36"/>
  <c r="I192" i="36"/>
  <c r="I308" i="36"/>
  <c r="I162" i="36"/>
  <c r="I315" i="36"/>
  <c r="I319" i="36"/>
  <c r="I129" i="36"/>
  <c r="I59" i="36"/>
  <c r="I314" i="36"/>
  <c r="I179" i="36"/>
  <c r="I180" i="36"/>
  <c r="I82" i="36"/>
  <c r="I21" i="36"/>
  <c r="I134" i="36"/>
  <c r="I159" i="36"/>
  <c r="I306" i="36"/>
  <c r="I212" i="36"/>
  <c r="I125" i="36"/>
  <c r="I228" i="36"/>
  <c r="I307" i="36"/>
  <c r="I72" i="36"/>
  <c r="I184" i="36"/>
  <c r="I149" i="36"/>
  <c r="I174" i="36"/>
  <c r="G229" i="36"/>
  <c r="H127" i="36"/>
  <c r="I310" i="36"/>
  <c r="E238" i="36"/>
  <c r="I69" i="36"/>
  <c r="I34" i="36"/>
  <c r="H84" i="36"/>
  <c r="I224" i="36"/>
  <c r="H25" i="36"/>
  <c r="H39" i="36"/>
  <c r="H134" i="36"/>
  <c r="H164" i="36"/>
  <c r="H58" i="36"/>
  <c r="I136" i="36"/>
  <c r="H178" i="36"/>
  <c r="F288" i="36"/>
  <c r="F176" i="36"/>
  <c r="F143" i="36"/>
  <c r="F212" i="36"/>
  <c r="F36" i="36"/>
  <c r="F87" i="36"/>
  <c r="F257" i="36"/>
  <c r="F157" i="36"/>
  <c r="E320" i="36"/>
  <c r="H44" i="36"/>
  <c r="F211" i="36"/>
  <c r="E165" i="36"/>
  <c r="I26" i="36"/>
  <c r="I140" i="36"/>
  <c r="H83" i="36"/>
  <c r="F255" i="36"/>
  <c r="E199" i="36"/>
  <c r="H71" i="36"/>
  <c r="I14" i="36"/>
  <c r="I282" i="36"/>
  <c r="H223" i="36"/>
  <c r="I104" i="36"/>
  <c r="G273" i="36"/>
  <c r="F307" i="36"/>
  <c r="H228" i="36"/>
  <c r="H113" i="36"/>
  <c r="H167" i="36"/>
  <c r="H305" i="36"/>
  <c r="I287" i="36"/>
  <c r="I84" i="36"/>
  <c r="H143" i="36"/>
  <c r="H224" i="36"/>
  <c r="H32" i="36"/>
  <c r="H191" i="36"/>
  <c r="I259" i="36"/>
  <c r="I39" i="36"/>
  <c r="H159" i="36"/>
  <c r="H196" i="36"/>
  <c r="H301" i="36"/>
  <c r="F321" i="36"/>
  <c r="H176" i="36"/>
  <c r="H106" i="36"/>
  <c r="I148" i="36"/>
  <c r="H37" i="36"/>
  <c r="I272" i="36"/>
  <c r="I231" i="36"/>
  <c r="I288" i="36"/>
  <c r="I60" i="36"/>
  <c r="H230" i="36"/>
  <c r="H311" i="36"/>
  <c r="I16" i="36"/>
  <c r="I249" i="36"/>
  <c r="G52" i="36"/>
  <c r="E52" i="36"/>
  <c r="H52" i="36"/>
  <c r="G115" i="36"/>
  <c r="I115" i="36"/>
  <c r="H115" i="36"/>
  <c r="I264" i="36"/>
  <c r="H102" i="36"/>
  <c r="I102" i="36"/>
  <c r="G102" i="36"/>
  <c r="H274" i="36"/>
  <c r="H302" i="36"/>
  <c r="I321" i="36"/>
  <c r="I110" i="36"/>
  <c r="H144" i="36"/>
  <c r="I144" i="36"/>
  <c r="I173" i="36"/>
  <c r="G166" i="36"/>
  <c r="I166" i="36"/>
  <c r="G201" i="36"/>
  <c r="H201" i="36"/>
  <c r="I201" i="36"/>
  <c r="H137" i="36"/>
  <c r="I137" i="36"/>
  <c r="I169" i="36"/>
  <c r="H35" i="36"/>
  <c r="I150" i="36"/>
  <c r="D188" i="36"/>
  <c r="G188" i="36"/>
  <c r="G80" i="36"/>
  <c r="I80" i="36"/>
  <c r="I268" i="36"/>
  <c r="H268" i="36"/>
  <c r="G296" i="36"/>
  <c r="I296" i="36"/>
  <c r="G232" i="36"/>
  <c r="H232" i="36"/>
  <c r="G141" i="36"/>
  <c r="H141" i="36"/>
  <c r="I141" i="36"/>
  <c r="G222" i="36"/>
  <c r="I222" i="36"/>
  <c r="F222" i="36"/>
  <c r="I127" i="36"/>
  <c r="G127" i="36"/>
  <c r="I295" i="36"/>
  <c r="H295" i="36"/>
  <c r="H145" i="36"/>
  <c r="G145" i="36"/>
  <c r="G97" i="36"/>
  <c r="I97" i="36"/>
  <c r="F97" i="36"/>
  <c r="G57" i="36"/>
  <c r="H57" i="36"/>
  <c r="H33" i="36"/>
  <c r="I33" i="36"/>
  <c r="G33" i="36"/>
  <c r="H192" i="36"/>
  <c r="H107" i="36"/>
  <c r="H200" i="36"/>
  <c r="H162" i="36"/>
  <c r="H255" i="36"/>
  <c r="H47" i="36"/>
  <c r="H156" i="36"/>
  <c r="H104" i="36"/>
  <c r="H297" i="36"/>
  <c r="H220" i="36"/>
  <c r="H266" i="36"/>
  <c r="H248" i="36"/>
  <c r="H98" i="36"/>
  <c r="H61" i="36"/>
  <c r="H14" i="36"/>
  <c r="H100" i="36"/>
  <c r="H183" i="36"/>
  <c r="H126" i="36"/>
  <c r="H306" i="36"/>
  <c r="H225" i="36"/>
  <c r="H270" i="36"/>
  <c r="H56" i="36"/>
  <c r="H175" i="36"/>
  <c r="H189" i="36"/>
  <c r="H55" i="36"/>
  <c r="H237" i="36"/>
  <c r="H21" i="36"/>
  <c r="H79" i="36"/>
  <c r="H118" i="36"/>
  <c r="H319" i="36"/>
  <c r="H276" i="36"/>
  <c r="H158" i="36"/>
  <c r="H287" i="36"/>
  <c r="H147" i="36"/>
  <c r="H9" i="36"/>
  <c r="H269" i="36"/>
  <c r="H238" i="36"/>
  <c r="H17" i="36"/>
  <c r="H18" i="36"/>
  <c r="H205" i="36"/>
  <c r="H182" i="36"/>
  <c r="H212" i="36"/>
  <c r="H313" i="36"/>
  <c r="H112" i="36"/>
  <c r="H23" i="36"/>
  <c r="H275" i="36"/>
  <c r="H22" i="36"/>
  <c r="H109" i="36"/>
  <c r="H203" i="36"/>
  <c r="H36" i="36"/>
  <c r="H303" i="36"/>
  <c r="E272" i="36"/>
  <c r="E51" i="36"/>
  <c r="E143" i="36"/>
  <c r="E100" i="36"/>
  <c r="E176" i="36"/>
  <c r="E319" i="36"/>
  <c r="E276" i="36"/>
  <c r="E47" i="36"/>
  <c r="I178" i="36"/>
  <c r="I83" i="36"/>
  <c r="H219" i="36"/>
  <c r="I269" i="36"/>
  <c r="E203" i="36"/>
  <c r="I181" i="36"/>
  <c r="D243" i="36"/>
  <c r="H62" i="36"/>
  <c r="I32" i="36"/>
  <c r="I158" i="36"/>
  <c r="I196" i="36"/>
  <c r="I90" i="36"/>
  <c r="H148" i="36"/>
  <c r="H236" i="36"/>
  <c r="H231" i="36"/>
  <c r="H135" i="36"/>
  <c r="H51" i="36"/>
  <c r="H94" i="36"/>
  <c r="I210" i="36"/>
  <c r="I50" i="36"/>
  <c r="H195" i="36"/>
  <c r="I216" i="36"/>
  <c r="H320" i="36"/>
  <c r="F168" i="36"/>
  <c r="G168" i="36"/>
  <c r="I168" i="36"/>
  <c r="H168" i="36"/>
  <c r="I89" i="36"/>
  <c r="H89" i="36"/>
  <c r="G89" i="36"/>
  <c r="G53" i="36"/>
  <c r="I53" i="36"/>
  <c r="G29" i="36"/>
  <c r="I128" i="36"/>
  <c r="H128" i="36"/>
  <c r="I88" i="36"/>
  <c r="H142" i="36"/>
  <c r="H120" i="36"/>
  <c r="I139" i="36"/>
  <c r="H169" i="36"/>
  <c r="H296" i="36"/>
  <c r="F11" i="36"/>
  <c r="G34" i="36"/>
  <c r="H283" i="36"/>
  <c r="I71" i="36"/>
  <c r="I57" i="36"/>
  <c r="H68" i="36"/>
  <c r="H280" i="36"/>
  <c r="H72" i="36"/>
  <c r="G251" i="36"/>
  <c r="I223" i="36"/>
  <c r="H307" i="36"/>
  <c r="I113" i="36"/>
  <c r="E305" i="36"/>
  <c r="H244" i="36"/>
  <c r="H286" i="36"/>
  <c r="I214" i="36"/>
  <c r="D247" i="36"/>
  <c r="F314" i="36"/>
  <c r="I143" i="36"/>
  <c r="F318" i="36"/>
  <c r="I25" i="36"/>
  <c r="H259" i="36"/>
  <c r="I276" i="36"/>
  <c r="I176" i="36"/>
  <c r="E254" i="36"/>
  <c r="H82" i="36"/>
  <c r="I304" i="36"/>
  <c r="H180" i="36"/>
  <c r="H179" i="36"/>
  <c r="I76" i="36"/>
  <c r="I99" i="36"/>
  <c r="I20" i="36"/>
  <c r="H325" i="36"/>
  <c r="G11" i="36"/>
  <c r="H19" i="36"/>
  <c r="I266" i="36"/>
  <c r="G195" i="36"/>
  <c r="E116" i="36"/>
  <c r="F116" i="36"/>
  <c r="H15" i="36"/>
  <c r="H76" i="36"/>
  <c r="F76" i="36"/>
  <c r="H272" i="36"/>
  <c r="G84" i="36"/>
  <c r="H105" i="36"/>
  <c r="I73" i="36"/>
  <c r="F298" i="36"/>
  <c r="H298" i="36"/>
  <c r="F25" i="36"/>
  <c r="G25" i="36"/>
  <c r="H75" i="36"/>
  <c r="I199" i="36"/>
  <c r="G199" i="36"/>
  <c r="H199" i="36"/>
  <c r="G312" i="36"/>
  <c r="I312" i="36"/>
  <c r="H312" i="36"/>
  <c r="H285" i="36"/>
  <c r="I285" i="36"/>
  <c r="I170" i="36"/>
  <c r="G170" i="36"/>
  <c r="H258" i="36"/>
  <c r="G258" i="36"/>
  <c r="H108" i="36"/>
  <c r="H26" i="36"/>
  <c r="H247" i="36"/>
  <c r="H43" i="36"/>
  <c r="D120" i="36"/>
  <c r="I215" i="36"/>
  <c r="H243" i="36"/>
  <c r="I291" i="36"/>
  <c r="E291" i="36"/>
  <c r="F301" i="36"/>
  <c r="H90" i="36"/>
  <c r="I142" i="36"/>
  <c r="I31" i="36"/>
  <c r="H31" i="36"/>
  <c r="H46" i="36"/>
  <c r="F174" i="36"/>
  <c r="E92" i="36"/>
  <c r="H95" i="36"/>
  <c r="I167" i="36"/>
  <c r="I240" i="36"/>
  <c r="H253" i="36"/>
  <c r="G187" i="36"/>
  <c r="H187" i="36"/>
  <c r="H60" i="36"/>
  <c r="I45" i="36"/>
  <c r="H81" i="36"/>
  <c r="H136" i="36"/>
  <c r="G136" i="36"/>
  <c r="I278" i="36"/>
  <c r="H278" i="36"/>
  <c r="G278" i="36"/>
  <c r="I325" i="36"/>
  <c r="H59" i="36"/>
  <c r="G59" i="36"/>
  <c r="G205" i="36"/>
  <c r="I205" i="36"/>
  <c r="I55" i="36"/>
  <c r="G55" i="36"/>
  <c r="G78" i="36"/>
  <c r="H78" i="36"/>
  <c r="H129" i="36"/>
  <c r="H63" i="36"/>
  <c r="I236" i="36"/>
  <c r="I299" i="36"/>
  <c r="H299" i="36"/>
  <c r="H322" i="36"/>
  <c r="H239" i="36"/>
  <c r="G239" i="36"/>
  <c r="H161" i="36"/>
  <c r="I161" i="36"/>
  <c r="F132" i="36"/>
  <c r="I206" i="36"/>
  <c r="I238" i="36"/>
  <c r="I160" i="36"/>
  <c r="H99" i="36"/>
  <c r="I227" i="36"/>
  <c r="I64" i="36"/>
  <c r="G64" i="36"/>
  <c r="H64" i="36"/>
  <c r="I94" i="36"/>
  <c r="I9" i="36"/>
  <c r="I121" i="36"/>
  <c r="I48" i="36"/>
  <c r="H138" i="36"/>
  <c r="G138" i="36"/>
  <c r="F316" i="36"/>
  <c r="I96" i="36"/>
  <c r="H103" i="36"/>
  <c r="I204" i="36"/>
  <c r="I37" i="36"/>
  <c r="I286" i="36"/>
  <c r="I313" i="36"/>
  <c r="I133" i="36"/>
  <c r="F125" i="36"/>
  <c r="I244" i="36"/>
  <c r="I303" i="36"/>
  <c r="H87" i="36"/>
  <c r="H277" i="36"/>
  <c r="I297" i="36"/>
  <c r="H309" i="36"/>
  <c r="I280" i="36"/>
  <c r="H257" i="36"/>
  <c r="I290" i="36"/>
  <c r="G81" i="36"/>
  <c r="H24" i="36"/>
  <c r="I164" i="36"/>
  <c r="H77" i="36"/>
  <c r="F146" i="36"/>
  <c r="I237" i="36"/>
  <c r="I56" i="36"/>
  <c r="I270" i="36"/>
  <c r="I8" i="36"/>
  <c r="H16" i="36"/>
  <c r="F152" i="36"/>
  <c r="I182" i="36"/>
  <c r="F218" i="36"/>
  <c r="H254" i="36"/>
  <c r="I54" i="36"/>
  <c r="F183" i="36"/>
  <c r="I22" i="36"/>
  <c r="I42" i="36"/>
  <c r="I111" i="36"/>
  <c r="H279" i="36"/>
  <c r="I323" i="36"/>
  <c r="F131" i="36"/>
  <c r="E12" i="36"/>
  <c r="H265" i="36"/>
  <c r="H245" i="36"/>
  <c r="H65" i="36"/>
  <c r="H293" i="36"/>
  <c r="D11" i="36"/>
  <c r="G91" i="36"/>
  <c r="I91" i="36"/>
  <c r="D226" i="36"/>
  <c r="I226" i="36"/>
  <c r="G226" i="36"/>
  <c r="G246" i="36"/>
  <c r="H246" i="36"/>
  <c r="I246" i="36"/>
  <c r="G308" i="36"/>
  <c r="H308" i="36"/>
  <c r="I101" i="36"/>
  <c r="G101" i="36"/>
  <c r="I40" i="36"/>
  <c r="G40" i="36"/>
  <c r="F165" i="36"/>
  <c r="D60" i="36"/>
  <c r="G68" i="36"/>
  <c r="I68" i="36"/>
  <c r="H282" i="36"/>
  <c r="D46" i="36"/>
  <c r="F242" i="36"/>
  <c r="H42" i="36"/>
  <c r="G65" i="36"/>
  <c r="H92" i="36"/>
  <c r="I77" i="36"/>
  <c r="H190" i="36"/>
  <c r="G237" i="36"/>
  <c r="H111" i="36"/>
  <c r="H304" i="36"/>
  <c r="G304" i="36"/>
  <c r="G121" i="36"/>
  <c r="H121" i="36"/>
  <c r="I261" i="36"/>
  <c r="H261" i="36"/>
  <c r="H323" i="36"/>
  <c r="G183" i="36"/>
  <c r="E190" i="36"/>
  <c r="D230" i="36"/>
  <c r="H174" i="36"/>
  <c r="E282" i="36"/>
  <c r="I46" i="36"/>
  <c r="G46" i="36"/>
  <c r="D36" i="36"/>
  <c r="H289" i="36"/>
  <c r="G72" i="36"/>
  <c r="E54" i="36"/>
  <c r="E170" i="36"/>
  <c r="I271" i="36"/>
  <c r="I298" i="36"/>
  <c r="E95" i="36"/>
  <c r="F96" i="36"/>
  <c r="I138" i="36"/>
  <c r="I243" i="36"/>
  <c r="I258" i="36"/>
  <c r="I188" i="36"/>
  <c r="G73" i="36"/>
  <c r="H240" i="36"/>
  <c r="G316" i="36"/>
  <c r="I108" i="36"/>
  <c r="G22" i="36"/>
  <c r="H110" i="36"/>
  <c r="I65" i="36"/>
  <c r="I254" i="36"/>
  <c r="H234" i="36"/>
  <c r="G92" i="36"/>
  <c r="H96" i="36"/>
  <c r="H160" i="36"/>
  <c r="G99" i="36"/>
  <c r="H130" i="36"/>
  <c r="I130" i="36"/>
  <c r="G310" i="36"/>
  <c r="I114" i="36"/>
  <c r="I190" i="36"/>
  <c r="H218" i="36"/>
  <c r="H210" i="36"/>
  <c r="G48" i="36"/>
  <c r="I27" i="36"/>
  <c r="I43" i="36"/>
  <c r="G169" i="36"/>
  <c r="I239" i="36"/>
  <c r="I242" i="36"/>
  <c r="G111" i="36"/>
  <c r="H27" i="36"/>
  <c r="G26" i="36"/>
  <c r="H149" i="36"/>
  <c r="G63" i="36"/>
  <c r="I63" i="36"/>
  <c r="H154" i="36"/>
  <c r="I154" i="36"/>
  <c r="D26" i="36"/>
  <c r="G282" i="36"/>
  <c r="H40" i="36"/>
  <c r="G165" i="36"/>
  <c r="H54" i="36"/>
  <c r="I95" i="36"/>
  <c r="H198" i="36"/>
  <c r="G265" i="36"/>
  <c r="I234" i="36"/>
  <c r="G56" i="36"/>
  <c r="H226" i="36"/>
  <c r="I198" i="36"/>
  <c r="H242" i="36"/>
  <c r="G54" i="36"/>
  <c r="H101" i="36"/>
  <c r="G321" i="36"/>
  <c r="H321" i="36"/>
  <c r="H173" i="36"/>
  <c r="G173" i="36"/>
  <c r="G292" i="36"/>
  <c r="G12" i="36"/>
  <c r="G323" i="36"/>
  <c r="I211" i="36"/>
  <c r="I44" i="36"/>
  <c r="F170" i="36"/>
  <c r="E70" i="36"/>
  <c r="G95" i="36"/>
  <c r="G96" i="36"/>
  <c r="G243" i="36"/>
  <c r="G240" i="36"/>
  <c r="F191" i="36"/>
  <c r="E292" i="36"/>
  <c r="D234" i="36"/>
  <c r="I92" i="36"/>
  <c r="H227" i="36"/>
  <c r="F167" i="36"/>
  <c r="H91" i="36"/>
  <c r="H114" i="36"/>
  <c r="H166" i="36"/>
  <c r="H170" i="36"/>
  <c r="H48" i="36"/>
  <c r="G43" i="36"/>
  <c r="G144" i="36"/>
  <c r="G218" i="36"/>
  <c r="D221" i="36"/>
  <c r="D213" i="36"/>
  <c r="G244" i="36"/>
  <c r="I230" i="36"/>
  <c r="H125" i="36"/>
  <c r="G142" i="36"/>
  <c r="H80" i="36"/>
  <c r="F299" i="36"/>
  <c r="G320" i="36"/>
  <c r="G208" i="36"/>
  <c r="H208" i="36"/>
  <c r="G284" i="36"/>
  <c r="H284" i="36"/>
  <c r="H260" i="36"/>
  <c r="E260" i="36"/>
  <c r="I260" i="36"/>
  <c r="F194" i="36"/>
  <c r="G194" i="36"/>
  <c r="H85" i="36"/>
  <c r="I85" i="36"/>
  <c r="G74" i="36"/>
  <c r="E74" i="36"/>
  <c r="E198" i="36"/>
  <c r="E136" i="36"/>
  <c r="E169" i="36"/>
  <c r="E321" i="36"/>
  <c r="E77" i="36"/>
  <c r="E163" i="36"/>
  <c r="E63" i="36"/>
  <c r="E109" i="36"/>
  <c r="E98" i="36"/>
  <c r="E150" i="36"/>
  <c r="E55" i="36"/>
  <c r="E114" i="36"/>
  <c r="E23" i="36"/>
  <c r="E148" i="36"/>
  <c r="E110" i="36"/>
  <c r="E39" i="36"/>
  <c r="E275" i="36"/>
  <c r="E318" i="36"/>
  <c r="E14" i="36"/>
  <c r="E220" i="36"/>
  <c r="E35" i="36"/>
  <c r="E20" i="36"/>
  <c r="E112" i="36"/>
  <c r="E224" i="36"/>
  <c r="E37" i="36"/>
  <c r="E322" i="36"/>
  <c r="E42" i="36"/>
  <c r="E295" i="36"/>
  <c r="E207" i="36"/>
  <c r="E127" i="36"/>
  <c r="E38" i="36"/>
  <c r="E68" i="36"/>
  <c r="I36" i="36"/>
  <c r="G238" i="36"/>
  <c r="I132" i="36"/>
  <c r="H194" i="36"/>
  <c r="E32" i="36"/>
  <c r="I208" i="36"/>
  <c r="E134" i="36"/>
  <c r="I24" i="36"/>
  <c r="E124" i="36"/>
  <c r="F294" i="36"/>
  <c r="H294" i="36"/>
  <c r="I151" i="36"/>
  <c r="G151" i="36"/>
  <c r="H151" i="36"/>
  <c r="F151" i="36"/>
  <c r="G177" i="36"/>
  <c r="I177" i="36"/>
  <c r="F159" i="36"/>
  <c r="G159" i="36"/>
  <c r="F263" i="36"/>
  <c r="I263" i="36"/>
  <c r="G263" i="36"/>
  <c r="H263" i="36"/>
  <c r="G217" i="36"/>
  <c r="H217" i="36"/>
  <c r="F13" i="36"/>
  <c r="I13" i="36"/>
  <c r="G13" i="36"/>
  <c r="H13" i="36"/>
  <c r="E13" i="36"/>
  <c r="G281" i="36"/>
  <c r="H281" i="36"/>
  <c r="I171" i="36"/>
  <c r="H171" i="36"/>
  <c r="G171" i="36"/>
  <c r="H235" i="36"/>
  <c r="E235" i="36"/>
  <c r="I235" i="36"/>
  <c r="G235" i="36"/>
  <c r="H131" i="36"/>
  <c r="G131" i="36"/>
  <c r="I131" i="36"/>
  <c r="H157" i="36"/>
  <c r="I157" i="36"/>
  <c r="H69" i="36"/>
  <c r="G69" i="36"/>
  <c r="D265" i="36"/>
  <c r="D314" i="36"/>
  <c r="D98" i="36"/>
  <c r="D147" i="36"/>
  <c r="D321" i="36"/>
  <c r="D196" i="36"/>
  <c r="D275" i="36"/>
  <c r="D207" i="36"/>
  <c r="D256" i="36"/>
  <c r="H256" i="36"/>
  <c r="I256" i="36"/>
  <c r="D211" i="36"/>
  <c r="E178" i="36"/>
  <c r="F229" i="36"/>
  <c r="I165" i="36"/>
  <c r="D183" i="36"/>
  <c r="D139" i="36"/>
  <c r="E186" i="36"/>
  <c r="F267" i="36"/>
  <c r="E133" i="36"/>
  <c r="F91" i="36"/>
  <c r="E233" i="36"/>
  <c r="H209" i="36"/>
  <c r="E255" i="36"/>
  <c r="E34" i="36"/>
  <c r="D38" i="36"/>
  <c r="E293" i="36"/>
  <c r="D310" i="36"/>
  <c r="I283" i="36"/>
  <c r="H41" i="36"/>
  <c r="E122" i="36"/>
  <c r="F68" i="36"/>
  <c r="D206" i="36"/>
  <c r="E36" i="36"/>
  <c r="F238" i="36"/>
  <c r="F46" i="36"/>
  <c r="E132" i="36"/>
  <c r="I309" i="36"/>
  <c r="D172" i="36"/>
  <c r="I289" i="36"/>
  <c r="H74" i="36"/>
  <c r="E257" i="36"/>
  <c r="D282" i="36"/>
  <c r="H165" i="36"/>
  <c r="F10" i="36"/>
  <c r="F154" i="36"/>
  <c r="G125" i="36"/>
  <c r="E274" i="36"/>
  <c r="F70" i="36"/>
  <c r="I12" i="36"/>
  <c r="F138" i="36"/>
  <c r="F305" i="36"/>
  <c r="F249" i="36"/>
  <c r="F250" i="36"/>
  <c r="D214" i="36"/>
  <c r="E180" i="36"/>
  <c r="F215" i="36"/>
  <c r="F79" i="36"/>
  <c r="E106" i="36"/>
  <c r="E131" i="36"/>
  <c r="E65" i="36"/>
  <c r="E265" i="36"/>
  <c r="E234" i="36"/>
  <c r="E222" i="36"/>
  <c r="E236" i="36"/>
  <c r="E82" i="36"/>
  <c r="F302" i="36"/>
  <c r="E147" i="36"/>
  <c r="G24" i="36"/>
  <c r="D288" i="36"/>
  <c r="F164" i="36"/>
  <c r="H119" i="36"/>
  <c r="H146" i="36"/>
  <c r="E177" i="36"/>
  <c r="E86" i="36"/>
  <c r="F290" i="36"/>
  <c r="E202" i="36"/>
  <c r="E59" i="36"/>
  <c r="I281" i="36"/>
  <c r="E101" i="36"/>
  <c r="F86" i="36"/>
  <c r="G86" i="36"/>
  <c r="I86" i="36"/>
  <c r="H86" i="36"/>
  <c r="H177" i="36"/>
  <c r="G309" i="36"/>
  <c r="I74" i="36"/>
  <c r="I194" i="36"/>
  <c r="I66" i="36"/>
  <c r="H66" i="36"/>
  <c r="E146" i="36"/>
  <c r="F237" i="36"/>
  <c r="G88" i="36"/>
  <c r="G85" i="36"/>
  <c r="H45" i="36"/>
  <c r="G45" i="36"/>
  <c r="F81" i="36"/>
  <c r="I81" i="36"/>
  <c r="G124" i="36"/>
  <c r="I124" i="36"/>
  <c r="F124" i="36"/>
  <c r="I274" i="36"/>
  <c r="G274" i="36"/>
  <c r="F274" i="36"/>
  <c r="D302" i="36"/>
  <c r="G302" i="36"/>
  <c r="E302" i="36"/>
  <c r="F47" i="36"/>
  <c r="I47" i="36"/>
  <c r="H193" i="36"/>
  <c r="I193" i="36"/>
  <c r="G193" i="36"/>
  <c r="H67" i="36"/>
  <c r="E67" i="36"/>
  <c r="G67" i="36"/>
  <c r="F118" i="36"/>
  <c r="E118" i="36"/>
  <c r="I118" i="36"/>
  <c r="I155" i="36"/>
  <c r="H155" i="36"/>
  <c r="G189" i="36"/>
  <c r="I189" i="36"/>
  <c r="E189" i="36"/>
  <c r="I197" i="36"/>
  <c r="H197" i="36"/>
  <c r="G184" i="36"/>
  <c r="H184" i="36"/>
  <c r="F228" i="36"/>
  <c r="F248" i="36"/>
  <c r="E248" i="36"/>
  <c r="H267" i="36"/>
  <c r="G267" i="36"/>
  <c r="E307" i="36"/>
  <c r="G260" i="36"/>
  <c r="F221" i="36"/>
  <c r="G221" i="36"/>
  <c r="I221" i="36"/>
  <c r="H221" i="36"/>
  <c r="G140" i="36"/>
  <c r="H140" i="36"/>
  <c r="E140" i="36"/>
  <c r="I250" i="36"/>
  <c r="G250" i="36"/>
  <c r="H250" i="36"/>
  <c r="D258" i="36"/>
  <c r="F258" i="36"/>
  <c r="G108" i="36"/>
  <c r="E108" i="36"/>
  <c r="I262" i="36"/>
  <c r="H262" i="36"/>
  <c r="G50" i="36"/>
  <c r="H50" i="36"/>
  <c r="H123" i="36"/>
  <c r="I123" i="36"/>
  <c r="G247" i="36"/>
  <c r="I247" i="36"/>
  <c r="G215" i="36"/>
  <c r="H215" i="36"/>
  <c r="E215" i="36"/>
  <c r="F209" i="36"/>
  <c r="I301" i="36"/>
  <c r="E301" i="36"/>
  <c r="G301" i="36"/>
  <c r="G90" i="36"/>
  <c r="E90" i="36"/>
  <c r="F90" i="36"/>
  <c r="E79" i="36"/>
  <c r="G79" i="36"/>
  <c r="I79" i="36"/>
  <c r="F292" i="36"/>
  <c r="I292" i="36"/>
  <c r="I316" i="36"/>
  <c r="H316" i="36"/>
  <c r="D316" i="36"/>
  <c r="E316" i="36"/>
  <c r="E296" i="36"/>
  <c r="E230" i="36"/>
  <c r="E310" i="36"/>
  <c r="E206" i="36"/>
  <c r="H132" i="36"/>
  <c r="E289" i="36"/>
  <c r="E87" i="36"/>
  <c r="E167" i="36"/>
  <c r="E249" i="36"/>
  <c r="E243" i="36"/>
  <c r="E188" i="36"/>
  <c r="E191" i="36"/>
  <c r="E158" i="36"/>
  <c r="E75" i="36"/>
  <c r="E99" i="36"/>
  <c r="E159" i="36"/>
  <c r="I116" i="36"/>
  <c r="H116" i="36"/>
  <c r="G28" i="36"/>
  <c r="I28" i="36"/>
  <c r="F117" i="36"/>
  <c r="E117" i="36"/>
  <c r="I117" i="36"/>
  <c r="G317" i="36"/>
  <c r="H317" i="36"/>
  <c r="I317" i="36"/>
  <c r="H185" i="36"/>
  <c r="G185" i="36"/>
  <c r="I185" i="36"/>
  <c r="H213" i="36"/>
  <c r="G213" i="36"/>
  <c r="E9" i="36"/>
  <c r="E279" i="36"/>
  <c r="I279" i="36"/>
  <c r="I241" i="36"/>
  <c r="H241" i="36"/>
  <c r="I49" i="36"/>
  <c r="H49" i="36"/>
  <c r="F320" i="36"/>
  <c r="F142" i="36"/>
  <c r="F55" i="36"/>
  <c r="F286" i="36"/>
  <c r="F78" i="36"/>
  <c r="F57" i="36"/>
  <c r="F137" i="36"/>
  <c r="F181" i="36"/>
  <c r="F158" i="36"/>
  <c r="F56" i="36"/>
  <c r="F94" i="36"/>
  <c r="F114" i="36"/>
  <c r="F186" i="36"/>
  <c r="F8" i="36"/>
  <c r="F163" i="36"/>
  <c r="F52" i="36"/>
  <c r="F240" i="36"/>
  <c r="F135" i="36"/>
  <c r="F236" i="36"/>
  <c r="F322" i="36"/>
  <c r="F234" i="36"/>
  <c r="F75" i="36"/>
  <c r="F65" i="36"/>
  <c r="F196" i="36"/>
  <c r="F39" i="36"/>
  <c r="F275" i="36"/>
  <c r="F32" i="36"/>
  <c r="F51" i="36"/>
  <c r="F277" i="36"/>
  <c r="F244" i="36"/>
  <c r="F150" i="36"/>
  <c r="F58" i="36"/>
  <c r="F100" i="36"/>
  <c r="F231" i="36"/>
  <c r="F82" i="36"/>
  <c r="F254" i="36"/>
  <c r="F148" i="36"/>
  <c r="F21" i="36"/>
  <c r="F265" i="36"/>
  <c r="F319" i="36"/>
  <c r="F276" i="36"/>
  <c r="F259" i="36"/>
  <c r="F180" i="36"/>
  <c r="F109" i="36"/>
  <c r="G44" i="36"/>
  <c r="F44" i="36"/>
  <c r="F12" i="36"/>
  <c r="H211" i="36"/>
  <c r="F178" i="36"/>
  <c r="E142" i="36"/>
  <c r="E229" i="36"/>
  <c r="F120" i="36"/>
  <c r="F19" i="36"/>
  <c r="D140" i="36"/>
  <c r="E267" i="36"/>
  <c r="F113" i="36"/>
  <c r="F296" i="36"/>
  <c r="F233" i="36"/>
  <c r="E209" i="36"/>
  <c r="E219" i="36"/>
  <c r="F219" i="36"/>
  <c r="E242" i="36"/>
  <c r="E283" i="36"/>
  <c r="F253" i="36"/>
  <c r="H206" i="36"/>
  <c r="G36" i="36"/>
  <c r="E174" i="36"/>
  <c r="F282" i="36"/>
  <c r="E46" i="36"/>
  <c r="I284" i="36"/>
  <c r="G241" i="36"/>
  <c r="F111" i="36"/>
  <c r="F289" i="36"/>
  <c r="H88" i="36"/>
  <c r="E72" i="36"/>
  <c r="E269" i="36"/>
  <c r="E251" i="36"/>
  <c r="E223" i="36"/>
  <c r="F104" i="36"/>
  <c r="D242" i="36"/>
  <c r="F285" i="36"/>
  <c r="F273" i="36"/>
  <c r="D154" i="36"/>
  <c r="I70" i="36"/>
  <c r="D182" i="36"/>
  <c r="I213" i="36"/>
  <c r="E62" i="36"/>
  <c r="E76" i="36"/>
  <c r="E214" i="36"/>
  <c r="F279" i="36"/>
  <c r="F185" i="36"/>
  <c r="E314" i="36"/>
  <c r="F224" i="36"/>
  <c r="D159" i="36"/>
  <c r="H124" i="36"/>
  <c r="E196" i="36"/>
  <c r="D301" i="36"/>
  <c r="D319" i="36"/>
  <c r="H292" i="36"/>
  <c r="D65" i="36"/>
  <c r="D75" i="36"/>
  <c r="E21" i="36"/>
  <c r="G254" i="36"/>
  <c r="E221" i="36"/>
  <c r="F37" i="36"/>
  <c r="F115" i="36"/>
  <c r="E115" i="36"/>
  <c r="F103" i="36"/>
  <c r="H28" i="36"/>
  <c r="F160" i="36"/>
  <c r="H117" i="36"/>
  <c r="H70" i="36"/>
  <c r="I41" i="36"/>
  <c r="D13" i="36"/>
  <c r="F140" i="36"/>
  <c r="F310" i="36"/>
  <c r="I294" i="36"/>
  <c r="E287" i="36"/>
  <c r="F54" i="36"/>
  <c r="I217" i="36"/>
  <c r="E181" i="36"/>
  <c r="G288" i="36"/>
  <c r="H288" i="36"/>
  <c r="F106" i="36"/>
  <c r="I106" i="36"/>
  <c r="G106" i="36"/>
  <c r="I253" i="36"/>
  <c r="E253" i="36"/>
  <c r="G253" i="36"/>
  <c r="H73" i="36"/>
  <c r="E73" i="36"/>
  <c r="I153" i="36"/>
  <c r="H153" i="36"/>
  <c r="E298" i="36"/>
  <c r="I30" i="36"/>
  <c r="H30" i="36"/>
  <c r="I35" i="36"/>
  <c r="G35" i="36"/>
  <c r="G150" i="36"/>
  <c r="H150" i="36"/>
  <c r="F216" i="36"/>
  <c r="G216" i="36"/>
  <c r="H216" i="36"/>
  <c r="I232" i="36"/>
  <c r="F232" i="36"/>
  <c r="I252" i="36"/>
  <c r="H252" i="36"/>
  <c r="F252" i="36"/>
  <c r="I186" i="36"/>
  <c r="H186" i="36"/>
  <c r="H202" i="36"/>
  <c r="I202" i="36"/>
  <c r="G245" i="36"/>
  <c r="I245" i="36"/>
  <c r="D61" i="36"/>
  <c r="D137" i="36"/>
  <c r="E119" i="36"/>
  <c r="F17" i="36"/>
  <c r="I17" i="36"/>
  <c r="G17" i="36"/>
  <c r="H93" i="36"/>
  <c r="I300" i="36"/>
  <c r="G300" i="36"/>
  <c r="E264" i="36"/>
  <c r="G172" i="36"/>
  <c r="I172" i="36"/>
  <c r="E218" i="36"/>
  <c r="G122" i="36"/>
  <c r="D19" i="36"/>
  <c r="G233" i="36"/>
  <c r="D219" i="36"/>
  <c r="D295" i="36"/>
  <c r="G156" i="36"/>
  <c r="D303" i="36"/>
  <c r="G206" i="36"/>
  <c r="D238" i="36"/>
  <c r="D174" i="36"/>
  <c r="D320" i="36"/>
  <c r="D201" i="36"/>
  <c r="D157" i="36"/>
  <c r="D289" i="36"/>
  <c r="D223" i="36"/>
  <c r="D70" i="36"/>
  <c r="D95" i="36"/>
  <c r="D12" i="36"/>
  <c r="D250" i="36"/>
  <c r="D62" i="36"/>
  <c r="D84" i="36"/>
  <c r="D21" i="36"/>
  <c r="D254" i="36"/>
  <c r="D236" i="36"/>
  <c r="D261" i="36"/>
  <c r="D93" i="36"/>
  <c r="D228" i="36"/>
  <c r="D216" i="36"/>
  <c r="D257" i="36"/>
  <c r="D194" i="36"/>
  <c r="D166" i="36"/>
  <c r="D44" i="36"/>
  <c r="D50" i="36"/>
  <c r="D104" i="36"/>
  <c r="D34" i="36"/>
  <c r="D146" i="36"/>
  <c r="D102" i="36"/>
  <c r="D124" i="36"/>
  <c r="D293" i="36"/>
  <c r="D144" i="36"/>
  <c r="D88" i="36"/>
  <c r="D209" i="36"/>
  <c r="D57" i="36"/>
  <c r="D40" i="36"/>
  <c r="D122" i="36"/>
  <c r="D308" i="36"/>
  <c r="D138" i="36"/>
  <c r="D33" i="36"/>
  <c r="D71" i="36"/>
  <c r="D298" i="36"/>
  <c r="D121" i="36"/>
  <c r="D233" i="36"/>
  <c r="D80" i="36"/>
  <c r="D294" i="36"/>
  <c r="D30" i="36"/>
  <c r="D312" i="36"/>
  <c r="D94" i="36"/>
  <c r="D281" i="36"/>
  <c r="D123" i="36"/>
  <c r="D126" i="36"/>
  <c r="D323" i="36"/>
  <c r="D195" i="36"/>
  <c r="D218" i="36"/>
  <c r="D87" i="36"/>
  <c r="D141" i="36"/>
  <c r="D59" i="36"/>
  <c r="D205" i="36"/>
  <c r="D291" i="36"/>
  <c r="D290" i="36"/>
  <c r="D114" i="36"/>
  <c r="D266" i="36"/>
  <c r="D161" i="36"/>
  <c r="D48" i="36"/>
  <c r="D222" i="36"/>
  <c r="D186" i="36"/>
  <c r="D200" i="36"/>
  <c r="D105" i="36"/>
  <c r="D25" i="36"/>
  <c r="D235" i="36"/>
  <c r="D251" i="36"/>
  <c r="D16" i="36"/>
  <c r="D9" i="36"/>
  <c r="D317" i="36"/>
  <c r="D311" i="36"/>
  <c r="D63" i="36"/>
  <c r="D191" i="36"/>
  <c r="D41" i="36"/>
  <c r="D189" i="36"/>
  <c r="D277" i="36"/>
  <c r="D246" i="36"/>
  <c r="D299" i="36"/>
  <c r="D45" i="36"/>
  <c r="D232" i="36"/>
  <c r="D150" i="36"/>
  <c r="D78" i="36"/>
  <c r="D300" i="36"/>
  <c r="D239" i="36"/>
  <c r="D171" i="36"/>
  <c r="D204" i="36"/>
  <c r="D255" i="36"/>
  <c r="D169" i="36"/>
  <c r="D297" i="36"/>
  <c r="D55" i="36"/>
  <c r="D252" i="36"/>
  <c r="D109" i="36"/>
  <c r="D274" i="36"/>
  <c r="D151" i="36"/>
  <c r="D136" i="36"/>
  <c r="D64" i="36"/>
  <c r="D163" i="36"/>
  <c r="D20" i="36"/>
  <c r="D99" i="36"/>
  <c r="D135" i="36"/>
  <c r="D116" i="36"/>
  <c r="D115" i="36"/>
  <c r="D176" i="36"/>
  <c r="D305" i="36"/>
  <c r="D133" i="36"/>
  <c r="D270" i="36"/>
  <c r="D271" i="36"/>
  <c r="D119" i="36"/>
  <c r="D86" i="36"/>
  <c r="D212" i="36"/>
  <c r="D67" i="36"/>
  <c r="D177" i="36"/>
  <c r="D77" i="36"/>
  <c r="D253" i="36"/>
  <c r="D237" i="36"/>
  <c r="D51" i="36"/>
  <c r="D52" i="36"/>
  <c r="D100" i="36"/>
  <c r="D231" i="36"/>
  <c r="D272" i="36"/>
  <c r="D263" i="36"/>
  <c r="D56" i="36"/>
  <c r="D155" i="36"/>
  <c r="D130" i="36"/>
  <c r="D153" i="36"/>
  <c r="D160" i="36"/>
  <c r="D167" i="36"/>
  <c r="D27" i="36"/>
  <c r="D111" i="36"/>
  <c r="D241" i="36"/>
  <c r="D10" i="36"/>
  <c r="D203" i="36"/>
  <c r="D187" i="36"/>
  <c r="D307" i="36"/>
  <c r="D129" i="36"/>
  <c r="D181" i="36"/>
  <c r="D220" i="36"/>
  <c r="D66" i="36"/>
  <c r="D24" i="36"/>
  <c r="D179" i="36"/>
  <c r="D28" i="36"/>
  <c r="D103" i="36"/>
  <c r="D227" i="36"/>
  <c r="D278" i="36"/>
  <c r="D313" i="36"/>
  <c r="D91" i="36"/>
  <c r="D73" i="36"/>
  <c r="D37" i="36"/>
  <c r="D23" i="36"/>
  <c r="D131" i="36"/>
  <c r="D79" i="36"/>
  <c r="D118" i="36"/>
  <c r="D215" i="36"/>
  <c r="D276" i="36"/>
  <c r="D110" i="36"/>
  <c r="D39" i="36"/>
  <c r="D158" i="36"/>
  <c r="D259" i="36"/>
  <c r="D22" i="36"/>
  <c r="D42" i="36"/>
  <c r="D127" i="36"/>
  <c r="D76" i="36"/>
  <c r="D240" i="36"/>
  <c r="D286" i="36"/>
  <c r="D190" i="36"/>
  <c r="D249" i="36"/>
  <c r="D152" i="36"/>
  <c r="D273" i="36"/>
  <c r="D170" i="36"/>
  <c r="D14" i="36"/>
  <c r="D107" i="36"/>
  <c r="D47" i="36"/>
  <c r="D143" i="36"/>
  <c r="D244" i="36"/>
  <c r="D117" i="36"/>
  <c r="D58" i="36"/>
  <c r="D112" i="36"/>
  <c r="D32" i="36"/>
  <c r="D92" i="36"/>
  <c r="D304" i="36"/>
  <c r="D148" i="36"/>
  <c r="D134" i="36"/>
  <c r="D106" i="36"/>
  <c r="D180" i="36"/>
  <c r="D224" i="36"/>
  <c r="D185" i="36"/>
  <c r="D306" i="36"/>
  <c r="D108" i="36"/>
  <c r="D279" i="36"/>
  <c r="D287" i="36"/>
  <c r="D96" i="36"/>
  <c r="D113" i="36"/>
  <c r="D285" i="36"/>
  <c r="G16" i="36"/>
  <c r="G123" i="36"/>
  <c r="G139" i="36"/>
  <c r="G146" i="36"/>
  <c r="G293" i="36"/>
  <c r="G119" i="36"/>
  <c r="G290" i="36"/>
  <c r="G117" i="36"/>
  <c r="G261" i="36"/>
  <c r="G9" i="36"/>
  <c r="G116" i="36"/>
  <c r="G133" i="36"/>
  <c r="G291" i="36"/>
  <c r="G153" i="36"/>
  <c r="G285" i="36"/>
  <c r="G21" i="36"/>
  <c r="D142" i="36"/>
  <c r="D315" i="36"/>
  <c r="D217" i="36"/>
  <c r="D83" i="36"/>
  <c r="D156" i="36"/>
  <c r="D199" i="36"/>
  <c r="D17" i="36"/>
  <c r="D248" i="36"/>
  <c r="D325" i="36"/>
  <c r="D68" i="36"/>
  <c r="D132" i="36"/>
  <c r="D269" i="36"/>
  <c r="D165" i="36"/>
  <c r="D54" i="36"/>
  <c r="D125" i="36"/>
  <c r="D198" i="36"/>
  <c r="G279" i="36"/>
  <c r="D318" i="36"/>
  <c r="D90" i="36"/>
  <c r="D208" i="36"/>
  <c r="D292" i="36"/>
  <c r="D322" i="36"/>
  <c r="D82" i="36"/>
  <c r="D164" i="36"/>
  <c r="D197" i="36"/>
  <c r="D268" i="36"/>
  <c r="I146" i="36"/>
  <c r="I152" i="36"/>
  <c r="I293" i="36"/>
  <c r="I119" i="36"/>
  <c r="H122" i="36"/>
  <c r="H324" i="36"/>
  <c r="H290" i="36"/>
  <c r="H8" i="36"/>
  <c r="H152" i="36"/>
  <c r="F177" i="36"/>
  <c r="F69" i="36"/>
  <c r="F29" i="36"/>
  <c r="F89" i="36"/>
  <c r="F235" i="36"/>
  <c r="F225" i="36"/>
  <c r="F195" i="36"/>
  <c r="F241" i="36"/>
  <c r="F239" i="36"/>
  <c r="F122" i="36"/>
  <c r="F18" i="36"/>
  <c r="F26" i="36"/>
  <c r="F284" i="36"/>
  <c r="F260" i="36"/>
  <c r="F323" i="36"/>
  <c r="F145" i="36"/>
  <c r="F139" i="36"/>
  <c r="F199" i="36"/>
  <c r="F281" i="36"/>
  <c r="F315" i="36"/>
  <c r="F262" i="36"/>
  <c r="F107" i="36"/>
  <c r="F308" i="36"/>
  <c r="F197" i="36"/>
  <c r="F83" i="36"/>
  <c r="F41" i="36"/>
  <c r="F223" i="36"/>
  <c r="F243" i="36"/>
  <c r="F293" i="36"/>
  <c r="F43" i="36"/>
  <c r="F22" i="36"/>
  <c r="F34" i="36"/>
  <c r="F246" i="36"/>
  <c r="F35" i="36"/>
  <c r="F287" i="36"/>
  <c r="F45" i="36"/>
  <c r="F210" i="36"/>
  <c r="F182" i="36"/>
  <c r="F16" i="36"/>
  <c r="F230" i="36"/>
  <c r="F190" i="36"/>
  <c r="F149" i="36"/>
  <c r="F162" i="36"/>
  <c r="F126" i="36"/>
  <c r="F141" i="36"/>
  <c r="F38" i="36"/>
  <c r="F156" i="36"/>
  <c r="F42" i="36"/>
  <c r="F297" i="36"/>
  <c r="F312" i="36"/>
  <c r="F202" i="36"/>
  <c r="F220" i="36"/>
  <c r="F80" i="36"/>
  <c r="F9" i="36"/>
  <c r="F50" i="36"/>
  <c r="F161" i="36"/>
  <c r="F261" i="36"/>
  <c r="F198" i="36"/>
  <c r="F306" i="36"/>
  <c r="F205" i="36"/>
  <c r="F173" i="36"/>
  <c r="F266" i="36"/>
  <c r="F188" i="36"/>
  <c r="F317" i="36"/>
  <c r="F217" i="36"/>
  <c r="F67" i="36"/>
  <c r="F166" i="36"/>
  <c r="F77" i="36"/>
  <c r="F59" i="36"/>
  <c r="F155" i="36"/>
  <c r="F14" i="36"/>
  <c r="F110" i="36"/>
  <c r="F136" i="36"/>
  <c r="F278" i="36"/>
  <c r="F102" i="36"/>
  <c r="F61" i="36"/>
  <c r="F313" i="36"/>
  <c r="F60" i="36"/>
  <c r="F84" i="36"/>
  <c r="F119" i="36"/>
  <c r="F130" i="36"/>
  <c r="F204" i="36"/>
  <c r="F20" i="36"/>
  <c r="F28" i="36"/>
  <c r="F92" i="36"/>
  <c r="F304" i="36"/>
  <c r="F256" i="36"/>
  <c r="F74" i="36"/>
  <c r="F203" i="36"/>
  <c r="F193" i="36"/>
  <c r="F171" i="36"/>
  <c r="F63" i="36"/>
  <c r="F48" i="36"/>
  <c r="F93" i="36"/>
  <c r="F226" i="36"/>
  <c r="F30" i="36"/>
  <c r="F169" i="36"/>
  <c r="F62" i="36"/>
  <c r="F153" i="36"/>
  <c r="F270" i="36"/>
  <c r="F184" i="36"/>
  <c r="F144" i="36"/>
  <c r="F66" i="36"/>
  <c r="F64" i="36"/>
  <c r="F99" i="36"/>
  <c r="F24" i="36"/>
  <c r="F112" i="36"/>
  <c r="F179" i="36"/>
  <c r="F147" i="36"/>
  <c r="F95" i="36"/>
  <c r="F208" i="36"/>
  <c r="F227" i="36"/>
  <c r="F272" i="36"/>
  <c r="E44" i="36"/>
  <c r="E256" i="36"/>
  <c r="E245" i="36"/>
  <c r="E56" i="36"/>
  <c r="E88" i="36"/>
  <c r="E105" i="36"/>
  <c r="E324" i="36"/>
  <c r="E149" i="36"/>
  <c r="E308" i="36"/>
  <c r="E162" i="36"/>
  <c r="E128" i="36"/>
  <c r="E192" i="36"/>
  <c r="E303" i="36"/>
  <c r="E78" i="36"/>
  <c r="E156" i="36"/>
  <c r="E137" i="36"/>
  <c r="E212" i="36"/>
  <c r="E16" i="36"/>
  <c r="E247" i="36"/>
  <c r="E281" i="36"/>
  <c r="E141" i="36"/>
  <c r="E182" i="36"/>
  <c r="E53" i="36"/>
  <c r="E40" i="36"/>
  <c r="E145" i="36"/>
  <c r="E270" i="36"/>
  <c r="E300" i="36"/>
  <c r="E80" i="36"/>
  <c r="E15" i="36"/>
  <c r="E175" i="36"/>
  <c r="E228" i="36"/>
  <c r="E138" i="36"/>
  <c r="E94" i="36"/>
  <c r="E126" i="36"/>
  <c r="E262" i="36"/>
  <c r="E10" i="36"/>
  <c r="E123" i="36"/>
  <c r="E171" i="36"/>
  <c r="E226" i="36"/>
  <c r="E311" i="36"/>
  <c r="E11" i="36"/>
  <c r="E297" i="36"/>
  <c r="E246" i="36"/>
  <c r="E161" i="36"/>
  <c r="E313" i="36"/>
  <c r="E97" i="36"/>
  <c r="E69" i="36"/>
  <c r="E111" i="36"/>
  <c r="E49" i="36"/>
  <c r="E268" i="36"/>
  <c r="E225" i="36"/>
  <c r="E31" i="36"/>
  <c r="E152" i="36"/>
  <c r="E107" i="36"/>
  <c r="E144" i="36"/>
  <c r="E205" i="36"/>
  <c r="E8" i="36"/>
  <c r="E139" i="36"/>
  <c r="E290" i="36"/>
  <c r="E50" i="36"/>
  <c r="E250" i="36"/>
  <c r="E266" i="36"/>
  <c r="E244" i="36"/>
  <c r="E19" i="36"/>
  <c r="E27" i="36"/>
  <c r="E154" i="36"/>
  <c r="E263" i="36"/>
  <c r="E271" i="36"/>
  <c r="E48" i="36"/>
  <c r="E93" i="36"/>
  <c r="E210" i="36"/>
  <c r="E277" i="36"/>
  <c r="E129" i="36"/>
  <c r="E26" i="36"/>
  <c r="E43" i="36"/>
  <c r="E66" i="36"/>
  <c r="E187" i="36"/>
  <c r="E261" i="36"/>
  <c r="E204" i="36"/>
  <c r="E113" i="36"/>
  <c r="E30" i="36"/>
  <c r="E25" i="36"/>
  <c r="E71" i="36"/>
  <c r="E325" i="36"/>
  <c r="E81" i="36"/>
  <c r="E102" i="36"/>
  <c r="E317" i="36"/>
  <c r="E193" i="36"/>
  <c r="E125" i="36"/>
  <c r="E91" i="36"/>
  <c r="E153" i="36"/>
  <c r="E164" i="36"/>
  <c r="E240" i="36"/>
  <c r="E160" i="36"/>
  <c r="E28" i="36"/>
  <c r="E231" i="36"/>
  <c r="E208" i="36"/>
  <c r="E304" i="36"/>
  <c r="E33" i="36"/>
  <c r="E280" i="36"/>
  <c r="E323" i="36"/>
  <c r="E22" i="36"/>
  <c r="E195" i="36"/>
  <c r="E241" i="36"/>
  <c r="E239" i="36"/>
  <c r="E155" i="36"/>
  <c r="E213" i="36"/>
  <c r="E60" i="36"/>
  <c r="E312" i="36"/>
  <c r="E252" i="36"/>
  <c r="E217" i="36"/>
  <c r="E259" i="36"/>
  <c r="E17" i="36"/>
  <c r="E216" i="36"/>
  <c r="E232" i="36"/>
  <c r="E299" i="36"/>
  <c r="E197" i="36"/>
  <c r="E41" i="36"/>
  <c r="E173" i="36"/>
  <c r="E64" i="36"/>
  <c r="E278" i="36"/>
  <c r="E45" i="36"/>
  <c r="E84" i="36"/>
  <c r="E237" i="36"/>
  <c r="E61" i="36"/>
  <c r="E130" i="36"/>
  <c r="E58" i="36"/>
  <c r="E288" i="36"/>
  <c r="E24" i="36"/>
  <c r="E135" i="36"/>
  <c r="E179" i="36"/>
  <c r="E103" i="36"/>
  <c r="E227" i="36"/>
  <c r="E96" i="36"/>
  <c r="E151" i="36"/>
  <c r="F311" i="36"/>
  <c r="D81" i="36"/>
  <c r="E286" i="36"/>
  <c r="D210" i="36"/>
  <c r="F73" i="36"/>
  <c r="D262" i="36"/>
  <c r="F291" i="36"/>
  <c r="F268" i="36"/>
  <c r="F324" i="36"/>
  <c r="I324" i="36"/>
  <c r="I209" i="36"/>
  <c r="F300" i="36"/>
  <c r="F214" i="36"/>
  <c r="F172" i="36"/>
  <c r="F88" i="36"/>
  <c r="F40" i="36"/>
  <c r="F31" i="36"/>
  <c r="F108" i="36"/>
  <c r="F187" i="36"/>
  <c r="F105" i="36"/>
  <c r="F245" i="36"/>
  <c r="F72" i="36"/>
  <c r="F200" i="36"/>
  <c r="F303" i="36"/>
  <c r="F280" i="36"/>
  <c r="F192" i="36"/>
  <c r="F128" i="36"/>
  <c r="F264" i="36"/>
  <c r="F123" i="36"/>
  <c r="F85" i="36"/>
  <c r="F101" i="36"/>
  <c r="F53" i="36"/>
  <c r="F271" i="36"/>
  <c r="F33" i="36"/>
  <c r="F121" i="36"/>
  <c r="F309" i="36"/>
  <c r="F15" i="36"/>
  <c r="F71" i="36"/>
  <c r="F325" i="36"/>
  <c r="F175" i="36"/>
  <c r="D97" i="36"/>
  <c r="D128" i="36"/>
  <c r="D35" i="36"/>
  <c r="D245" i="36"/>
  <c r="D229" i="36"/>
  <c r="D49" i="36"/>
  <c r="D18" i="36"/>
  <c r="D145" i="36"/>
  <c r="D264" i="36"/>
  <c r="D184" i="36"/>
  <c r="D149" i="36"/>
  <c r="D29" i="36"/>
  <c r="D43" i="36"/>
  <c r="D31" i="36"/>
  <c r="D15" i="36"/>
  <c r="D162" i="36"/>
  <c r="D192" i="36"/>
  <c r="D173" i="36"/>
  <c r="D89" i="36"/>
  <c r="D168" i="36"/>
  <c r="D309" i="36"/>
  <c r="D280" i="36"/>
  <c r="D324" i="36"/>
  <c r="D284" i="36"/>
  <c r="D260" i="36"/>
  <c r="D69" i="36"/>
  <c r="D175" i="36"/>
  <c r="D85" i="36"/>
  <c r="D101" i="36"/>
  <c r="D74" i="36"/>
  <c r="D72" i="36"/>
  <c r="D296" i="36"/>
  <c r="D178" i="36"/>
  <c r="D267" i="36"/>
  <c r="D283" i="36"/>
  <c r="G152" i="36"/>
  <c r="G8" i="36"/>
  <c r="G209" i="36"/>
  <c r="G137" i="36"/>
  <c r="G128" i="36"/>
  <c r="G324" i="36"/>
  <c r="G120" i="36"/>
  <c r="E89" i="36"/>
  <c r="E168" i="36"/>
  <c r="E309" i="36"/>
  <c r="E194" i="36"/>
  <c r="E284" i="36"/>
  <c r="E157" i="36"/>
  <c r="E184" i="36"/>
  <c r="E83" i="36"/>
  <c r="E183" i="36"/>
  <c r="E121" i="36"/>
  <c r="E200" i="36"/>
  <c r="E120" i="36"/>
  <c r="E29" i="36"/>
  <c r="E104" i="36"/>
  <c r="E18" i="36"/>
  <c r="E258" i="36"/>
  <c r="E285" i="36"/>
  <c r="E273" i="36"/>
  <c r="E172" i="36"/>
  <c r="E57" i="36"/>
  <c r="E211" i="36"/>
  <c r="E85" i="36"/>
  <c r="E315" i="36"/>
  <c r="E294" i="36"/>
  <c r="F129" i="36"/>
  <c r="E166" i="36"/>
  <c r="D202" i="36"/>
  <c r="E201" i="36"/>
  <c r="F27" i="36"/>
  <c r="D53" i="36"/>
  <c r="H151" i="32"/>
  <c r="D157" i="9" s="1"/>
  <c r="H167" i="32"/>
  <c r="D173" i="9" s="1"/>
  <c r="H306" i="32"/>
  <c r="D312" i="9" s="1"/>
  <c r="H313" i="32"/>
  <c r="D319" i="9" s="1"/>
  <c r="H84" i="32"/>
  <c r="D90" i="9" s="1"/>
  <c r="H132" i="32"/>
  <c r="D138" i="9" s="1"/>
  <c r="H261" i="32"/>
  <c r="D267" i="9" s="1"/>
  <c r="H310" i="32"/>
  <c r="D316" i="9" s="1"/>
  <c r="H318" i="32"/>
  <c r="D324" i="9" s="1"/>
  <c r="H319" i="32"/>
  <c r="D325" i="9" s="1"/>
  <c r="H224" i="32"/>
  <c r="D230" i="9" s="1"/>
  <c r="H86" i="32"/>
  <c r="D92" i="9" s="1"/>
  <c r="H176" i="32"/>
  <c r="D182" i="9" s="1"/>
  <c r="H301" i="32"/>
  <c r="D307" i="9" s="1"/>
  <c r="H169" i="32"/>
  <c r="D175" i="9" s="1"/>
  <c r="H165" i="32"/>
  <c r="D171" i="9" s="1"/>
  <c r="G129" i="36"/>
  <c r="H294" i="32" l="1"/>
  <c r="D300" i="9" s="1"/>
  <c r="I48" i="49"/>
  <c r="I273" i="49"/>
  <c r="I51" i="49"/>
  <c r="I36" i="49"/>
  <c r="I80" i="49"/>
  <c r="I163" i="49"/>
  <c r="I237" i="49"/>
  <c r="I196" i="49"/>
  <c r="I176" i="49"/>
  <c r="I130" i="49"/>
  <c r="E162" i="32"/>
  <c r="I125" i="49"/>
  <c r="I181" i="49"/>
  <c r="H21" i="49"/>
  <c r="T22" i="19"/>
  <c r="E202" i="32"/>
  <c r="H170" i="32"/>
  <c r="D176" i="9" s="1"/>
  <c r="H257" i="32"/>
  <c r="D263" i="9" s="1"/>
  <c r="H125" i="32"/>
  <c r="D131" i="9" s="1"/>
  <c r="E241" i="32"/>
  <c r="I16" i="49"/>
  <c r="I166" i="49"/>
  <c r="I77" i="49"/>
  <c r="I157" i="49"/>
  <c r="I281" i="49"/>
  <c r="I84" i="49"/>
  <c r="I274" i="49"/>
  <c r="I232" i="49"/>
  <c r="I21" i="49"/>
  <c r="I52" i="49"/>
  <c r="I68" i="49"/>
  <c r="I150" i="49"/>
  <c r="I229" i="49"/>
  <c r="I288" i="49"/>
  <c r="I32" i="49"/>
  <c r="I85" i="49"/>
  <c r="I47" i="49"/>
  <c r="E136" i="32"/>
  <c r="D323" i="32"/>
  <c r="E13" i="48"/>
  <c r="E164" i="32"/>
  <c r="E168" i="32"/>
  <c r="K192" i="36"/>
  <c r="F200" i="34" s="1"/>
  <c r="K229" i="36"/>
  <c r="F237" i="34" s="1"/>
  <c r="K23" i="36"/>
  <c r="F31" i="34" s="1"/>
  <c r="K202" i="36"/>
  <c r="F210" i="34" s="1"/>
  <c r="K283" i="36"/>
  <c r="F291" i="34" s="1"/>
  <c r="H259" i="32"/>
  <c r="D265" i="9" s="1"/>
  <c r="E43" i="32"/>
  <c r="H149" i="32"/>
  <c r="D155" i="9" s="1"/>
  <c r="E95" i="32"/>
  <c r="E239" i="32"/>
  <c r="H67" i="32"/>
  <c r="D73" i="9" s="1"/>
  <c r="H137" i="32"/>
  <c r="D143" i="9" s="1"/>
  <c r="H141" i="32"/>
  <c r="D147" i="9" s="1"/>
  <c r="E101" i="32"/>
  <c r="E80" i="32"/>
  <c r="R13" i="19"/>
  <c r="T13" i="19"/>
  <c r="H12" i="49" s="1"/>
  <c r="I12" i="49" s="1"/>
  <c r="R55" i="19"/>
  <c r="T55" i="19"/>
  <c r="H54" i="49" s="1"/>
  <c r="I54" i="49" s="1"/>
  <c r="R112" i="19"/>
  <c r="H111" i="49"/>
  <c r="I111" i="49" s="1"/>
  <c r="R234" i="19"/>
  <c r="T234" i="19"/>
  <c r="H233" i="49" s="1"/>
  <c r="I233" i="49" s="1"/>
  <c r="R293" i="19"/>
  <c r="T293" i="19"/>
  <c r="H292" i="49" s="1"/>
  <c r="I292" i="49" s="1"/>
  <c r="R99" i="19"/>
  <c r="T99" i="19"/>
  <c r="H98" i="49" s="1"/>
  <c r="I98" i="49" s="1"/>
  <c r="R129" i="19"/>
  <c r="T129" i="19"/>
  <c r="H128" i="49" s="1"/>
  <c r="I128" i="49" s="1"/>
  <c r="R149" i="19"/>
  <c r="T149" i="19"/>
  <c r="H148" i="49" s="1"/>
  <c r="I148" i="49" s="1"/>
  <c r="R175" i="19"/>
  <c r="T175" i="19"/>
  <c r="H174" i="49" s="1"/>
  <c r="I174" i="49" s="1"/>
  <c r="R198" i="19"/>
  <c r="T198" i="19"/>
  <c r="H197" i="49" s="1"/>
  <c r="I197" i="49" s="1"/>
  <c r="R214" i="19"/>
  <c r="T214" i="19"/>
  <c r="H213" i="49" s="1"/>
  <c r="I213" i="49" s="1"/>
  <c r="R227" i="19"/>
  <c r="T227" i="19"/>
  <c r="H226" i="49" s="1"/>
  <c r="I226" i="49" s="1"/>
  <c r="R261" i="19"/>
  <c r="T261" i="19"/>
  <c r="H260" i="49" s="1"/>
  <c r="I260" i="49" s="1"/>
  <c r="R290" i="19"/>
  <c r="T290" i="19"/>
  <c r="H289" i="49" s="1"/>
  <c r="I289" i="49" s="1"/>
  <c r="R307" i="19"/>
  <c r="T307" i="19"/>
  <c r="H306" i="49" s="1"/>
  <c r="I306" i="49" s="1"/>
  <c r="R31" i="19"/>
  <c r="T31" i="19"/>
  <c r="H30" i="49" s="1"/>
  <c r="I30" i="49" s="1"/>
  <c r="R63" i="19"/>
  <c r="T63" i="19"/>
  <c r="H62" i="49" s="1"/>
  <c r="I62" i="49" s="1"/>
  <c r="R87" i="19"/>
  <c r="T87" i="19"/>
  <c r="H86" i="49" s="1"/>
  <c r="I86" i="49" s="1"/>
  <c r="R110" i="19"/>
  <c r="T110" i="19"/>
  <c r="H109" i="49" s="1"/>
  <c r="I109" i="49" s="1"/>
  <c r="R137" i="19"/>
  <c r="T137" i="19"/>
  <c r="H136" i="49" s="1"/>
  <c r="I136" i="49" s="1"/>
  <c r="R155" i="19"/>
  <c r="T155" i="19"/>
  <c r="H154" i="49" s="1"/>
  <c r="I154" i="49" s="1"/>
  <c r="R176" i="19"/>
  <c r="T176" i="19"/>
  <c r="H175" i="49" s="1"/>
  <c r="I175" i="49" s="1"/>
  <c r="R191" i="19"/>
  <c r="T191" i="19"/>
  <c r="H190" i="49" s="1"/>
  <c r="I190" i="49" s="1"/>
  <c r="R211" i="19"/>
  <c r="T211" i="19"/>
  <c r="H210" i="49" s="1"/>
  <c r="I210" i="49" s="1"/>
  <c r="R232" i="19"/>
  <c r="T232" i="19"/>
  <c r="H231" i="49" s="1"/>
  <c r="I231" i="49" s="1"/>
  <c r="R266" i="19"/>
  <c r="T266" i="19"/>
  <c r="H265" i="49" s="1"/>
  <c r="I265" i="49" s="1"/>
  <c r="R283" i="19"/>
  <c r="T283" i="19"/>
  <c r="H282" i="49" s="1"/>
  <c r="I282" i="49" s="1"/>
  <c r="R303" i="19"/>
  <c r="T303" i="19"/>
  <c r="H302" i="49" s="1"/>
  <c r="I302" i="49" s="1"/>
  <c r="R318" i="19"/>
  <c r="T318" i="19"/>
  <c r="H317" i="49" s="1"/>
  <c r="I317" i="49" s="1"/>
  <c r="R103" i="19"/>
  <c r="T103" i="19"/>
  <c r="H102" i="49" s="1"/>
  <c r="I102" i="49" s="1"/>
  <c r="R123" i="19"/>
  <c r="T123" i="19"/>
  <c r="H122" i="49" s="1"/>
  <c r="I122" i="49" s="1"/>
  <c r="R138" i="19"/>
  <c r="T138" i="19"/>
  <c r="H137" i="49" s="1"/>
  <c r="I137" i="49" s="1"/>
  <c r="R192" i="19"/>
  <c r="T192" i="19"/>
  <c r="H191" i="49" s="1"/>
  <c r="I191" i="49" s="1"/>
  <c r="R208" i="19"/>
  <c r="T208" i="19"/>
  <c r="H207" i="49" s="1"/>
  <c r="I207" i="49" s="1"/>
  <c r="R224" i="19"/>
  <c r="T224" i="19"/>
  <c r="H223" i="49" s="1"/>
  <c r="I223" i="49" s="1"/>
  <c r="R255" i="19"/>
  <c r="T255" i="19"/>
  <c r="H254" i="49" s="1"/>
  <c r="I254" i="49" s="1"/>
  <c r="R280" i="19"/>
  <c r="T280" i="19"/>
  <c r="H279" i="49" s="1"/>
  <c r="I279" i="49" s="1"/>
  <c r="R296" i="19"/>
  <c r="T296" i="19"/>
  <c r="H295" i="49" s="1"/>
  <c r="I295" i="49" s="1"/>
  <c r="R315" i="19"/>
  <c r="T315" i="19"/>
  <c r="H314" i="49" s="1"/>
  <c r="I314" i="49" s="1"/>
  <c r="R105" i="19"/>
  <c r="T105" i="19"/>
  <c r="H104" i="49" s="1"/>
  <c r="I104" i="49" s="1"/>
  <c r="R152" i="19"/>
  <c r="T152" i="19"/>
  <c r="H151" i="49" s="1"/>
  <c r="I151" i="49" s="1"/>
  <c r="R34" i="19"/>
  <c r="T34" i="19"/>
  <c r="H33" i="49" s="1"/>
  <c r="I33" i="49" s="1"/>
  <c r="R130" i="19"/>
  <c r="T130" i="19"/>
  <c r="H129" i="49" s="1"/>
  <c r="I129" i="49" s="1"/>
  <c r="R8" i="19"/>
  <c r="T8" i="19"/>
  <c r="H7" i="49" s="1"/>
  <c r="I7" i="49" s="1"/>
  <c r="R183" i="19"/>
  <c r="T183" i="19"/>
  <c r="H182" i="49" s="1"/>
  <c r="I182" i="49" s="1"/>
  <c r="R304" i="19"/>
  <c r="T304" i="19"/>
  <c r="H303" i="49" s="1"/>
  <c r="I303" i="49" s="1"/>
  <c r="R205" i="19"/>
  <c r="T205" i="19"/>
  <c r="H204" i="49" s="1"/>
  <c r="I204" i="49" s="1"/>
  <c r="R42" i="19"/>
  <c r="T42" i="19"/>
  <c r="H41" i="49" s="1"/>
  <c r="I41" i="49" s="1"/>
  <c r="R253" i="19"/>
  <c r="T253" i="19"/>
  <c r="H252" i="49" s="1"/>
  <c r="I252" i="49" s="1"/>
  <c r="R89" i="19"/>
  <c r="T89" i="19"/>
  <c r="H88" i="49" s="1"/>
  <c r="I88" i="49" s="1"/>
  <c r="R260" i="19"/>
  <c r="T260" i="19"/>
  <c r="H259" i="49" s="1"/>
  <c r="I259" i="49" s="1"/>
  <c r="R44" i="19"/>
  <c r="T44" i="19"/>
  <c r="H43" i="49" s="1"/>
  <c r="I43" i="49" s="1"/>
  <c r="R51" i="19"/>
  <c r="T51" i="19"/>
  <c r="H50" i="49" s="1"/>
  <c r="I50" i="49" s="1"/>
  <c r="R83" i="19"/>
  <c r="T83" i="19"/>
  <c r="H82" i="49" s="1"/>
  <c r="I82" i="49" s="1"/>
  <c r="R240" i="19"/>
  <c r="T240" i="19"/>
  <c r="H239" i="49" s="1"/>
  <c r="I239" i="49" s="1"/>
  <c r="R22" i="19"/>
  <c r="U22" i="19" s="1"/>
  <c r="R27" i="19"/>
  <c r="T27" i="19"/>
  <c r="H26" i="49" s="1"/>
  <c r="I26" i="49" s="1"/>
  <c r="R74" i="19"/>
  <c r="T74" i="19"/>
  <c r="H73" i="49" s="1"/>
  <c r="I73" i="49" s="1"/>
  <c r="R93" i="19"/>
  <c r="T93" i="19"/>
  <c r="H92" i="49" s="1"/>
  <c r="I92" i="49" s="1"/>
  <c r="R135" i="19"/>
  <c r="T135" i="19"/>
  <c r="H134" i="49" s="1"/>
  <c r="I134" i="49" s="1"/>
  <c r="R221" i="19"/>
  <c r="T221" i="19"/>
  <c r="H220" i="49" s="1"/>
  <c r="I220" i="49" s="1"/>
  <c r="R239" i="19"/>
  <c r="T239" i="19"/>
  <c r="H238" i="49" s="1"/>
  <c r="I238" i="49" s="1"/>
  <c r="R273" i="19"/>
  <c r="T273" i="19"/>
  <c r="H272" i="49" s="1"/>
  <c r="I272" i="49" s="1"/>
  <c r="R324" i="19"/>
  <c r="T324" i="19"/>
  <c r="H323" i="49" s="1"/>
  <c r="I323" i="49" s="1"/>
  <c r="R106" i="19"/>
  <c r="T106" i="19"/>
  <c r="H105" i="49" s="1"/>
  <c r="I105" i="49" s="1"/>
  <c r="R153" i="19"/>
  <c r="T153" i="19"/>
  <c r="H152" i="49" s="1"/>
  <c r="I152" i="49" s="1"/>
  <c r="R186" i="19"/>
  <c r="T186" i="19"/>
  <c r="H185" i="49" s="1"/>
  <c r="I185" i="49" s="1"/>
  <c r="R218" i="19"/>
  <c r="T218" i="19"/>
  <c r="H217" i="49" s="1"/>
  <c r="I217" i="49" s="1"/>
  <c r="R231" i="19"/>
  <c r="T231" i="19"/>
  <c r="H230" i="49" s="1"/>
  <c r="I230" i="49" s="1"/>
  <c r="R265" i="19"/>
  <c r="T265" i="19"/>
  <c r="H264" i="49" s="1"/>
  <c r="I264" i="49" s="1"/>
  <c r="R278" i="19"/>
  <c r="T278" i="19"/>
  <c r="H277" i="49" s="1"/>
  <c r="I277" i="49" s="1"/>
  <c r="R294" i="19"/>
  <c r="T294" i="19"/>
  <c r="H293" i="49" s="1"/>
  <c r="I293" i="49" s="1"/>
  <c r="R67" i="19"/>
  <c r="T67" i="19"/>
  <c r="H66" i="49" s="1"/>
  <c r="I66" i="49" s="1"/>
  <c r="R90" i="19"/>
  <c r="T90" i="19"/>
  <c r="H89" i="49" s="1"/>
  <c r="I89" i="49" s="1"/>
  <c r="R114" i="19"/>
  <c r="T114" i="19"/>
  <c r="H113" i="49" s="1"/>
  <c r="I113" i="49" s="1"/>
  <c r="R141" i="19"/>
  <c r="T141" i="19"/>
  <c r="H140" i="49" s="1"/>
  <c r="I140" i="49" s="1"/>
  <c r="R159" i="19"/>
  <c r="T159" i="19"/>
  <c r="H158" i="49" s="1"/>
  <c r="I158" i="49" s="1"/>
  <c r="R179" i="19"/>
  <c r="T179" i="19"/>
  <c r="H178" i="49" s="1"/>
  <c r="I178" i="49" s="1"/>
  <c r="R199" i="19"/>
  <c r="T199" i="19"/>
  <c r="H198" i="49" s="1"/>
  <c r="I198" i="49" s="1"/>
  <c r="R215" i="19"/>
  <c r="T215" i="19"/>
  <c r="H214" i="49" s="1"/>
  <c r="I214" i="49" s="1"/>
  <c r="R236" i="19"/>
  <c r="T236" i="19"/>
  <c r="H235" i="49" s="1"/>
  <c r="I235" i="49" s="1"/>
  <c r="R254" i="19"/>
  <c r="T254" i="19"/>
  <c r="H253" i="49" s="1"/>
  <c r="I253" i="49" s="1"/>
  <c r="R271" i="19"/>
  <c r="T271" i="19"/>
  <c r="H270" i="49" s="1"/>
  <c r="I270" i="49" s="1"/>
  <c r="R291" i="19"/>
  <c r="T291" i="19"/>
  <c r="H290" i="49" s="1"/>
  <c r="I290" i="49" s="1"/>
  <c r="R308" i="19"/>
  <c r="T308" i="19"/>
  <c r="H307" i="49" s="1"/>
  <c r="I307" i="49" s="1"/>
  <c r="R18" i="19"/>
  <c r="T18" i="19"/>
  <c r="H17" i="49" s="1"/>
  <c r="I17" i="49" s="1"/>
  <c r="R54" i="19"/>
  <c r="T54" i="19"/>
  <c r="H53" i="49" s="1"/>
  <c r="I53" i="49" s="1"/>
  <c r="R111" i="19"/>
  <c r="T111" i="19"/>
  <c r="H110" i="49" s="1"/>
  <c r="I110" i="49" s="1"/>
  <c r="R143" i="19"/>
  <c r="T143" i="19"/>
  <c r="H142" i="49" s="1"/>
  <c r="I142" i="49" s="1"/>
  <c r="R172" i="19"/>
  <c r="T172" i="19"/>
  <c r="H171" i="49" s="1"/>
  <c r="I171" i="49" s="1"/>
  <c r="R196" i="19"/>
  <c r="T196" i="19"/>
  <c r="H195" i="49" s="1"/>
  <c r="I195" i="49" s="1"/>
  <c r="R229" i="19"/>
  <c r="T229" i="19"/>
  <c r="H228" i="49" s="1"/>
  <c r="I228" i="49" s="1"/>
  <c r="R242" i="19"/>
  <c r="T242" i="19"/>
  <c r="H241" i="49" s="1"/>
  <c r="I241" i="49" s="1"/>
  <c r="R259" i="19"/>
  <c r="T259" i="19"/>
  <c r="H258" i="49" s="1"/>
  <c r="I258" i="49" s="1"/>
  <c r="R284" i="19"/>
  <c r="T284" i="19"/>
  <c r="H283" i="49" s="1"/>
  <c r="I283" i="49" s="1"/>
  <c r="R300" i="19"/>
  <c r="T300" i="19"/>
  <c r="H299" i="49" s="1"/>
  <c r="I299" i="49" s="1"/>
  <c r="R319" i="19"/>
  <c r="T319" i="19"/>
  <c r="H318" i="49" s="1"/>
  <c r="I318" i="49" s="1"/>
  <c r="R65" i="19"/>
  <c r="T65" i="19"/>
  <c r="H64" i="49" s="1"/>
  <c r="I64" i="49" s="1"/>
  <c r="R139" i="19"/>
  <c r="T139" i="19"/>
  <c r="H138" i="49" s="1"/>
  <c r="I138" i="49" s="1"/>
  <c r="R161" i="19"/>
  <c r="T161" i="19"/>
  <c r="H160" i="49" s="1"/>
  <c r="I160" i="49" s="1"/>
  <c r="R209" i="19"/>
  <c r="T209" i="19"/>
  <c r="H208" i="49" s="1"/>
  <c r="I208" i="49" s="1"/>
  <c r="R306" i="19"/>
  <c r="T306" i="19"/>
  <c r="H305" i="49" s="1"/>
  <c r="I305" i="49" s="1"/>
  <c r="R35" i="19"/>
  <c r="T35" i="19"/>
  <c r="H34" i="49" s="1"/>
  <c r="I34" i="49" s="1"/>
  <c r="R154" i="19"/>
  <c r="T154" i="19"/>
  <c r="H153" i="49" s="1"/>
  <c r="I153" i="49" s="1"/>
  <c r="R118" i="19"/>
  <c r="T118" i="19"/>
  <c r="H117" i="49" s="1"/>
  <c r="I117" i="49" s="1"/>
  <c r="R187" i="19"/>
  <c r="T187" i="19"/>
  <c r="H186" i="49" s="1"/>
  <c r="I186" i="49" s="1"/>
  <c r="R19" i="19"/>
  <c r="T19" i="19"/>
  <c r="H18" i="49" s="1"/>
  <c r="I18" i="49" s="1"/>
  <c r="R178" i="19"/>
  <c r="T178" i="19"/>
  <c r="H177" i="49" s="1"/>
  <c r="I177" i="49" s="1"/>
  <c r="R244" i="19"/>
  <c r="T244" i="19"/>
  <c r="H243" i="49" s="1"/>
  <c r="I243" i="49" s="1"/>
  <c r="R217" i="19"/>
  <c r="T217" i="19"/>
  <c r="H216" i="49" s="1"/>
  <c r="I216" i="49" s="1"/>
  <c r="R113" i="19"/>
  <c r="T113" i="19"/>
  <c r="H112" i="49" s="1"/>
  <c r="I112" i="49" s="1"/>
  <c r="R256" i="19"/>
  <c r="T256" i="19"/>
  <c r="H255" i="49" s="1"/>
  <c r="I255" i="49" s="1"/>
  <c r="R316" i="19"/>
  <c r="T316" i="19"/>
  <c r="H315" i="49" s="1"/>
  <c r="I315" i="49" s="1"/>
  <c r="R45" i="19"/>
  <c r="T45" i="19"/>
  <c r="H44" i="49" s="1"/>
  <c r="I44" i="49" s="1"/>
  <c r="R94" i="19"/>
  <c r="T94" i="19"/>
  <c r="H93" i="49" s="1"/>
  <c r="I93" i="49" s="1"/>
  <c r="R100" i="19"/>
  <c r="T100" i="19"/>
  <c r="H99" i="49" s="1"/>
  <c r="I99" i="49" s="1"/>
  <c r="R276" i="19"/>
  <c r="T276" i="19"/>
  <c r="H275" i="49" s="1"/>
  <c r="I275" i="49" s="1"/>
  <c r="R24" i="19"/>
  <c r="T24" i="19"/>
  <c r="H23" i="49" s="1"/>
  <c r="I23" i="49" s="1"/>
  <c r="R28" i="19"/>
  <c r="T28" i="19"/>
  <c r="H27" i="49" s="1"/>
  <c r="I27" i="49" s="1"/>
  <c r="R156" i="19"/>
  <c r="T156" i="19"/>
  <c r="H155" i="49" s="1"/>
  <c r="I155" i="49" s="1"/>
  <c r="R170" i="19"/>
  <c r="T170" i="19"/>
  <c r="H169" i="49" s="1"/>
  <c r="I169" i="49" s="1"/>
  <c r="R248" i="19"/>
  <c r="T248" i="19"/>
  <c r="H247" i="49" s="1"/>
  <c r="I247" i="49" s="1"/>
  <c r="R98" i="19"/>
  <c r="T98" i="19"/>
  <c r="H97" i="49" s="1"/>
  <c r="I97" i="49" s="1"/>
  <c r="R157" i="19"/>
  <c r="T157" i="19"/>
  <c r="H156" i="49" s="1"/>
  <c r="I156" i="49" s="1"/>
  <c r="R225" i="19"/>
  <c r="T225" i="19"/>
  <c r="H224" i="49" s="1"/>
  <c r="I224" i="49" s="1"/>
  <c r="R66" i="19"/>
  <c r="T66" i="19"/>
  <c r="H65" i="49" s="1"/>
  <c r="I65" i="49" s="1"/>
  <c r="R117" i="19"/>
  <c r="T117" i="19"/>
  <c r="H116" i="49" s="1"/>
  <c r="I116" i="49" s="1"/>
  <c r="R190" i="19"/>
  <c r="T190" i="19"/>
  <c r="H189" i="49" s="1"/>
  <c r="I189" i="49" s="1"/>
  <c r="R206" i="19"/>
  <c r="T206" i="19"/>
  <c r="H205" i="49" s="1"/>
  <c r="I205" i="49" s="1"/>
  <c r="R222" i="19"/>
  <c r="T222" i="19"/>
  <c r="H221" i="49" s="1"/>
  <c r="I221" i="49" s="1"/>
  <c r="R269" i="19"/>
  <c r="T269" i="19"/>
  <c r="H268" i="49" s="1"/>
  <c r="I268" i="49" s="1"/>
  <c r="R38" i="19"/>
  <c r="T38" i="19"/>
  <c r="H37" i="49" s="1"/>
  <c r="I37" i="49" s="1"/>
  <c r="R95" i="19"/>
  <c r="T95" i="19"/>
  <c r="H94" i="49" s="1"/>
  <c r="I94" i="49" s="1"/>
  <c r="R122" i="19"/>
  <c r="T122" i="19"/>
  <c r="H121" i="49" s="1"/>
  <c r="I121" i="49" s="1"/>
  <c r="R146" i="19"/>
  <c r="T146" i="19"/>
  <c r="H145" i="49" s="1"/>
  <c r="I145" i="49" s="1"/>
  <c r="R163" i="19"/>
  <c r="T163" i="19"/>
  <c r="H162" i="49" s="1"/>
  <c r="I162" i="49" s="1"/>
  <c r="R203" i="19"/>
  <c r="T203" i="19"/>
  <c r="H202" i="49" s="1"/>
  <c r="I202" i="49" s="1"/>
  <c r="R219" i="19"/>
  <c r="T219" i="19"/>
  <c r="H218" i="49" s="1"/>
  <c r="I218" i="49" s="1"/>
  <c r="R241" i="19"/>
  <c r="T241" i="19"/>
  <c r="H240" i="49" s="1"/>
  <c r="I240" i="49" s="1"/>
  <c r="R258" i="19"/>
  <c r="T258" i="19"/>
  <c r="H257" i="49" s="1"/>
  <c r="I257" i="49" s="1"/>
  <c r="R295" i="19"/>
  <c r="T295" i="19"/>
  <c r="H294" i="49" s="1"/>
  <c r="I294" i="49" s="1"/>
  <c r="R310" i="19"/>
  <c r="T310" i="19"/>
  <c r="H309" i="49" s="1"/>
  <c r="I309" i="49" s="1"/>
  <c r="R10" i="19"/>
  <c r="T10" i="19"/>
  <c r="H9" i="49" s="1"/>
  <c r="I9" i="49" s="1"/>
  <c r="R23" i="19"/>
  <c r="T23" i="19"/>
  <c r="H22" i="49" s="1"/>
  <c r="I22" i="49" s="1"/>
  <c r="R58" i="19"/>
  <c r="T58" i="19"/>
  <c r="H57" i="49" s="1"/>
  <c r="I57" i="49" s="1"/>
  <c r="R133" i="19"/>
  <c r="T133" i="19"/>
  <c r="H132" i="49" s="1"/>
  <c r="I132" i="49" s="1"/>
  <c r="R147" i="19"/>
  <c r="T147" i="19"/>
  <c r="H146" i="49" s="1"/>
  <c r="I146" i="49" s="1"/>
  <c r="R184" i="19"/>
  <c r="T184" i="19"/>
  <c r="H183" i="49" s="1"/>
  <c r="I183" i="49" s="1"/>
  <c r="R200" i="19"/>
  <c r="T200" i="19"/>
  <c r="H199" i="49" s="1"/>
  <c r="I199" i="49" s="1"/>
  <c r="R216" i="19"/>
  <c r="T216" i="19"/>
  <c r="H215" i="49" s="1"/>
  <c r="I215" i="49" s="1"/>
  <c r="R247" i="19"/>
  <c r="T247" i="19"/>
  <c r="H246" i="49" s="1"/>
  <c r="I246" i="49" s="1"/>
  <c r="R263" i="19"/>
  <c r="T263" i="19"/>
  <c r="H262" i="49" s="1"/>
  <c r="I262" i="49" s="1"/>
  <c r="R288" i="19"/>
  <c r="T288" i="19"/>
  <c r="H287" i="49" s="1"/>
  <c r="I287" i="49" s="1"/>
  <c r="R321" i="19"/>
  <c r="T321" i="19"/>
  <c r="H320" i="49" s="1"/>
  <c r="I320" i="49" s="1"/>
  <c r="R70" i="19"/>
  <c r="T70" i="19"/>
  <c r="H69" i="49" s="1"/>
  <c r="I69" i="49" s="1"/>
  <c r="R185" i="19"/>
  <c r="T185" i="19"/>
  <c r="H184" i="49" s="1"/>
  <c r="I184" i="49" s="1"/>
  <c r="R312" i="19"/>
  <c r="T312" i="19"/>
  <c r="H311" i="49" s="1"/>
  <c r="I311" i="49" s="1"/>
  <c r="R235" i="19"/>
  <c r="T235" i="19"/>
  <c r="H234" i="49" s="1"/>
  <c r="I234" i="49" s="1"/>
  <c r="R132" i="19"/>
  <c r="T132" i="19"/>
  <c r="H131" i="49" s="1"/>
  <c r="I131" i="49" s="1"/>
  <c r="R228" i="19"/>
  <c r="T228" i="19"/>
  <c r="H227" i="49" s="1"/>
  <c r="I227" i="49" s="1"/>
  <c r="R97" i="19"/>
  <c r="T97" i="19"/>
  <c r="H96" i="49" s="1"/>
  <c r="I96" i="49" s="1"/>
  <c r="R180" i="19"/>
  <c r="T180" i="19"/>
  <c r="H179" i="49" s="1"/>
  <c r="I179" i="49" s="1"/>
  <c r="R317" i="19"/>
  <c r="T317" i="19"/>
  <c r="H316" i="49" s="1"/>
  <c r="I316" i="49" s="1"/>
  <c r="R301" i="19"/>
  <c r="T301" i="19"/>
  <c r="H300" i="49" s="1"/>
  <c r="I300" i="49" s="1"/>
  <c r="R125" i="19"/>
  <c r="T125" i="19"/>
  <c r="H124" i="49" s="1"/>
  <c r="I124" i="49" s="1"/>
  <c r="R281" i="19"/>
  <c r="T281" i="19"/>
  <c r="H280" i="49" s="1"/>
  <c r="I280" i="49" s="1"/>
  <c r="R30" i="19"/>
  <c r="T30" i="19"/>
  <c r="H29" i="49" s="1"/>
  <c r="I29" i="49" s="1"/>
  <c r="R46" i="19"/>
  <c r="T46" i="19"/>
  <c r="H45" i="49" s="1"/>
  <c r="I45" i="49" s="1"/>
  <c r="R75" i="19"/>
  <c r="T75" i="19"/>
  <c r="H74" i="49" s="1"/>
  <c r="I74" i="49" s="1"/>
  <c r="R195" i="19"/>
  <c r="T195" i="19"/>
  <c r="H194" i="49" s="1"/>
  <c r="I194" i="49" s="1"/>
  <c r="R25" i="19"/>
  <c r="T25" i="19"/>
  <c r="H24" i="49" s="1"/>
  <c r="I24" i="49" s="1"/>
  <c r="R165" i="19"/>
  <c r="T165" i="19"/>
  <c r="H164" i="49" s="1"/>
  <c r="I164" i="49" s="1"/>
  <c r="R47" i="19"/>
  <c r="T47" i="19"/>
  <c r="H46" i="49" s="1"/>
  <c r="I46" i="49" s="1"/>
  <c r="R82" i="19"/>
  <c r="T82" i="19"/>
  <c r="H81" i="49" s="1"/>
  <c r="I81" i="49" s="1"/>
  <c r="R171" i="19"/>
  <c r="T171" i="19"/>
  <c r="H170" i="49" s="1"/>
  <c r="I170" i="49" s="1"/>
  <c r="R252" i="19"/>
  <c r="T252" i="19"/>
  <c r="H251" i="49" s="1"/>
  <c r="I251" i="49" s="1"/>
  <c r="R71" i="19"/>
  <c r="T71" i="19"/>
  <c r="H70" i="49" s="1"/>
  <c r="I70" i="49" s="1"/>
  <c r="R121" i="19"/>
  <c r="T121" i="19"/>
  <c r="H120" i="49" s="1"/>
  <c r="I120" i="49" s="1"/>
  <c r="R145" i="19"/>
  <c r="T145" i="19"/>
  <c r="H144" i="49" s="1"/>
  <c r="I144" i="49" s="1"/>
  <c r="R162" i="19"/>
  <c r="T162" i="19"/>
  <c r="H161" i="49" s="1"/>
  <c r="I161" i="49" s="1"/>
  <c r="R194" i="19"/>
  <c r="T194" i="19"/>
  <c r="H193" i="49" s="1"/>
  <c r="I193" i="49" s="1"/>
  <c r="R210" i="19"/>
  <c r="T210" i="19"/>
  <c r="H209" i="49" s="1"/>
  <c r="I209" i="49" s="1"/>
  <c r="R270" i="19"/>
  <c r="T270" i="19"/>
  <c r="H269" i="49" s="1"/>
  <c r="I269" i="49" s="1"/>
  <c r="R286" i="19"/>
  <c r="T286" i="19"/>
  <c r="H285" i="49" s="1"/>
  <c r="I285" i="49" s="1"/>
  <c r="R302" i="19"/>
  <c r="T302" i="19"/>
  <c r="H301" i="49" s="1"/>
  <c r="I301" i="49" s="1"/>
  <c r="R39" i="19"/>
  <c r="T39" i="19"/>
  <c r="H38" i="49" s="1"/>
  <c r="I38" i="49" s="1"/>
  <c r="R62" i="19"/>
  <c r="T62" i="19"/>
  <c r="H61" i="49" s="1"/>
  <c r="I61" i="49" s="1"/>
  <c r="R150" i="19"/>
  <c r="T150" i="19"/>
  <c r="H149" i="49" s="1"/>
  <c r="I149" i="49" s="1"/>
  <c r="R168" i="19"/>
  <c r="T168" i="19"/>
  <c r="H167" i="49" s="1"/>
  <c r="I167" i="49" s="1"/>
  <c r="R207" i="19"/>
  <c r="T207" i="19"/>
  <c r="H206" i="49" s="1"/>
  <c r="I206" i="49" s="1"/>
  <c r="R223" i="19"/>
  <c r="T223" i="19"/>
  <c r="H222" i="49" s="1"/>
  <c r="I222" i="49" s="1"/>
  <c r="R246" i="19"/>
  <c r="T246" i="19"/>
  <c r="H245" i="49" s="1"/>
  <c r="I245" i="49" s="1"/>
  <c r="R262" i="19"/>
  <c r="T262" i="19"/>
  <c r="H261" i="49" s="1"/>
  <c r="I261" i="49" s="1"/>
  <c r="R279" i="19"/>
  <c r="T279" i="19"/>
  <c r="H278" i="49" s="1"/>
  <c r="I278" i="49" s="1"/>
  <c r="R299" i="19"/>
  <c r="T299" i="19"/>
  <c r="H298" i="49" s="1"/>
  <c r="I298" i="49" s="1"/>
  <c r="R314" i="19"/>
  <c r="T314" i="19"/>
  <c r="H313" i="49" s="1"/>
  <c r="I313" i="49" s="1"/>
  <c r="R59" i="19"/>
  <c r="T59" i="19"/>
  <c r="H58" i="49" s="1"/>
  <c r="I58" i="49" s="1"/>
  <c r="R77" i="19"/>
  <c r="T77" i="19"/>
  <c r="H76" i="49" s="1"/>
  <c r="I76" i="49" s="1"/>
  <c r="R101" i="19"/>
  <c r="T101" i="19"/>
  <c r="H100" i="49" s="1"/>
  <c r="I100" i="49" s="1"/>
  <c r="R119" i="19"/>
  <c r="T119" i="19"/>
  <c r="H118" i="49" s="1"/>
  <c r="I118" i="49" s="1"/>
  <c r="R134" i="19"/>
  <c r="T134" i="19"/>
  <c r="H133" i="49" s="1"/>
  <c r="I133" i="49" s="1"/>
  <c r="R160" i="19"/>
  <c r="T160" i="19"/>
  <c r="H159" i="49" s="1"/>
  <c r="I159" i="49" s="1"/>
  <c r="R188" i="19"/>
  <c r="T188" i="19"/>
  <c r="H187" i="49" s="1"/>
  <c r="I187" i="49" s="1"/>
  <c r="R204" i="19"/>
  <c r="T204" i="19"/>
  <c r="H203" i="49" s="1"/>
  <c r="I203" i="49" s="1"/>
  <c r="R220" i="19"/>
  <c r="T220" i="19"/>
  <c r="H219" i="49" s="1"/>
  <c r="I219" i="49" s="1"/>
  <c r="R251" i="19"/>
  <c r="T251" i="19"/>
  <c r="H250" i="49" s="1"/>
  <c r="I250" i="49" s="1"/>
  <c r="R267" i="19"/>
  <c r="T267" i="19"/>
  <c r="H266" i="49" s="1"/>
  <c r="I266" i="49" s="1"/>
  <c r="R292" i="19"/>
  <c r="T292" i="19"/>
  <c r="H291" i="49" s="1"/>
  <c r="I291" i="49" s="1"/>
  <c r="R311" i="19"/>
  <c r="T311" i="19"/>
  <c r="H310" i="49" s="1"/>
  <c r="I310" i="49" s="1"/>
  <c r="R102" i="19"/>
  <c r="T102" i="19"/>
  <c r="H101" i="49" s="1"/>
  <c r="I101" i="49" s="1"/>
  <c r="R148" i="19"/>
  <c r="T148" i="19"/>
  <c r="H147" i="49" s="1"/>
  <c r="I147" i="49" s="1"/>
  <c r="R193" i="19"/>
  <c r="T193" i="19"/>
  <c r="H192" i="49" s="1"/>
  <c r="I192" i="49" s="1"/>
  <c r="R277" i="19"/>
  <c r="T277" i="19"/>
  <c r="H276" i="49" s="1"/>
  <c r="I276" i="49" s="1"/>
  <c r="R320" i="19"/>
  <c r="T320" i="19"/>
  <c r="H319" i="49" s="1"/>
  <c r="I319" i="49" s="1"/>
  <c r="R41" i="19"/>
  <c r="T41" i="19"/>
  <c r="H40" i="49" s="1"/>
  <c r="I40" i="49" s="1"/>
  <c r="R323" i="19"/>
  <c r="T323" i="19"/>
  <c r="H322" i="49" s="1"/>
  <c r="I322" i="49" s="1"/>
  <c r="R169" i="19"/>
  <c r="T169" i="19"/>
  <c r="H168" i="49" s="1"/>
  <c r="I168" i="49" s="1"/>
  <c r="R287" i="19"/>
  <c r="T287" i="19"/>
  <c r="H286" i="49" s="1"/>
  <c r="I286" i="49" s="1"/>
  <c r="R173" i="19"/>
  <c r="T173" i="19"/>
  <c r="H172" i="49" s="1"/>
  <c r="I172" i="49" s="1"/>
  <c r="R272" i="19"/>
  <c r="T272" i="19"/>
  <c r="H271" i="49" s="1"/>
  <c r="I271" i="49" s="1"/>
  <c r="R142" i="19"/>
  <c r="T142" i="19"/>
  <c r="H141" i="49" s="1"/>
  <c r="I141" i="49" s="1"/>
  <c r="R322" i="19"/>
  <c r="T322" i="19"/>
  <c r="H321" i="49" s="1"/>
  <c r="I321" i="49" s="1"/>
  <c r="R43" i="19"/>
  <c r="T43" i="19"/>
  <c r="H42" i="49" s="1"/>
  <c r="I42" i="49" s="1"/>
  <c r="R174" i="19"/>
  <c r="T174" i="19"/>
  <c r="H173" i="49" s="1"/>
  <c r="I173" i="49" s="1"/>
  <c r="R11" i="19"/>
  <c r="T11" i="19"/>
  <c r="H10" i="49" s="1"/>
  <c r="I10" i="49" s="1"/>
  <c r="R50" i="19"/>
  <c r="T50" i="19"/>
  <c r="H49" i="49" s="1"/>
  <c r="I49" i="49" s="1"/>
  <c r="R79" i="19"/>
  <c r="T79" i="19"/>
  <c r="H78" i="49" s="1"/>
  <c r="I78" i="49" s="1"/>
  <c r="R109" i="19"/>
  <c r="T109" i="19"/>
  <c r="H108" i="49" s="1"/>
  <c r="I108" i="49" s="1"/>
  <c r="R7" i="19"/>
  <c r="T7" i="19"/>
  <c r="H6" i="49" s="1"/>
  <c r="I6" i="49" s="1"/>
  <c r="R21" i="19"/>
  <c r="T21" i="19"/>
  <c r="H20" i="49" s="1"/>
  <c r="I20" i="49" s="1"/>
  <c r="R26" i="19"/>
  <c r="T26" i="19"/>
  <c r="H25" i="49" s="1"/>
  <c r="I25" i="49" s="1"/>
  <c r="R264" i="19"/>
  <c r="T264" i="19"/>
  <c r="H263" i="49" s="1"/>
  <c r="I263" i="49" s="1"/>
  <c r="H269" i="32"/>
  <c r="D275" i="9" s="1"/>
  <c r="H118" i="32"/>
  <c r="D124" i="9" s="1"/>
  <c r="E24" i="32"/>
  <c r="E110" i="32"/>
  <c r="H66" i="32"/>
  <c r="D72" i="9" s="1"/>
  <c r="E242" i="32"/>
  <c r="E320" i="32"/>
  <c r="E72" i="32"/>
  <c r="H210" i="32"/>
  <c r="D216" i="9" s="1"/>
  <c r="H240" i="32"/>
  <c r="D246" i="9" s="1"/>
  <c r="E315" i="32"/>
  <c r="E214" i="32"/>
  <c r="E155" i="32"/>
  <c r="H38" i="32"/>
  <c r="D44" i="9" s="1"/>
  <c r="H309" i="32"/>
  <c r="D315" i="9" s="1"/>
  <c r="H70" i="32"/>
  <c r="D76" i="9" s="1"/>
  <c r="E291" i="32"/>
  <c r="E19" i="32"/>
  <c r="H105" i="32"/>
  <c r="D111" i="9" s="1"/>
  <c r="H89" i="32"/>
  <c r="D95" i="9" s="1"/>
  <c r="H74" i="32"/>
  <c r="D80" i="9" s="1"/>
  <c r="H228" i="32"/>
  <c r="D234" i="9" s="1"/>
  <c r="E279" i="32"/>
  <c r="H45" i="32"/>
  <c r="D51" i="9" s="1"/>
  <c r="H128" i="32"/>
  <c r="D134" i="9" s="1"/>
  <c r="H91" i="32"/>
  <c r="D97" i="9" s="1"/>
  <c r="H48" i="32"/>
  <c r="D54" i="9" s="1"/>
  <c r="H172" i="32"/>
  <c r="D178" i="9" s="1"/>
  <c r="H182" i="32"/>
  <c r="D188" i="9" s="1"/>
  <c r="E52" i="32"/>
  <c r="E222" i="32"/>
  <c r="E312" i="32"/>
  <c r="E223" i="32"/>
  <c r="H100" i="32"/>
  <c r="D106" i="9" s="1"/>
  <c r="E20" i="32"/>
  <c r="E227" i="32"/>
  <c r="H275" i="32"/>
  <c r="D281" i="9" s="1"/>
  <c r="H250" i="32"/>
  <c r="D256" i="9" s="1"/>
  <c r="H42" i="32"/>
  <c r="D48" i="9" s="1"/>
  <c r="E265" i="32"/>
  <c r="H76" i="32"/>
  <c r="D82" i="9" s="1"/>
  <c r="H114" i="32"/>
  <c r="D120" i="9" s="1"/>
  <c r="H253" i="32"/>
  <c r="D259" i="9" s="1"/>
  <c r="H51" i="32"/>
  <c r="D57" i="9" s="1"/>
  <c r="H8" i="32"/>
  <c r="D14" i="9" s="1"/>
  <c r="H154" i="32"/>
  <c r="D160" i="9" s="1"/>
  <c r="H274" i="32"/>
  <c r="D280" i="9" s="1"/>
  <c r="H57" i="32"/>
  <c r="D63" i="9" s="1"/>
  <c r="H145" i="32"/>
  <c r="D151" i="9" s="1"/>
  <c r="H121" i="32"/>
  <c r="D127" i="9" s="1"/>
  <c r="E13" i="32"/>
  <c r="H33" i="32"/>
  <c r="D39" i="9" s="1"/>
  <c r="H302" i="32"/>
  <c r="D308" i="9" s="1"/>
  <c r="H246" i="32"/>
  <c r="D252" i="9" s="1"/>
  <c r="H221" i="32"/>
  <c r="D227" i="9" s="1"/>
  <c r="H219" i="32"/>
  <c r="D225" i="9" s="1"/>
  <c r="H303" i="32"/>
  <c r="D309" i="9" s="1"/>
  <c r="H236" i="32"/>
  <c r="D242" i="9" s="1"/>
  <c r="H206" i="32"/>
  <c r="D212" i="9" s="1"/>
  <c r="E270" i="32"/>
  <c r="E283" i="32"/>
  <c r="E40" i="32"/>
  <c r="E39" i="32"/>
  <c r="E68" i="32"/>
  <c r="H124" i="32"/>
  <c r="D130" i="9" s="1"/>
  <c r="H22" i="32"/>
  <c r="D28" i="9" s="1"/>
  <c r="H61" i="32"/>
  <c r="D67" i="9" s="1"/>
  <c r="H187" i="32"/>
  <c r="D193" i="9" s="1"/>
  <c r="H65" i="32"/>
  <c r="D71" i="9" s="1"/>
  <c r="E53" i="32"/>
  <c r="E304" i="32"/>
  <c r="E58" i="32"/>
  <c r="E245" i="32"/>
  <c r="E199" i="32"/>
  <c r="H56" i="32"/>
  <c r="D62" i="9" s="1"/>
  <c r="E104" i="32"/>
  <c r="H195" i="32"/>
  <c r="D201" i="9" s="1"/>
  <c r="H47" i="32"/>
  <c r="D53" i="9" s="1"/>
  <c r="E231" i="32"/>
  <c r="E159" i="32"/>
  <c r="H62" i="32"/>
  <c r="D68" i="9" s="1"/>
  <c r="H266" i="32"/>
  <c r="D272" i="9" s="1"/>
  <c r="E79" i="32"/>
  <c r="E102" i="32"/>
  <c r="E287" i="32"/>
  <c r="H234" i="32"/>
  <c r="D240" i="9" s="1"/>
  <c r="E278" i="32"/>
  <c r="H106" i="32"/>
  <c r="D112" i="9" s="1"/>
  <c r="C5" i="32"/>
  <c r="E5" i="32" s="1"/>
  <c r="Y325" i="19"/>
  <c r="H120" i="32"/>
  <c r="D126" i="9" s="1"/>
  <c r="H11" i="32"/>
  <c r="D17" i="9" s="1"/>
  <c r="H251" i="32"/>
  <c r="D257" i="9" s="1"/>
  <c r="H217" i="32"/>
  <c r="D223" i="9" s="1"/>
  <c r="H308" i="32"/>
  <c r="D314" i="9" s="1"/>
  <c r="H189" i="32"/>
  <c r="D195" i="9" s="1"/>
  <c r="H264" i="32"/>
  <c r="D270" i="9" s="1"/>
  <c r="H205" i="32"/>
  <c r="D211" i="9" s="1"/>
  <c r="H252" i="32"/>
  <c r="D258" i="9" s="1"/>
  <c r="H10" i="32"/>
  <c r="D16" i="9" s="1"/>
  <c r="H256" i="32"/>
  <c r="D262" i="9" s="1"/>
  <c r="H69" i="32"/>
  <c r="D75" i="9" s="1"/>
  <c r="H134" i="32"/>
  <c r="D140" i="9" s="1"/>
  <c r="H175" i="32"/>
  <c r="D181" i="9" s="1"/>
  <c r="H34" i="32"/>
  <c r="D40" i="9" s="1"/>
  <c r="H197" i="32"/>
  <c r="D203" i="9" s="1"/>
  <c r="H94" i="32"/>
  <c r="D100" i="9" s="1"/>
  <c r="H186" i="32"/>
  <c r="D192" i="9" s="1"/>
  <c r="E249" i="32"/>
  <c r="R9" i="19"/>
  <c r="H146" i="32"/>
  <c r="D152" i="9" s="1"/>
  <c r="H263" i="32"/>
  <c r="D269" i="9" s="1"/>
  <c r="H112" i="32"/>
  <c r="D118" i="9" s="1"/>
  <c r="H290" i="32"/>
  <c r="D296" i="9" s="1"/>
  <c r="H82" i="32"/>
  <c r="D88" i="9" s="1"/>
  <c r="E18" i="32"/>
  <c r="H50" i="32"/>
  <c r="D56" i="9" s="1"/>
  <c r="H41" i="32"/>
  <c r="D47" i="9" s="1"/>
  <c r="H153" i="32"/>
  <c r="D159" i="9" s="1"/>
  <c r="H23" i="32"/>
  <c r="D29" i="9" s="1"/>
  <c r="H229" i="32"/>
  <c r="D235" i="9" s="1"/>
  <c r="H88" i="32"/>
  <c r="D94" i="9" s="1"/>
  <c r="H262" i="32"/>
  <c r="D268" i="9" s="1"/>
  <c r="E174" i="32"/>
  <c r="R17" i="19"/>
  <c r="F16" i="49" s="1"/>
  <c r="R116" i="19"/>
  <c r="R61" i="19"/>
  <c r="F60" i="49" s="1"/>
  <c r="R274" i="19"/>
  <c r="R12" i="19"/>
  <c r="F11" i="49" s="1"/>
  <c r="R197" i="19"/>
  <c r="F196" i="49" s="1"/>
  <c r="R297" i="19"/>
  <c r="F296" i="49" s="1"/>
  <c r="R56" i="19"/>
  <c r="H316" i="32"/>
  <c r="D322" i="9" s="1"/>
  <c r="H260" i="32"/>
  <c r="D266" i="9" s="1"/>
  <c r="H133" i="32"/>
  <c r="D139" i="9" s="1"/>
  <c r="R243" i="19"/>
  <c r="F242" i="49" s="1"/>
  <c r="R16" i="19"/>
  <c r="F15" i="49" s="1"/>
  <c r="R202" i="19"/>
  <c r="F201" i="49" s="1"/>
  <c r="R32" i="19"/>
  <c r="F31" i="49" s="1"/>
  <c r="R14" i="19"/>
  <c r="F13" i="49" s="1"/>
  <c r="R64" i="19"/>
  <c r="R131" i="19"/>
  <c r="F130" i="49" s="1"/>
  <c r="E273" i="32"/>
  <c r="E131" i="32"/>
  <c r="H212" i="32"/>
  <c r="D218" i="9" s="1"/>
  <c r="H267" i="32"/>
  <c r="D273" i="9" s="1"/>
  <c r="H244" i="32"/>
  <c r="D250" i="9" s="1"/>
  <c r="R92" i="19"/>
  <c r="F91" i="49" s="1"/>
  <c r="R128" i="19"/>
  <c r="F127" i="49" s="1"/>
  <c r="R189" i="19"/>
  <c r="F188" i="49" s="1"/>
  <c r="R268" i="19"/>
  <c r="F267" i="49" s="1"/>
  <c r="R49" i="19"/>
  <c r="F48" i="49" s="1"/>
  <c r="R226" i="19"/>
  <c r="R257" i="19"/>
  <c r="F256" i="49" s="1"/>
  <c r="R15" i="19"/>
  <c r="F14" i="49" s="1"/>
  <c r="R76" i="19"/>
  <c r="F75" i="49" s="1"/>
  <c r="R86" i="19"/>
  <c r="F85" i="49" s="1"/>
  <c r="R96" i="19"/>
  <c r="F95" i="49" s="1"/>
  <c r="R126" i="19"/>
  <c r="F125" i="49" s="1"/>
  <c r="R182" i="19"/>
  <c r="F181" i="49" s="1"/>
  <c r="R73" i="19"/>
  <c r="F72" i="49" s="1"/>
  <c r="R91" i="19"/>
  <c r="F90" i="49" s="1"/>
  <c r="R115" i="19"/>
  <c r="F114" i="49" s="1"/>
  <c r="R233" i="19"/>
  <c r="F232" i="49" s="1"/>
  <c r="R305" i="19"/>
  <c r="F304" i="49" s="1"/>
  <c r="R107" i="19"/>
  <c r="F106" i="49" s="1"/>
  <c r="R20" i="19"/>
  <c r="F19" i="49" s="1"/>
  <c r="R201" i="19"/>
  <c r="F200" i="49" s="1"/>
  <c r="R52" i="19"/>
  <c r="F51" i="49" s="1"/>
  <c r="R80" i="19"/>
  <c r="F79" i="49" s="1"/>
  <c r="R250" i="19"/>
  <c r="F249" i="49" s="1"/>
  <c r="R29" i="19"/>
  <c r="F28" i="49" s="1"/>
  <c r="R237" i="19"/>
  <c r="F236" i="49" s="1"/>
  <c r="R60" i="19"/>
  <c r="F59" i="49" s="1"/>
  <c r="R166" i="19"/>
  <c r="F165" i="49" s="1"/>
  <c r="H15" i="32"/>
  <c r="D21" i="9" s="1"/>
  <c r="R36" i="19"/>
  <c r="F35" i="49" s="1"/>
  <c r="R78" i="19"/>
  <c r="F77" i="49" s="1"/>
  <c r="R120" i="19"/>
  <c r="F119" i="49" s="1"/>
  <c r="R285" i="19"/>
  <c r="F284" i="49" s="1"/>
  <c r="R136" i="19"/>
  <c r="R309" i="19"/>
  <c r="F308" i="49" s="1"/>
  <c r="R53" i="19"/>
  <c r="F52" i="49" s="1"/>
  <c r="R84" i="19"/>
  <c r="F83" i="49" s="1"/>
  <c r="R37" i="19"/>
  <c r="R81" i="19"/>
  <c r="F80" i="49" s="1"/>
  <c r="R164" i="19"/>
  <c r="F163" i="49" s="1"/>
  <c r="R238" i="19"/>
  <c r="F237" i="49" s="1"/>
  <c r="R177" i="19"/>
  <c r="F176" i="49" s="1"/>
  <c r="R245" i="19"/>
  <c r="F244" i="49" s="1"/>
  <c r="R167" i="19"/>
  <c r="F166" i="49" s="1"/>
  <c r="E213" i="32"/>
  <c r="H204" i="32"/>
  <c r="D210" i="9" s="1"/>
  <c r="H97" i="32"/>
  <c r="D103" i="9" s="1"/>
  <c r="H103" i="32"/>
  <c r="D109" i="9" s="1"/>
  <c r="H277" i="32"/>
  <c r="D283" i="9" s="1"/>
  <c r="H215" i="32"/>
  <c r="D221" i="9" s="1"/>
  <c r="H230" i="32"/>
  <c r="D236" i="9" s="1"/>
  <c r="R104" i="19"/>
  <c r="R124" i="19"/>
  <c r="F123" i="49" s="1"/>
  <c r="R230" i="19"/>
  <c r="F229" i="49" s="1"/>
  <c r="R289" i="19"/>
  <c r="F288" i="49" s="1"/>
  <c r="R33" i="19"/>
  <c r="F32" i="49" s="1"/>
  <c r="R140" i="19"/>
  <c r="F139" i="49" s="1"/>
  <c r="R158" i="19"/>
  <c r="F157" i="49" s="1"/>
  <c r="R249" i="19"/>
  <c r="F248" i="49" s="1"/>
  <c r="R282" i="19"/>
  <c r="R298" i="19"/>
  <c r="F297" i="49" s="1"/>
  <c r="R313" i="19"/>
  <c r="R57" i="19"/>
  <c r="F56" i="49" s="1"/>
  <c r="R72" i="19"/>
  <c r="R85" i="19"/>
  <c r="F84" i="49" s="1"/>
  <c r="R181" i="19"/>
  <c r="F180" i="49" s="1"/>
  <c r="R275" i="19"/>
  <c r="F274" i="49" s="1"/>
  <c r="R68" i="19"/>
  <c r="F67" i="49" s="1"/>
  <c r="R69" i="19"/>
  <c r="F68" i="49" s="1"/>
  <c r="R88" i="19"/>
  <c r="R127" i="19"/>
  <c r="F126" i="49" s="1"/>
  <c r="R212" i="19"/>
  <c r="F211" i="49" s="1"/>
  <c r="R48" i="19"/>
  <c r="F47" i="49" s="1"/>
  <c r="R144" i="19"/>
  <c r="F143" i="49" s="1"/>
  <c r="R213" i="19"/>
  <c r="F212" i="49" s="1"/>
  <c r="R40" i="19"/>
  <c r="F39" i="49" s="1"/>
  <c r="R108" i="19"/>
  <c r="F107" i="49" s="1"/>
  <c r="R151" i="19"/>
  <c r="F150" i="49" s="1"/>
  <c r="H98" i="32"/>
  <c r="D104" i="9" s="1"/>
  <c r="H157" i="32"/>
  <c r="D163" i="9" s="1"/>
  <c r="H152" i="32"/>
  <c r="D158" i="9" s="1"/>
  <c r="E198" i="32"/>
  <c r="H293" i="32"/>
  <c r="D299" i="9" s="1"/>
  <c r="H226" i="32"/>
  <c r="D232" i="9" s="1"/>
  <c r="H87" i="32"/>
  <c r="D93" i="9" s="1"/>
  <c r="H17" i="32"/>
  <c r="D23" i="9" s="1"/>
  <c r="H7" i="32"/>
  <c r="D13" i="9" s="1"/>
  <c r="H27" i="32"/>
  <c r="D33" i="9" s="1"/>
  <c r="H142" i="32"/>
  <c r="D148" i="9" s="1"/>
  <c r="H78" i="32"/>
  <c r="D84" i="9" s="1"/>
  <c r="H108" i="32"/>
  <c r="D114" i="9" s="1"/>
  <c r="H248" i="32"/>
  <c r="D254" i="9" s="1"/>
  <c r="H161" i="32"/>
  <c r="D167" i="9" s="1"/>
  <c r="H192" i="32"/>
  <c r="D198" i="9" s="1"/>
  <c r="H297" i="32"/>
  <c r="D303" i="9" s="1"/>
  <c r="H6" i="32"/>
  <c r="D12" i="9" s="1"/>
  <c r="H25" i="32"/>
  <c r="D31" i="9" s="1"/>
  <c r="H288" i="32"/>
  <c r="D294" i="9" s="1"/>
  <c r="H218" i="32"/>
  <c r="D224" i="9" s="1"/>
  <c r="H299" i="32"/>
  <c r="D305" i="9" s="1"/>
  <c r="H156" i="32"/>
  <c r="D162" i="9" s="1"/>
  <c r="H127" i="32"/>
  <c r="D133" i="9" s="1"/>
  <c r="E298" i="32"/>
  <c r="E71" i="32"/>
  <c r="H129" i="32"/>
  <c r="D135" i="9" s="1"/>
  <c r="H314" i="32"/>
  <c r="D320" i="9" s="1"/>
  <c r="H285" i="32"/>
  <c r="D291" i="9" s="1"/>
  <c r="H35" i="32"/>
  <c r="D41" i="9" s="1"/>
  <c r="H109" i="32"/>
  <c r="D115" i="9" s="1"/>
  <c r="H225" i="32"/>
  <c r="D231" i="9" s="1"/>
  <c r="H281" i="32"/>
  <c r="D287" i="9" s="1"/>
  <c r="H135" i="32"/>
  <c r="D141" i="9" s="1"/>
  <c r="H90" i="32"/>
  <c r="D96" i="9" s="1"/>
  <c r="H49" i="32"/>
  <c r="D55" i="9" s="1"/>
  <c r="H123" i="32"/>
  <c r="D129" i="9" s="1"/>
  <c r="H148" i="32"/>
  <c r="D154" i="9" s="1"/>
  <c r="H193" i="32"/>
  <c r="D199" i="9" s="1"/>
  <c r="H77" i="32"/>
  <c r="D83" i="9" s="1"/>
  <c r="H32" i="32"/>
  <c r="D38" i="9" s="1"/>
  <c r="H292" i="32"/>
  <c r="D298" i="9" s="1"/>
  <c r="H238" i="32"/>
  <c r="D244" i="9" s="1"/>
  <c r="H180" i="32"/>
  <c r="D186" i="9" s="1"/>
  <c r="H317" i="32"/>
  <c r="D323" i="9" s="1"/>
  <c r="H300" i="32"/>
  <c r="D306" i="9" s="1"/>
  <c r="H46" i="32"/>
  <c r="D52" i="9" s="1"/>
  <c r="H115" i="32"/>
  <c r="D121" i="9" s="1"/>
  <c r="H30" i="32"/>
  <c r="D36" i="9" s="1"/>
  <c r="H99" i="32"/>
  <c r="D105" i="9" s="1"/>
  <c r="H144" i="32"/>
  <c r="D150" i="9" s="1"/>
  <c r="H286" i="32"/>
  <c r="D292" i="9" s="1"/>
  <c r="H173" i="32"/>
  <c r="D179" i="9" s="1"/>
  <c r="H268" i="32"/>
  <c r="D274" i="9" s="1"/>
  <c r="H9" i="32"/>
  <c r="D15" i="9" s="1"/>
  <c r="H31" i="32"/>
  <c r="D37" i="9" s="1"/>
  <c r="H196" i="32"/>
  <c r="D202" i="9" s="1"/>
  <c r="H75" i="32"/>
  <c r="D81" i="9" s="1"/>
  <c r="H237" i="32"/>
  <c r="D243" i="9" s="1"/>
  <c r="H119" i="32"/>
  <c r="D125" i="9" s="1"/>
  <c r="H12" i="32"/>
  <c r="D18" i="9" s="1"/>
  <c r="H280" i="32"/>
  <c r="D286" i="9" s="1"/>
  <c r="H201" i="32"/>
  <c r="D207" i="9" s="1"/>
  <c r="H14" i="32"/>
  <c r="D20" i="9" s="1"/>
  <c r="H178" i="32"/>
  <c r="D184" i="9" s="1"/>
  <c r="H63" i="32"/>
  <c r="D69" i="9" s="1"/>
  <c r="E211" i="32"/>
  <c r="H211" i="32"/>
  <c r="D217" i="9" s="1"/>
  <c r="E113" i="32"/>
  <c r="H113" i="32"/>
  <c r="D119" i="9" s="1"/>
  <c r="H282" i="32"/>
  <c r="D288" i="9" s="1"/>
  <c r="E282" i="32"/>
  <c r="E21" i="32"/>
  <c r="H21" i="32"/>
  <c r="D27" i="9" s="1"/>
  <c r="E177" i="32"/>
  <c r="H177" i="32"/>
  <c r="D183" i="9" s="1"/>
  <c r="E185" i="32"/>
  <c r="H185" i="32"/>
  <c r="D191" i="9" s="1"/>
  <c r="E255" i="32"/>
  <c r="H255" i="32"/>
  <c r="D261" i="9" s="1"/>
  <c r="E289" i="32"/>
  <c r="H289" i="32"/>
  <c r="D295" i="9" s="1"/>
  <c r="E305" i="32"/>
  <c r="H305" i="32"/>
  <c r="D311" i="9" s="1"/>
  <c r="H16" i="32"/>
  <c r="D22" i="9" s="1"/>
  <c r="E254" i="32"/>
  <c r="H254" i="32"/>
  <c r="D260" i="9" s="1"/>
  <c r="E194" i="32"/>
  <c r="H208" i="32"/>
  <c r="D214" i="9" s="1"/>
  <c r="H140" i="32"/>
  <c r="D146" i="9" s="1"/>
  <c r="E36" i="32"/>
  <c r="H36" i="32"/>
  <c r="D42" i="9" s="1"/>
  <c r="E54" i="32"/>
  <c r="H54" i="32"/>
  <c r="D60" i="9" s="1"/>
  <c r="E81" i="32"/>
  <c r="H81" i="32"/>
  <c r="D87" i="9" s="1"/>
  <c r="E216" i="32"/>
  <c r="H216" i="32"/>
  <c r="D222" i="9" s="1"/>
  <c r="E139" i="32"/>
  <c r="H139" i="32"/>
  <c r="D145" i="9" s="1"/>
  <c r="E166" i="32"/>
  <c r="H166" i="32"/>
  <c r="D172" i="9" s="1"/>
  <c r="O325" i="19"/>
  <c r="E116" i="32"/>
  <c r="H116" i="32"/>
  <c r="D122" i="9" s="1"/>
  <c r="E26" i="32"/>
  <c r="H85" i="32"/>
  <c r="D91" i="9" s="1"/>
  <c r="H122" i="32"/>
  <c r="D128" i="9" s="1"/>
  <c r="H130" i="32"/>
  <c r="D136" i="9" s="1"/>
  <c r="E171" i="32"/>
  <c r="H171" i="32"/>
  <c r="D177" i="9" s="1"/>
  <c r="H209" i="32"/>
  <c r="D215" i="9" s="1"/>
  <c r="H117" i="32"/>
  <c r="D123" i="9" s="1"/>
  <c r="H44" i="32"/>
  <c r="D50" i="9" s="1"/>
  <c r="H28" i="32"/>
  <c r="D34" i="9" s="1"/>
  <c r="H107" i="32"/>
  <c r="D113" i="9" s="1"/>
  <c r="E147" i="32"/>
  <c r="H147" i="32"/>
  <c r="D153" i="9" s="1"/>
  <c r="E203" i="32"/>
  <c r="H203" i="32"/>
  <c r="D209" i="9" s="1"/>
  <c r="E307" i="32"/>
  <c r="H307" i="32"/>
  <c r="D313" i="9" s="1"/>
  <c r="E220" i="32"/>
  <c r="H220" i="32"/>
  <c r="D226" i="9" s="1"/>
  <c r="E83" i="32"/>
  <c r="H59" i="32"/>
  <c r="D65" i="9" s="1"/>
  <c r="H235" i="32"/>
  <c r="D241" i="9" s="1"/>
  <c r="H64" i="32"/>
  <c r="D70" i="9" s="1"/>
  <c r="H93" i="32"/>
  <c r="D99" i="9" s="1"/>
  <c r="H233" i="32"/>
  <c r="D239" i="9" s="1"/>
  <c r="H179" i="32"/>
  <c r="D185" i="9" s="1"/>
  <c r="H143" i="32"/>
  <c r="D149" i="9" s="1"/>
  <c r="H207" i="32"/>
  <c r="D213" i="9" s="1"/>
  <c r="H232" i="32"/>
  <c r="D238" i="9" s="1"/>
  <c r="H160" i="32"/>
  <c r="D166" i="9" s="1"/>
  <c r="H276" i="32"/>
  <c r="D282" i="9" s="1"/>
  <c r="H191" i="32"/>
  <c r="D197" i="9" s="1"/>
  <c r="H296" i="32"/>
  <c r="D302" i="9" s="1"/>
  <c r="H322" i="32"/>
  <c r="D328" i="9" s="1"/>
  <c r="H184" i="32"/>
  <c r="D190" i="9" s="1"/>
  <c r="H29" i="32"/>
  <c r="D35" i="9" s="1"/>
  <c r="H188" i="32"/>
  <c r="D194" i="9" s="1"/>
  <c r="H163" i="32"/>
  <c r="D169" i="9" s="1"/>
  <c r="H111" i="32"/>
  <c r="D117" i="9" s="1"/>
  <c r="H247" i="32"/>
  <c r="D253" i="9" s="1"/>
  <c r="H295" i="32"/>
  <c r="D301" i="9" s="1"/>
  <c r="H60" i="32"/>
  <c r="D66" i="9" s="1"/>
  <c r="H150" i="32"/>
  <c r="D156" i="9" s="1"/>
  <c r="H92" i="32"/>
  <c r="D98" i="9" s="1"/>
  <c r="H272" i="32"/>
  <c r="D278" i="9" s="1"/>
  <c r="H200" i="32"/>
  <c r="D206" i="9" s="1"/>
  <c r="E55" i="32"/>
  <c r="E311" i="32"/>
  <c r="H37" i="32"/>
  <c r="D43" i="9" s="1"/>
  <c r="H243" i="32"/>
  <c r="D249" i="9" s="1"/>
  <c r="H73" i="32"/>
  <c r="D79" i="9" s="1"/>
  <c r="H284" i="32"/>
  <c r="D290" i="9" s="1"/>
  <c r="H321" i="32"/>
  <c r="D327" i="9" s="1"/>
  <c r="H138" i="32"/>
  <c r="D144" i="9" s="1"/>
  <c r="H183" i="32"/>
  <c r="D189" i="9" s="1"/>
  <c r="K225" i="36"/>
  <c r="F233" i="34" s="1"/>
  <c r="K175" i="36"/>
  <c r="F183" i="34" s="1"/>
  <c r="K15" i="36"/>
  <c r="F23" i="34" s="1"/>
  <c r="K35" i="36"/>
  <c r="F43" i="34" s="1"/>
  <c r="K101" i="36"/>
  <c r="F109" i="34" s="1"/>
  <c r="K97" i="36"/>
  <c r="F105" i="34" s="1"/>
  <c r="K149" i="36"/>
  <c r="F157" i="34" s="1"/>
  <c r="K72" i="36"/>
  <c r="F80" i="34" s="1"/>
  <c r="K324" i="36"/>
  <c r="F332" i="34" s="1"/>
  <c r="K18" i="36"/>
  <c r="F26" i="34" s="1"/>
  <c r="K262" i="36"/>
  <c r="F270" i="34" s="1"/>
  <c r="K81" i="36"/>
  <c r="F89" i="34" s="1"/>
  <c r="K164" i="36"/>
  <c r="F172" i="34" s="1"/>
  <c r="K82" i="36"/>
  <c r="F90" i="34" s="1"/>
  <c r="K318" i="36"/>
  <c r="F326" i="34" s="1"/>
  <c r="K165" i="36"/>
  <c r="F173" i="34" s="1"/>
  <c r="K178" i="36"/>
  <c r="F186" i="34" s="1"/>
  <c r="K260" i="36"/>
  <c r="F268" i="34" s="1"/>
  <c r="K90" i="36"/>
  <c r="F98" i="34" s="1"/>
  <c r="K54" i="36"/>
  <c r="F62" i="34" s="1"/>
  <c r="K248" i="36"/>
  <c r="F256" i="34" s="1"/>
  <c r="K279" i="36"/>
  <c r="F287" i="34" s="1"/>
  <c r="K224" i="36"/>
  <c r="F232" i="34" s="1"/>
  <c r="K148" i="36"/>
  <c r="F156" i="34" s="1"/>
  <c r="K112" i="36"/>
  <c r="F120" i="34" s="1"/>
  <c r="K143" i="36"/>
  <c r="F151" i="34" s="1"/>
  <c r="K170" i="36"/>
  <c r="F178" i="34" s="1"/>
  <c r="K190" i="36"/>
  <c r="F198" i="34" s="1"/>
  <c r="K127" i="36"/>
  <c r="F135" i="34" s="1"/>
  <c r="K158" i="36"/>
  <c r="F166" i="34" s="1"/>
  <c r="K111" i="36"/>
  <c r="F119" i="34" s="1"/>
  <c r="K52" i="36"/>
  <c r="F60" i="34" s="1"/>
  <c r="K86" i="36"/>
  <c r="F94" i="34" s="1"/>
  <c r="K115" i="36"/>
  <c r="F123" i="34" s="1"/>
  <c r="K20" i="36"/>
  <c r="F28" i="34" s="1"/>
  <c r="K151" i="36"/>
  <c r="F159" i="34" s="1"/>
  <c r="K55" i="36"/>
  <c r="F63" i="34" s="1"/>
  <c r="K78" i="36"/>
  <c r="F86" i="34" s="1"/>
  <c r="K299" i="36"/>
  <c r="F307" i="34" s="1"/>
  <c r="K235" i="36"/>
  <c r="F243" i="34" s="1"/>
  <c r="K186" i="36"/>
  <c r="F194" i="34" s="1"/>
  <c r="K218" i="36"/>
  <c r="F226" i="34" s="1"/>
  <c r="K121" i="36"/>
  <c r="F129" i="34" s="1"/>
  <c r="K138" i="36"/>
  <c r="F146" i="34" s="1"/>
  <c r="K57" i="36"/>
  <c r="F65" i="34" s="1"/>
  <c r="K166" i="36"/>
  <c r="F174" i="34" s="1"/>
  <c r="K254" i="36"/>
  <c r="F262" i="34" s="1"/>
  <c r="K157" i="36"/>
  <c r="F165" i="34" s="1"/>
  <c r="K96" i="36"/>
  <c r="F104" i="34" s="1"/>
  <c r="K306" i="36"/>
  <c r="F314" i="34" s="1"/>
  <c r="K106" i="36"/>
  <c r="F114" i="34" s="1"/>
  <c r="K92" i="36"/>
  <c r="F100" i="34" s="1"/>
  <c r="K79" i="36"/>
  <c r="F87" i="34" s="1"/>
  <c r="K73" i="36"/>
  <c r="F81" i="34" s="1"/>
  <c r="K10" i="36"/>
  <c r="F18" i="34" s="1"/>
  <c r="K167" i="36"/>
  <c r="F175" i="34" s="1"/>
  <c r="K231" i="36"/>
  <c r="F239" i="34" s="1"/>
  <c r="K237" i="36"/>
  <c r="F245" i="34" s="1"/>
  <c r="K135" i="36"/>
  <c r="F143" i="34" s="1"/>
  <c r="K109" i="36"/>
  <c r="F117" i="34" s="1"/>
  <c r="K169" i="36"/>
  <c r="F177" i="34" s="1"/>
  <c r="K277" i="36"/>
  <c r="F285" i="34" s="1"/>
  <c r="K16" i="36"/>
  <c r="F24" i="34" s="1"/>
  <c r="K80" i="36"/>
  <c r="F88" i="34" s="1"/>
  <c r="K180" i="36"/>
  <c r="F188" i="34" s="1"/>
  <c r="K295" i="36"/>
  <c r="F303" i="34" s="1"/>
  <c r="K159" i="36"/>
  <c r="F167" i="34" s="1"/>
  <c r="K282" i="36"/>
  <c r="F290" i="34" s="1"/>
  <c r="K207" i="36"/>
  <c r="F215" i="34" s="1"/>
  <c r="K147" i="36"/>
  <c r="F155" i="34" s="1"/>
  <c r="K261" i="36"/>
  <c r="F269" i="34" s="1"/>
  <c r="K19" i="36"/>
  <c r="F27" i="34" s="1"/>
  <c r="K242" i="36"/>
  <c r="F250" i="34" s="1"/>
  <c r="K309" i="36"/>
  <c r="F317" i="34" s="1"/>
  <c r="K43" i="36"/>
  <c r="F51" i="34" s="1"/>
  <c r="K264" i="36"/>
  <c r="F272" i="34" s="1"/>
  <c r="K210" i="36"/>
  <c r="F218" i="34" s="1"/>
  <c r="K199" i="36"/>
  <c r="F207" i="34" s="1"/>
  <c r="K315" i="36"/>
  <c r="F323" i="34" s="1"/>
  <c r="K117" i="36"/>
  <c r="F125" i="34" s="1"/>
  <c r="K107" i="36"/>
  <c r="F115" i="34" s="1"/>
  <c r="K152" i="36"/>
  <c r="F160" i="34" s="1"/>
  <c r="K240" i="36"/>
  <c r="F248" i="34" s="1"/>
  <c r="K22" i="36"/>
  <c r="F30" i="34" s="1"/>
  <c r="K110" i="36"/>
  <c r="F118" i="34" s="1"/>
  <c r="K227" i="36"/>
  <c r="F235" i="34" s="1"/>
  <c r="K24" i="36"/>
  <c r="F32" i="34" s="1"/>
  <c r="K129" i="36"/>
  <c r="F137" i="34" s="1"/>
  <c r="K155" i="36"/>
  <c r="F163" i="34" s="1"/>
  <c r="K67" i="36"/>
  <c r="F75" i="34" s="1"/>
  <c r="K119" i="36"/>
  <c r="F127" i="34" s="1"/>
  <c r="K305" i="36"/>
  <c r="F313" i="34" s="1"/>
  <c r="K64" i="36"/>
  <c r="F72" i="34" s="1"/>
  <c r="K239" i="36"/>
  <c r="F247" i="34" s="1"/>
  <c r="K232" i="36"/>
  <c r="F240" i="34" s="1"/>
  <c r="K63" i="36"/>
  <c r="F71" i="34" s="1"/>
  <c r="K105" i="36"/>
  <c r="F113" i="34" s="1"/>
  <c r="K48" i="36"/>
  <c r="F56" i="34" s="1"/>
  <c r="K290" i="36"/>
  <c r="F298" i="34" s="1"/>
  <c r="K141" i="36"/>
  <c r="F149" i="34" s="1"/>
  <c r="K323" i="36"/>
  <c r="F331" i="34" s="1"/>
  <c r="K94" i="36"/>
  <c r="F102" i="34" s="1"/>
  <c r="K71" i="36"/>
  <c r="F79" i="34" s="1"/>
  <c r="K122" i="36"/>
  <c r="F130" i="34" s="1"/>
  <c r="K88" i="36"/>
  <c r="F96" i="34" s="1"/>
  <c r="K102" i="36"/>
  <c r="F110" i="34" s="1"/>
  <c r="K50" i="36"/>
  <c r="F58" i="34" s="1"/>
  <c r="K257" i="36"/>
  <c r="F265" i="34" s="1"/>
  <c r="K21" i="36"/>
  <c r="F29" i="34" s="1"/>
  <c r="K250" i="36"/>
  <c r="F258" i="34" s="1"/>
  <c r="K223" i="36"/>
  <c r="F231" i="34" s="1"/>
  <c r="K320" i="36"/>
  <c r="F328" i="34" s="1"/>
  <c r="K75" i="36"/>
  <c r="F83" i="34" s="1"/>
  <c r="K319" i="36"/>
  <c r="F327" i="34" s="1"/>
  <c r="K316" i="36"/>
  <c r="F324" i="34" s="1"/>
  <c r="K214" i="36"/>
  <c r="F222" i="34" s="1"/>
  <c r="K172" i="36"/>
  <c r="F180" i="34" s="1"/>
  <c r="K310" i="36"/>
  <c r="F318" i="34" s="1"/>
  <c r="K183" i="36"/>
  <c r="F191" i="34" s="1"/>
  <c r="K211" i="36"/>
  <c r="F219" i="34" s="1"/>
  <c r="K230" i="36"/>
  <c r="F238" i="34" s="1"/>
  <c r="K296" i="36"/>
  <c r="F304" i="34" s="1"/>
  <c r="K85" i="36"/>
  <c r="F93" i="34" s="1"/>
  <c r="K284" i="36"/>
  <c r="F292" i="34" s="1"/>
  <c r="K168" i="36"/>
  <c r="F176" i="34" s="1"/>
  <c r="K162" i="36"/>
  <c r="F170" i="34" s="1"/>
  <c r="K29" i="36"/>
  <c r="F37" i="34" s="1"/>
  <c r="K145" i="36"/>
  <c r="F153" i="34" s="1"/>
  <c r="K245" i="36"/>
  <c r="F253" i="34" s="1"/>
  <c r="K197" i="36"/>
  <c r="F205" i="34" s="1"/>
  <c r="K208" i="36"/>
  <c r="F216" i="34" s="1"/>
  <c r="K198" i="36"/>
  <c r="F206" i="34" s="1"/>
  <c r="K132" i="36"/>
  <c r="F140" i="34" s="1"/>
  <c r="K68" i="36"/>
  <c r="F76" i="34" s="1"/>
  <c r="K325" i="36"/>
  <c r="F333" i="34" s="1"/>
  <c r="K156" i="36"/>
  <c r="F164" i="34" s="1"/>
  <c r="K142" i="36"/>
  <c r="F150" i="34" s="1"/>
  <c r="K287" i="36"/>
  <c r="F295" i="34" s="1"/>
  <c r="K185" i="36"/>
  <c r="F193" i="34" s="1"/>
  <c r="K134" i="36"/>
  <c r="F142" i="34" s="1"/>
  <c r="K32" i="36"/>
  <c r="F40" i="34" s="1"/>
  <c r="K244" i="36"/>
  <c r="F252" i="34" s="1"/>
  <c r="K14" i="36"/>
  <c r="F22" i="34" s="1"/>
  <c r="K249" i="36"/>
  <c r="F257" i="34" s="1"/>
  <c r="K76" i="36"/>
  <c r="F84" i="34" s="1"/>
  <c r="K259" i="36"/>
  <c r="F267" i="34" s="1"/>
  <c r="K276" i="36"/>
  <c r="F284" i="34" s="1"/>
  <c r="K131" i="36"/>
  <c r="F139" i="34" s="1"/>
  <c r="K91" i="36"/>
  <c r="F99" i="34" s="1"/>
  <c r="K103" i="36"/>
  <c r="F111" i="34" s="1"/>
  <c r="K66" i="36"/>
  <c r="F74" i="34" s="1"/>
  <c r="K307" i="36"/>
  <c r="F315" i="34" s="1"/>
  <c r="K241" i="36"/>
  <c r="F249" i="34" s="1"/>
  <c r="K160" i="36"/>
  <c r="K56" i="36"/>
  <c r="F64" i="34" s="1"/>
  <c r="K100" i="36"/>
  <c r="F108" i="34" s="1"/>
  <c r="K253" i="36"/>
  <c r="F261" i="34" s="1"/>
  <c r="K212" i="36"/>
  <c r="F220" i="34" s="1"/>
  <c r="K271" i="36"/>
  <c r="F279" i="34" s="1"/>
  <c r="K176" i="36"/>
  <c r="F184" i="34" s="1"/>
  <c r="K99" i="36"/>
  <c r="F107" i="34" s="1"/>
  <c r="K136" i="36"/>
  <c r="F144" i="34" s="1"/>
  <c r="K252" i="36"/>
  <c r="F260" i="34" s="1"/>
  <c r="K255" i="36"/>
  <c r="F263" i="34" s="1"/>
  <c r="K300" i="36"/>
  <c r="F308" i="34" s="1"/>
  <c r="K45" i="36"/>
  <c r="F53" i="34" s="1"/>
  <c r="K189" i="36"/>
  <c r="F197" i="34" s="1"/>
  <c r="K311" i="36"/>
  <c r="F319" i="34" s="1"/>
  <c r="K251" i="36"/>
  <c r="F259" i="34" s="1"/>
  <c r="K200" i="36"/>
  <c r="F208" i="34" s="1"/>
  <c r="K161" i="36"/>
  <c r="F169" i="34" s="1"/>
  <c r="K291" i="36"/>
  <c r="F299" i="34" s="1"/>
  <c r="K87" i="36"/>
  <c r="F95" i="34" s="1"/>
  <c r="K126" i="36"/>
  <c r="F134" i="34" s="1"/>
  <c r="K312" i="36"/>
  <c r="F320" i="34" s="1"/>
  <c r="K233" i="36"/>
  <c r="F241" i="34" s="1"/>
  <c r="K33" i="36"/>
  <c r="F41" i="34" s="1"/>
  <c r="K40" i="36"/>
  <c r="F48" i="34" s="1"/>
  <c r="K144" i="36"/>
  <c r="F152" i="34" s="1"/>
  <c r="K146" i="36"/>
  <c r="F154" i="34" s="1"/>
  <c r="K44" i="36"/>
  <c r="F52" i="34" s="1"/>
  <c r="K216" i="36"/>
  <c r="F224" i="34" s="1"/>
  <c r="K236" i="36"/>
  <c r="F244" i="34" s="1"/>
  <c r="K12" i="36"/>
  <c r="F20" i="34" s="1"/>
  <c r="K289" i="36"/>
  <c r="F297" i="34" s="1"/>
  <c r="K174" i="36"/>
  <c r="F182" i="34" s="1"/>
  <c r="K303" i="36"/>
  <c r="F311" i="34" s="1"/>
  <c r="K219" i="36"/>
  <c r="F227" i="34" s="1"/>
  <c r="K137" i="36"/>
  <c r="F145" i="34" s="1"/>
  <c r="K65" i="36"/>
  <c r="F73" i="34" s="1"/>
  <c r="K301" i="36"/>
  <c r="F309" i="34" s="1"/>
  <c r="K182" i="36"/>
  <c r="F190" i="34" s="1"/>
  <c r="K288" i="36"/>
  <c r="F296" i="34" s="1"/>
  <c r="K275" i="36"/>
  <c r="F283" i="34" s="1"/>
  <c r="K98" i="36"/>
  <c r="F106" i="34" s="1"/>
  <c r="K26" i="36"/>
  <c r="F34" i="34" s="1"/>
  <c r="K120" i="36"/>
  <c r="F128" i="34" s="1"/>
  <c r="K188" i="36"/>
  <c r="F196" i="34" s="1"/>
  <c r="K89" i="36"/>
  <c r="F97" i="34" s="1"/>
  <c r="K268" i="36"/>
  <c r="F276" i="34" s="1"/>
  <c r="K83" i="36"/>
  <c r="F91" i="34" s="1"/>
  <c r="K285" i="36"/>
  <c r="F293" i="34" s="1"/>
  <c r="K215" i="36"/>
  <c r="F223" i="34" s="1"/>
  <c r="K313" i="36"/>
  <c r="F321" i="34" s="1"/>
  <c r="K28" i="36"/>
  <c r="F36" i="34" s="1"/>
  <c r="K220" i="36"/>
  <c r="F228" i="34" s="1"/>
  <c r="K187" i="36"/>
  <c r="F195" i="34" s="1"/>
  <c r="K153" i="36"/>
  <c r="F161" i="34" s="1"/>
  <c r="K263" i="36"/>
  <c r="F271" i="34" s="1"/>
  <c r="K77" i="36"/>
  <c r="F85" i="34" s="1"/>
  <c r="K270" i="36"/>
  <c r="F278" i="34" s="1"/>
  <c r="K204" i="36"/>
  <c r="F212" i="34" s="1"/>
  <c r="K41" i="36"/>
  <c r="F49" i="34" s="1"/>
  <c r="K317" i="36"/>
  <c r="F325" i="34" s="1"/>
  <c r="K266" i="36"/>
  <c r="F274" i="34" s="1"/>
  <c r="K205" i="36"/>
  <c r="F213" i="34" s="1"/>
  <c r="K123" i="36"/>
  <c r="F131" i="34" s="1"/>
  <c r="K30" i="36"/>
  <c r="F38" i="34" s="1"/>
  <c r="K293" i="36"/>
  <c r="F301" i="34" s="1"/>
  <c r="K34" i="36"/>
  <c r="F42" i="34" s="1"/>
  <c r="K228" i="36"/>
  <c r="F236" i="34" s="1"/>
  <c r="K84" i="36"/>
  <c r="F92" i="34" s="1"/>
  <c r="K95" i="36"/>
  <c r="F103" i="34" s="1"/>
  <c r="K238" i="36"/>
  <c r="F246" i="34" s="1"/>
  <c r="K61" i="36"/>
  <c r="F69" i="34" s="1"/>
  <c r="K140" i="36"/>
  <c r="F148" i="34" s="1"/>
  <c r="K258" i="36"/>
  <c r="F266" i="34" s="1"/>
  <c r="K302" i="36"/>
  <c r="F310" i="34" s="1"/>
  <c r="K38" i="36"/>
  <c r="F46" i="34" s="1"/>
  <c r="K196" i="36"/>
  <c r="F204" i="34" s="1"/>
  <c r="K314" i="36"/>
  <c r="F322" i="34" s="1"/>
  <c r="K213" i="36"/>
  <c r="F221" i="34" s="1"/>
  <c r="K46" i="36"/>
  <c r="F54" i="34" s="1"/>
  <c r="K60" i="36"/>
  <c r="F68" i="34" s="1"/>
  <c r="K11" i="36"/>
  <c r="F19" i="34" s="1"/>
  <c r="K247" i="36"/>
  <c r="K243" i="36"/>
  <c r="F251" i="34" s="1"/>
  <c r="K193" i="36"/>
  <c r="F201" i="34" s="1"/>
  <c r="K53" i="36"/>
  <c r="F61" i="34" s="1"/>
  <c r="K267" i="36"/>
  <c r="F275" i="34" s="1"/>
  <c r="K74" i="36"/>
  <c r="F82" i="34" s="1"/>
  <c r="K69" i="36"/>
  <c r="K280" i="36"/>
  <c r="F288" i="34" s="1"/>
  <c r="K173" i="36"/>
  <c r="F181" i="34" s="1"/>
  <c r="K31" i="36"/>
  <c r="F39" i="34" s="1"/>
  <c r="K184" i="36"/>
  <c r="F192" i="34" s="1"/>
  <c r="K49" i="36"/>
  <c r="F57" i="34" s="1"/>
  <c r="K128" i="36"/>
  <c r="F136" i="34" s="1"/>
  <c r="K322" i="36"/>
  <c r="F330" i="34" s="1"/>
  <c r="K292" i="36"/>
  <c r="F300" i="34" s="1"/>
  <c r="K125" i="36"/>
  <c r="F133" i="34" s="1"/>
  <c r="K269" i="36"/>
  <c r="F277" i="34" s="1"/>
  <c r="K17" i="36"/>
  <c r="F25" i="34" s="1"/>
  <c r="K217" i="36"/>
  <c r="F225" i="34" s="1"/>
  <c r="K113" i="36"/>
  <c r="F121" i="34" s="1"/>
  <c r="K108" i="36"/>
  <c r="F116" i="34" s="1"/>
  <c r="K304" i="36"/>
  <c r="F312" i="34" s="1"/>
  <c r="K58" i="36"/>
  <c r="F66" i="34" s="1"/>
  <c r="K47" i="36"/>
  <c r="F55" i="34" s="1"/>
  <c r="K273" i="36"/>
  <c r="F281" i="34" s="1"/>
  <c r="K286" i="36"/>
  <c r="F294" i="34" s="1"/>
  <c r="K42" i="36"/>
  <c r="F50" i="34" s="1"/>
  <c r="K39" i="36"/>
  <c r="F47" i="34" s="1"/>
  <c r="K118" i="36"/>
  <c r="F126" i="34" s="1"/>
  <c r="K37" i="36"/>
  <c r="F45" i="34" s="1"/>
  <c r="K278" i="36"/>
  <c r="F286" i="34" s="1"/>
  <c r="K179" i="36"/>
  <c r="F187" i="34" s="1"/>
  <c r="K181" i="36"/>
  <c r="F189" i="34" s="1"/>
  <c r="K203" i="36"/>
  <c r="F211" i="34" s="1"/>
  <c r="K27" i="36"/>
  <c r="F35" i="34" s="1"/>
  <c r="K130" i="36"/>
  <c r="F138" i="34" s="1"/>
  <c r="K272" i="36"/>
  <c r="F280" i="34" s="1"/>
  <c r="K51" i="36"/>
  <c r="F59" i="34" s="1"/>
  <c r="K177" i="36"/>
  <c r="F185" i="34" s="1"/>
  <c r="K8" i="36"/>
  <c r="K133" i="36"/>
  <c r="F141" i="34" s="1"/>
  <c r="K116" i="36"/>
  <c r="F124" i="34" s="1"/>
  <c r="K163" i="36"/>
  <c r="F171" i="34" s="1"/>
  <c r="K274" i="36"/>
  <c r="F282" i="34" s="1"/>
  <c r="K297" i="36"/>
  <c r="F305" i="34" s="1"/>
  <c r="K171" i="36"/>
  <c r="F179" i="34" s="1"/>
  <c r="K150" i="36"/>
  <c r="F158" i="34" s="1"/>
  <c r="K246" i="36"/>
  <c r="F254" i="34" s="1"/>
  <c r="K191" i="36"/>
  <c r="F199" i="34" s="1"/>
  <c r="K9" i="36"/>
  <c r="F17" i="34" s="1"/>
  <c r="K25" i="36"/>
  <c r="F33" i="34" s="1"/>
  <c r="K222" i="36"/>
  <c r="F230" i="34" s="1"/>
  <c r="K114" i="36"/>
  <c r="F122" i="34" s="1"/>
  <c r="K59" i="36"/>
  <c r="F67" i="34" s="1"/>
  <c r="K195" i="36"/>
  <c r="F203" i="34" s="1"/>
  <c r="K281" i="36"/>
  <c r="F289" i="34" s="1"/>
  <c r="K294" i="36"/>
  <c r="F302" i="34" s="1"/>
  <c r="K298" i="36"/>
  <c r="F306" i="34" s="1"/>
  <c r="K308" i="36"/>
  <c r="F316" i="34" s="1"/>
  <c r="K209" i="36"/>
  <c r="F217" i="34" s="1"/>
  <c r="K124" i="36"/>
  <c r="F132" i="34" s="1"/>
  <c r="K104" i="36"/>
  <c r="F112" i="34" s="1"/>
  <c r="K194" i="36"/>
  <c r="F202" i="34" s="1"/>
  <c r="K93" i="36"/>
  <c r="F101" i="34" s="1"/>
  <c r="K62" i="36"/>
  <c r="F70" i="34" s="1"/>
  <c r="K70" i="36"/>
  <c r="F78" i="34" s="1"/>
  <c r="K201" i="36"/>
  <c r="F209" i="34" s="1"/>
  <c r="K13" i="36"/>
  <c r="F21" i="34" s="1"/>
  <c r="K154" i="36"/>
  <c r="F162" i="34" s="1"/>
  <c r="K206" i="36"/>
  <c r="F214" i="34" s="1"/>
  <c r="K139" i="36"/>
  <c r="F147" i="34" s="1"/>
  <c r="K256" i="36"/>
  <c r="F264" i="34" s="1"/>
  <c r="K321" i="36"/>
  <c r="F329" i="34" s="1"/>
  <c r="K265" i="36"/>
  <c r="F273" i="34" s="1"/>
  <c r="K221" i="36"/>
  <c r="F229" i="34" s="1"/>
  <c r="K234" i="36"/>
  <c r="F242" i="34" s="1"/>
  <c r="K36" i="36"/>
  <c r="F44" i="34" s="1"/>
  <c r="K226" i="36"/>
  <c r="F234" i="34" s="1"/>
  <c r="F168" i="34"/>
  <c r="F255" i="34"/>
  <c r="I326" i="36"/>
  <c r="E326" i="36"/>
  <c r="J326" i="36"/>
  <c r="H326" i="36"/>
  <c r="F326" i="36"/>
  <c r="D326" i="36"/>
  <c r="G325" i="19"/>
  <c r="G326" i="36"/>
  <c r="H271" i="32"/>
  <c r="D277" i="9" s="1"/>
  <c r="E271" i="32"/>
  <c r="I324" i="49" l="1"/>
  <c r="H5" i="32"/>
  <c r="D11" i="9" s="1"/>
  <c r="E12" i="48"/>
  <c r="F13" i="48" s="1"/>
  <c r="U7" i="19"/>
  <c r="G6" i="49" s="1"/>
  <c r="F6" i="49"/>
  <c r="F16" i="34"/>
  <c r="F26" i="48"/>
  <c r="U116" i="19"/>
  <c r="C114" i="39" s="1"/>
  <c r="F115" i="49"/>
  <c r="U240" i="19"/>
  <c r="F239" i="49"/>
  <c r="U260" i="19"/>
  <c r="C258" i="12" s="1"/>
  <c r="F259" i="49"/>
  <c r="U205" i="19"/>
  <c r="C203" i="39" s="1"/>
  <c r="F204" i="49"/>
  <c r="U130" i="19"/>
  <c r="F128" i="32" s="1"/>
  <c r="G128" i="32" s="1"/>
  <c r="F129" i="49"/>
  <c r="U315" i="19"/>
  <c r="C313" i="39" s="1"/>
  <c r="F314" i="49"/>
  <c r="U224" i="19"/>
  <c r="J223" i="13" s="1"/>
  <c r="F223" i="49"/>
  <c r="U123" i="19"/>
  <c r="C121" i="33" s="1"/>
  <c r="F122" i="49"/>
  <c r="U283" i="19"/>
  <c r="C281" i="39" s="1"/>
  <c r="F282" i="49"/>
  <c r="U155" i="19"/>
  <c r="F154" i="49"/>
  <c r="U63" i="19"/>
  <c r="C61" i="33" s="1"/>
  <c r="E61" i="33" s="1"/>
  <c r="F62" i="49"/>
  <c r="U307" i="19"/>
  <c r="C305" i="39" s="1"/>
  <c r="F306" i="49"/>
  <c r="U214" i="19"/>
  <c r="C212" i="39" s="1"/>
  <c r="F213" i="49"/>
  <c r="U129" i="19"/>
  <c r="F127" i="32" s="1"/>
  <c r="F128" i="49"/>
  <c r="U293" i="19"/>
  <c r="C291" i="12" s="1"/>
  <c r="F292" i="49"/>
  <c r="U13" i="19"/>
  <c r="C11" i="12" s="1"/>
  <c r="F12" i="49"/>
  <c r="U136" i="19"/>
  <c r="C134" i="33" s="1"/>
  <c r="F135" i="49"/>
  <c r="U64" i="19"/>
  <c r="F63" i="49"/>
  <c r="U79" i="19"/>
  <c r="F78" i="49"/>
  <c r="U173" i="19"/>
  <c r="F172" i="49"/>
  <c r="U277" i="19"/>
  <c r="C275" i="33" s="1"/>
  <c r="F276" i="49"/>
  <c r="U311" i="19"/>
  <c r="F310" i="49"/>
  <c r="U267" i="19"/>
  <c r="F265" i="32" s="1"/>
  <c r="F266" i="49"/>
  <c r="U188" i="19"/>
  <c r="F187" i="49"/>
  <c r="U101" i="19"/>
  <c r="F100" i="49"/>
  <c r="U59" i="19"/>
  <c r="C57" i="33" s="1"/>
  <c r="F58" i="49"/>
  <c r="U262" i="19"/>
  <c r="F261" i="49"/>
  <c r="U168" i="19"/>
  <c r="F166" i="32" s="1"/>
  <c r="G166" i="32" s="1"/>
  <c r="F167" i="49"/>
  <c r="U270" i="19"/>
  <c r="C268" i="12" s="1"/>
  <c r="F269" i="49"/>
  <c r="U145" i="19"/>
  <c r="F144" i="49"/>
  <c r="U71" i="19"/>
  <c r="F69" i="32" s="1"/>
  <c r="F70" i="49"/>
  <c r="U47" i="19"/>
  <c r="F45" i="32" s="1"/>
  <c r="F46" i="49"/>
  <c r="U75" i="19"/>
  <c r="C73" i="12" s="1"/>
  <c r="F74" i="49"/>
  <c r="U125" i="19"/>
  <c r="C123" i="33" s="1"/>
  <c r="F124" i="49"/>
  <c r="U97" i="19"/>
  <c r="F96" i="49"/>
  <c r="U312" i="19"/>
  <c r="F310" i="32" s="1"/>
  <c r="G310" i="32" s="1"/>
  <c r="F311" i="49"/>
  <c r="U288" i="19"/>
  <c r="C286" i="12" s="1"/>
  <c r="F287" i="49"/>
  <c r="U200" i="19"/>
  <c r="J199" i="13" s="1"/>
  <c r="F199" i="49"/>
  <c r="U58" i="19"/>
  <c r="F56" i="32" s="1"/>
  <c r="F57" i="49"/>
  <c r="U295" i="19"/>
  <c r="F293" i="32" s="1"/>
  <c r="F294" i="49"/>
  <c r="U203" i="19"/>
  <c r="J202" i="13" s="1"/>
  <c r="F202" i="49"/>
  <c r="U206" i="19"/>
  <c r="F205" i="49"/>
  <c r="U98" i="19"/>
  <c r="F96" i="32" s="1"/>
  <c r="G96" i="32" s="1"/>
  <c r="F97" i="49"/>
  <c r="U28" i="19"/>
  <c r="J27" i="13" s="1"/>
  <c r="F27" i="49"/>
  <c r="U94" i="19"/>
  <c r="C92" i="33" s="1"/>
  <c r="F93" i="49"/>
  <c r="U113" i="19"/>
  <c r="F111" i="32" s="1"/>
  <c r="G111" i="32" s="1"/>
  <c r="F112" i="49"/>
  <c r="U19" i="19"/>
  <c r="C17" i="12" s="1"/>
  <c r="F18" i="49"/>
  <c r="U35" i="19"/>
  <c r="J34" i="13" s="1"/>
  <c r="F34" i="49"/>
  <c r="U139" i="19"/>
  <c r="F137" i="32" s="1"/>
  <c r="F138" i="49"/>
  <c r="U284" i="19"/>
  <c r="C282" i="33" s="1"/>
  <c r="F283" i="49"/>
  <c r="U143" i="19"/>
  <c r="C141" i="12" s="1"/>
  <c r="F142" i="49"/>
  <c r="U308" i="19"/>
  <c r="J307" i="13" s="1"/>
  <c r="F307" i="49"/>
  <c r="U236" i="19"/>
  <c r="C234" i="39" s="1"/>
  <c r="F235" i="49"/>
  <c r="U159" i="19"/>
  <c r="C157" i="33" s="1"/>
  <c r="F158" i="49"/>
  <c r="U67" i="19"/>
  <c r="C65" i="33" s="1"/>
  <c r="F66" i="49"/>
  <c r="U231" i="19"/>
  <c r="C229" i="39" s="1"/>
  <c r="F230" i="49"/>
  <c r="U221" i="19"/>
  <c r="J220" i="13" s="1"/>
  <c r="F220" i="49"/>
  <c r="U27" i="19"/>
  <c r="J26" i="13" s="1"/>
  <c r="F26" i="49"/>
  <c r="U274" i="19"/>
  <c r="F273" i="49"/>
  <c r="U89" i="19"/>
  <c r="C87" i="33" s="1"/>
  <c r="E87" i="33" s="1"/>
  <c r="F88" i="49"/>
  <c r="U304" i="19"/>
  <c r="F303" i="49"/>
  <c r="U8" i="19"/>
  <c r="F7" i="49"/>
  <c r="U34" i="19"/>
  <c r="F33" i="49"/>
  <c r="U105" i="19"/>
  <c r="F104" i="49"/>
  <c r="U296" i="19"/>
  <c r="F295" i="49"/>
  <c r="U255" i="19"/>
  <c r="J254" i="13" s="1"/>
  <c r="F254" i="49"/>
  <c r="U208" i="19"/>
  <c r="C206" i="12" s="1"/>
  <c r="F207" i="49"/>
  <c r="U138" i="19"/>
  <c r="C136" i="12" s="1"/>
  <c r="F137" i="49"/>
  <c r="U303" i="19"/>
  <c r="C301" i="33" s="1"/>
  <c r="F302" i="49"/>
  <c r="U266" i="19"/>
  <c r="F265" i="49"/>
  <c r="U211" i="19"/>
  <c r="F210" i="49"/>
  <c r="U176" i="19"/>
  <c r="F175" i="49"/>
  <c r="U137" i="19"/>
  <c r="F136" i="49"/>
  <c r="U31" i="19"/>
  <c r="C29" i="12" s="1"/>
  <c r="F30" i="49"/>
  <c r="U290" i="19"/>
  <c r="F289" i="49"/>
  <c r="U227" i="19"/>
  <c r="C225" i="39" s="1"/>
  <c r="F226" i="49"/>
  <c r="U198" i="19"/>
  <c r="C196" i="33" s="1"/>
  <c r="F197" i="49"/>
  <c r="U149" i="19"/>
  <c r="C147" i="12" s="1"/>
  <c r="F148" i="49"/>
  <c r="U99" i="19"/>
  <c r="F98" i="49"/>
  <c r="U234" i="19"/>
  <c r="F233" i="49"/>
  <c r="U55" i="19"/>
  <c r="J54" i="13" s="1"/>
  <c r="F54" i="49"/>
  <c r="U9" i="19"/>
  <c r="F8" i="49"/>
  <c r="U51" i="19"/>
  <c r="C49" i="39" s="1"/>
  <c r="F50" i="49"/>
  <c r="U253" i="19"/>
  <c r="F252" i="49"/>
  <c r="U183" i="19"/>
  <c r="F181" i="32" s="1"/>
  <c r="G181" i="32" s="1"/>
  <c r="F182" i="49"/>
  <c r="U152" i="19"/>
  <c r="F151" i="49"/>
  <c r="U280" i="19"/>
  <c r="J279" i="13" s="1"/>
  <c r="F279" i="49"/>
  <c r="U192" i="19"/>
  <c r="C190" i="12" s="1"/>
  <c r="F191" i="49"/>
  <c r="U318" i="19"/>
  <c r="C316" i="12" s="1"/>
  <c r="F317" i="49"/>
  <c r="U232" i="19"/>
  <c r="C230" i="39" s="1"/>
  <c r="F231" i="49"/>
  <c r="U191" i="19"/>
  <c r="F189" i="32" s="1"/>
  <c r="F190" i="49"/>
  <c r="U110" i="19"/>
  <c r="C108" i="12" s="1"/>
  <c r="F109" i="49"/>
  <c r="U261" i="19"/>
  <c r="C259" i="39" s="1"/>
  <c r="F260" i="49"/>
  <c r="U175" i="19"/>
  <c r="C173" i="12" s="1"/>
  <c r="F174" i="49"/>
  <c r="U112" i="19"/>
  <c r="J111" i="13" s="1"/>
  <c r="F111" i="49"/>
  <c r="U88" i="19"/>
  <c r="F87" i="49"/>
  <c r="U313" i="19"/>
  <c r="J312" i="13" s="1"/>
  <c r="F312" i="49"/>
  <c r="U226" i="19"/>
  <c r="F225" i="49"/>
  <c r="U26" i="19"/>
  <c r="F25" i="49"/>
  <c r="U11" i="19"/>
  <c r="F10" i="49"/>
  <c r="U142" i="19"/>
  <c r="J141" i="13" s="1"/>
  <c r="F141" i="49"/>
  <c r="U169" i="19"/>
  <c r="C167" i="39" s="1"/>
  <c r="F168" i="49"/>
  <c r="U41" i="19"/>
  <c r="C39" i="33" s="1"/>
  <c r="F40" i="49"/>
  <c r="U148" i="19"/>
  <c r="C146" i="39" s="1"/>
  <c r="F147" i="49"/>
  <c r="U220" i="19"/>
  <c r="F219" i="49"/>
  <c r="U134" i="19"/>
  <c r="C132" i="39" s="1"/>
  <c r="F133" i="49"/>
  <c r="U299" i="19"/>
  <c r="C297" i="12" s="1"/>
  <c r="F298" i="49"/>
  <c r="U223" i="19"/>
  <c r="J222" i="13" s="1"/>
  <c r="F222" i="49"/>
  <c r="U62" i="19"/>
  <c r="F60" i="32" s="1"/>
  <c r="F61" i="49"/>
  <c r="U302" i="19"/>
  <c r="C300" i="12" s="1"/>
  <c r="F301" i="49"/>
  <c r="U194" i="19"/>
  <c r="F193" i="49"/>
  <c r="U171" i="19"/>
  <c r="J170" i="13" s="1"/>
  <c r="F170" i="49"/>
  <c r="U25" i="19"/>
  <c r="J24" i="13" s="1"/>
  <c r="F24" i="49"/>
  <c r="U317" i="19"/>
  <c r="C315" i="33" s="1"/>
  <c r="E315" i="33" s="1"/>
  <c r="F316" i="49"/>
  <c r="U132" i="19"/>
  <c r="J131" i="13" s="1"/>
  <c r="F131" i="49"/>
  <c r="U247" i="19"/>
  <c r="C245" i="12" s="1"/>
  <c r="F246" i="49"/>
  <c r="U147" i="19"/>
  <c r="C145" i="39" s="1"/>
  <c r="F146" i="49"/>
  <c r="U10" i="19"/>
  <c r="F9" i="49"/>
  <c r="U241" i="19"/>
  <c r="C239" i="39" s="1"/>
  <c r="F240" i="49"/>
  <c r="U146" i="19"/>
  <c r="C144" i="39" s="1"/>
  <c r="F145" i="49"/>
  <c r="U269" i="19"/>
  <c r="C267" i="39" s="1"/>
  <c r="F268" i="49"/>
  <c r="U117" i="19"/>
  <c r="J116" i="13" s="1"/>
  <c r="F116" i="49"/>
  <c r="U225" i="19"/>
  <c r="F223" i="32" s="1"/>
  <c r="G223" i="32" s="1"/>
  <c r="F224" i="49"/>
  <c r="U170" i="19"/>
  <c r="C168" i="12" s="1"/>
  <c r="F169" i="49"/>
  <c r="U276" i="19"/>
  <c r="C274" i="33" s="1"/>
  <c r="F275" i="49"/>
  <c r="U316" i="19"/>
  <c r="C314" i="12" s="1"/>
  <c r="F315" i="49"/>
  <c r="U244" i="19"/>
  <c r="J243" i="13" s="1"/>
  <c r="F243" i="49"/>
  <c r="U118" i="19"/>
  <c r="C116" i="12" s="1"/>
  <c r="F117" i="49"/>
  <c r="U209" i="19"/>
  <c r="F207" i="32" s="1"/>
  <c r="F208" i="49"/>
  <c r="U319" i="19"/>
  <c r="C317" i="39" s="1"/>
  <c r="F318" i="49"/>
  <c r="U242" i="19"/>
  <c r="J241" i="13" s="1"/>
  <c r="F241" i="49"/>
  <c r="U196" i="19"/>
  <c r="F195" i="49"/>
  <c r="U271" i="19"/>
  <c r="J270" i="13" s="1"/>
  <c r="F270" i="49"/>
  <c r="U199" i="19"/>
  <c r="C197" i="12" s="1"/>
  <c r="F198" i="49"/>
  <c r="U114" i="19"/>
  <c r="F113" i="49"/>
  <c r="U278" i="19"/>
  <c r="F276" i="32" s="1"/>
  <c r="F277" i="49"/>
  <c r="U186" i="19"/>
  <c r="C184" i="39" s="1"/>
  <c r="F185" i="49"/>
  <c r="U273" i="19"/>
  <c r="C271" i="12" s="1"/>
  <c r="F272" i="49"/>
  <c r="U93" i="19"/>
  <c r="C91" i="33" s="1"/>
  <c r="F92" i="49"/>
  <c r="U72" i="19"/>
  <c r="F71" i="49"/>
  <c r="U282" i="19"/>
  <c r="F281" i="49"/>
  <c r="U104" i="19"/>
  <c r="F103" i="49"/>
  <c r="U264" i="19"/>
  <c r="J263" i="13" s="1"/>
  <c r="F263" i="49"/>
  <c r="U21" i="19"/>
  <c r="F20" i="49"/>
  <c r="U50" i="19"/>
  <c r="F49" i="49"/>
  <c r="U174" i="19"/>
  <c r="C172" i="39" s="1"/>
  <c r="F173" i="49"/>
  <c r="U322" i="19"/>
  <c r="F321" i="49"/>
  <c r="U272" i="19"/>
  <c r="C270" i="39" s="1"/>
  <c r="F271" i="49"/>
  <c r="U287" i="19"/>
  <c r="C285" i="33" s="1"/>
  <c r="E285" i="33" s="1"/>
  <c r="F286" i="49"/>
  <c r="U323" i="19"/>
  <c r="F322" i="49"/>
  <c r="U320" i="19"/>
  <c r="F319" i="49"/>
  <c r="U193" i="19"/>
  <c r="C191" i="12" s="1"/>
  <c r="F192" i="49"/>
  <c r="U292" i="19"/>
  <c r="F291" i="49"/>
  <c r="U251" i="19"/>
  <c r="F250" i="49"/>
  <c r="U204" i="19"/>
  <c r="F203" i="49"/>
  <c r="U160" i="19"/>
  <c r="C158" i="33" s="1"/>
  <c r="F159" i="49"/>
  <c r="U119" i="19"/>
  <c r="F117" i="32" s="1"/>
  <c r="G117" i="32" s="1"/>
  <c r="F118" i="49"/>
  <c r="U314" i="19"/>
  <c r="C312" i="33" s="1"/>
  <c r="F313" i="49"/>
  <c r="U279" i="19"/>
  <c r="F278" i="49"/>
  <c r="U246" i="19"/>
  <c r="F244" i="32" s="1"/>
  <c r="G244" i="32" s="1"/>
  <c r="F245" i="49"/>
  <c r="U207" i="19"/>
  <c r="F206" i="49"/>
  <c r="U150" i="19"/>
  <c r="C148" i="12" s="1"/>
  <c r="F149" i="49"/>
  <c r="U39" i="19"/>
  <c r="F38" i="49"/>
  <c r="U286" i="19"/>
  <c r="J285" i="13" s="1"/>
  <c r="F285" i="49"/>
  <c r="U210" i="19"/>
  <c r="F209" i="49"/>
  <c r="U162" i="19"/>
  <c r="C160" i="33" s="1"/>
  <c r="F161" i="49"/>
  <c r="U121" i="19"/>
  <c r="J120" i="13" s="1"/>
  <c r="F120" i="49"/>
  <c r="U252" i="19"/>
  <c r="F251" i="49"/>
  <c r="U82" i="19"/>
  <c r="F81" i="49"/>
  <c r="U165" i="19"/>
  <c r="C163" i="12" s="1"/>
  <c r="F164" i="49"/>
  <c r="U195" i="19"/>
  <c r="C193" i="39" s="1"/>
  <c r="F194" i="49"/>
  <c r="U281" i="19"/>
  <c r="J280" i="13" s="1"/>
  <c r="F280" i="49"/>
  <c r="U301" i="19"/>
  <c r="F300" i="49"/>
  <c r="U180" i="19"/>
  <c r="F179" i="49"/>
  <c r="U228" i="19"/>
  <c r="F227" i="49"/>
  <c r="U235" i="19"/>
  <c r="C233" i="33" s="1"/>
  <c r="F234" i="49"/>
  <c r="U185" i="19"/>
  <c r="F184" i="49"/>
  <c r="U321" i="19"/>
  <c r="C319" i="33" s="1"/>
  <c r="F320" i="49"/>
  <c r="U263" i="19"/>
  <c r="C261" i="39" s="1"/>
  <c r="F262" i="49"/>
  <c r="U216" i="19"/>
  <c r="J215" i="13" s="1"/>
  <c r="F215" i="49"/>
  <c r="U184" i="19"/>
  <c r="F183" i="49"/>
  <c r="U133" i="19"/>
  <c r="F132" i="49"/>
  <c r="U23" i="19"/>
  <c r="C21" i="33" s="1"/>
  <c r="E21" i="33" s="1"/>
  <c r="F22" i="49"/>
  <c r="U310" i="19"/>
  <c r="J309" i="13" s="1"/>
  <c r="F309" i="49"/>
  <c r="U258" i="19"/>
  <c r="F257" i="49"/>
  <c r="U219" i="19"/>
  <c r="C217" i="12" s="1"/>
  <c r="F218" i="49"/>
  <c r="U163" i="19"/>
  <c r="F162" i="49"/>
  <c r="U122" i="19"/>
  <c r="J121" i="13" s="1"/>
  <c r="F121" i="49"/>
  <c r="U38" i="19"/>
  <c r="F37" i="49"/>
  <c r="U222" i="19"/>
  <c r="F221" i="49"/>
  <c r="U190" i="19"/>
  <c r="C188" i="33" s="1"/>
  <c r="E188" i="33" s="1"/>
  <c r="F189" i="49"/>
  <c r="U66" i="19"/>
  <c r="C64" i="12" s="1"/>
  <c r="F65" i="49"/>
  <c r="U157" i="19"/>
  <c r="F156" i="49"/>
  <c r="U248" i="19"/>
  <c r="F246" i="32" s="1"/>
  <c r="F247" i="49"/>
  <c r="U156" i="19"/>
  <c r="F155" i="49"/>
  <c r="U100" i="19"/>
  <c r="F99" i="49"/>
  <c r="U256" i="19"/>
  <c r="F255" i="49"/>
  <c r="U217" i="19"/>
  <c r="F215" i="32" s="1"/>
  <c r="G215" i="32" s="1"/>
  <c r="F216" i="49"/>
  <c r="U178" i="19"/>
  <c r="J177" i="13" s="1"/>
  <c r="F177" i="49"/>
  <c r="U187" i="19"/>
  <c r="C185" i="39" s="1"/>
  <c r="F186" i="49"/>
  <c r="U154" i="19"/>
  <c r="F153" i="49"/>
  <c r="U306" i="19"/>
  <c r="F304" i="32" s="1"/>
  <c r="F305" i="49"/>
  <c r="U161" i="19"/>
  <c r="F160" i="49"/>
  <c r="U65" i="19"/>
  <c r="F64" i="49"/>
  <c r="U300" i="19"/>
  <c r="F299" i="49"/>
  <c r="U259" i="19"/>
  <c r="C257" i="33" s="1"/>
  <c r="F258" i="49"/>
  <c r="U229" i="19"/>
  <c r="F227" i="32" s="1"/>
  <c r="G227" i="32" s="1"/>
  <c r="F228" i="49"/>
  <c r="U172" i="19"/>
  <c r="C170" i="39" s="1"/>
  <c r="F171" i="49"/>
  <c r="U111" i="19"/>
  <c r="J110" i="13" s="1"/>
  <c r="F110" i="49"/>
  <c r="U18" i="19"/>
  <c r="F16" i="32" s="1"/>
  <c r="F17" i="49"/>
  <c r="U291" i="19"/>
  <c r="F290" i="49"/>
  <c r="U254" i="19"/>
  <c r="F253" i="49"/>
  <c r="U215" i="19"/>
  <c r="F214" i="49"/>
  <c r="U179" i="19"/>
  <c r="C177" i="33" s="1"/>
  <c r="E177" i="33" s="1"/>
  <c r="F178" i="49"/>
  <c r="U141" i="19"/>
  <c r="C139" i="12" s="1"/>
  <c r="F140" i="49"/>
  <c r="U294" i="19"/>
  <c r="J293" i="13" s="1"/>
  <c r="F293" i="49"/>
  <c r="U265" i="19"/>
  <c r="F264" i="49"/>
  <c r="U218" i="19"/>
  <c r="C216" i="12" s="1"/>
  <c r="F217" i="49"/>
  <c r="U153" i="19"/>
  <c r="F152" i="49"/>
  <c r="U324" i="19"/>
  <c r="C322" i="33" s="1"/>
  <c r="E322" i="33" s="1"/>
  <c r="F323" i="49"/>
  <c r="U239" i="19"/>
  <c r="C237" i="12" s="1"/>
  <c r="F238" i="49"/>
  <c r="U135" i="19"/>
  <c r="F133" i="32" s="1"/>
  <c r="F134" i="49"/>
  <c r="U74" i="19"/>
  <c r="C72" i="39" s="1"/>
  <c r="F73" i="49"/>
  <c r="U109" i="19"/>
  <c r="C107" i="33" s="1"/>
  <c r="E107" i="33" s="1"/>
  <c r="F108" i="49"/>
  <c r="U106" i="19"/>
  <c r="C104" i="39" s="1"/>
  <c r="F105" i="49"/>
  <c r="U103" i="19"/>
  <c r="C101" i="12" s="1"/>
  <c r="F102" i="49"/>
  <c r="U102" i="19"/>
  <c r="F101" i="49"/>
  <c r="U95" i="19"/>
  <c r="C93" i="39" s="1"/>
  <c r="F94" i="49"/>
  <c r="U90" i="19"/>
  <c r="F89" i="49"/>
  <c r="U87" i="19"/>
  <c r="F86" i="49"/>
  <c r="U83" i="19"/>
  <c r="F82" i="49"/>
  <c r="U77" i="19"/>
  <c r="C75" i="33" s="1"/>
  <c r="F76" i="49"/>
  <c r="U70" i="19"/>
  <c r="C68" i="12" s="1"/>
  <c r="F69" i="49"/>
  <c r="U56" i="19"/>
  <c r="F55" i="49"/>
  <c r="U54" i="19"/>
  <c r="J53" i="13" s="1"/>
  <c r="F53" i="49"/>
  <c r="U46" i="19"/>
  <c r="F45" i="49"/>
  <c r="U45" i="19"/>
  <c r="F44" i="49"/>
  <c r="U44" i="19"/>
  <c r="F42" i="32" s="1"/>
  <c r="G42" i="32" s="1"/>
  <c r="F43" i="49"/>
  <c r="U43" i="19"/>
  <c r="F42" i="49"/>
  <c r="U42" i="19"/>
  <c r="C40" i="12" s="1"/>
  <c r="F41" i="49"/>
  <c r="U37" i="19"/>
  <c r="F36" i="49"/>
  <c r="U30" i="19"/>
  <c r="F28" i="32" s="1"/>
  <c r="F29" i="49"/>
  <c r="H324" i="49"/>
  <c r="U24" i="19"/>
  <c r="C22" i="39" s="1"/>
  <c r="F23" i="49"/>
  <c r="F21" i="49"/>
  <c r="F77" i="34"/>
  <c r="F334" i="34" s="1"/>
  <c r="F70" i="32"/>
  <c r="C102" i="12"/>
  <c r="C250" i="33"/>
  <c r="J45" i="13"/>
  <c r="J234" i="13"/>
  <c r="J65" i="13"/>
  <c r="J7" i="13"/>
  <c r="C6" i="33"/>
  <c r="C253" i="33"/>
  <c r="C174" i="39"/>
  <c r="F288" i="32"/>
  <c r="G288" i="32" s="1"/>
  <c r="F232" i="32"/>
  <c r="T325" i="19"/>
  <c r="F86" i="32"/>
  <c r="C35" i="33"/>
  <c r="F224" i="32"/>
  <c r="C62" i="12"/>
  <c r="C24" i="12"/>
  <c r="J10" i="13"/>
  <c r="C171" i="12"/>
  <c r="F146" i="32"/>
  <c r="G146" i="32" s="1"/>
  <c r="C309" i="12"/>
  <c r="C186" i="12"/>
  <c r="C143" i="12"/>
  <c r="C169" i="33"/>
  <c r="E169" i="33" s="1"/>
  <c r="J46" i="13"/>
  <c r="J124" i="13"/>
  <c r="C245" i="39"/>
  <c r="F198" i="32"/>
  <c r="C198" i="33"/>
  <c r="C8" i="39"/>
  <c r="J9" i="13"/>
  <c r="C204" i="39"/>
  <c r="C204" i="12"/>
  <c r="C26" i="39"/>
  <c r="J112" i="13"/>
  <c r="C111" i="39"/>
  <c r="C116" i="39"/>
  <c r="C33" i="33"/>
  <c r="E33" i="33" s="1"/>
  <c r="J283" i="13"/>
  <c r="C194" i="12"/>
  <c r="C306" i="33"/>
  <c r="C197" i="33"/>
  <c r="E197" i="33" s="1"/>
  <c r="J158" i="13"/>
  <c r="C65" i="12"/>
  <c r="C229" i="33"/>
  <c r="F219" i="32"/>
  <c r="G219" i="32" s="1"/>
  <c r="J239" i="13"/>
  <c r="C238" i="33"/>
  <c r="E238" i="33" s="1"/>
  <c r="C251" i="12"/>
  <c r="J204" i="13"/>
  <c r="C150" i="39"/>
  <c r="C278" i="33"/>
  <c r="C121" i="39"/>
  <c r="C230" i="12"/>
  <c r="F153" i="32"/>
  <c r="C153" i="33"/>
  <c r="J128" i="13"/>
  <c r="C127" i="39"/>
  <c r="C11" i="39"/>
  <c r="U212" i="19"/>
  <c r="G211" i="49" s="1"/>
  <c r="U33" i="19"/>
  <c r="G32" i="49" s="1"/>
  <c r="U177" i="19"/>
  <c r="G176" i="49" s="1"/>
  <c r="U36" i="19"/>
  <c r="G35" i="49" s="1"/>
  <c r="U60" i="19"/>
  <c r="G59" i="49" s="1"/>
  <c r="U73" i="19"/>
  <c r="G72" i="49" s="1"/>
  <c r="U86" i="19"/>
  <c r="G85" i="49" s="1"/>
  <c r="U128" i="19"/>
  <c r="G127" i="49" s="1"/>
  <c r="U213" i="19"/>
  <c r="G212" i="49" s="1"/>
  <c r="U127" i="19"/>
  <c r="G126" i="49" s="1"/>
  <c r="U57" i="19"/>
  <c r="G56" i="49" s="1"/>
  <c r="U289" i="19"/>
  <c r="G288" i="49" s="1"/>
  <c r="U238" i="19"/>
  <c r="G237" i="49" s="1"/>
  <c r="U285" i="19"/>
  <c r="G284" i="49" s="1"/>
  <c r="U237" i="19"/>
  <c r="G236" i="49" s="1"/>
  <c r="U201" i="19"/>
  <c r="G200" i="49" s="1"/>
  <c r="U182" i="19"/>
  <c r="G181" i="49" s="1"/>
  <c r="U49" i="19"/>
  <c r="G48" i="49" s="1"/>
  <c r="U243" i="19"/>
  <c r="G242" i="49" s="1"/>
  <c r="U12" i="19"/>
  <c r="G11" i="49" s="1"/>
  <c r="U144" i="19"/>
  <c r="G143" i="49" s="1"/>
  <c r="U181" i="19"/>
  <c r="G180" i="49" s="1"/>
  <c r="U158" i="19"/>
  <c r="G157" i="49" s="1"/>
  <c r="U230" i="19"/>
  <c r="G229" i="49" s="1"/>
  <c r="U167" i="19"/>
  <c r="G166" i="49" s="1"/>
  <c r="U164" i="19"/>
  <c r="G163" i="49" s="1"/>
  <c r="U53" i="19"/>
  <c r="G52" i="49" s="1"/>
  <c r="U120" i="19"/>
  <c r="G119" i="49" s="1"/>
  <c r="U166" i="19"/>
  <c r="G165" i="49" s="1"/>
  <c r="U29" i="19"/>
  <c r="G28" i="49" s="1"/>
  <c r="U52" i="19"/>
  <c r="G51" i="49" s="1"/>
  <c r="U20" i="19"/>
  <c r="G19" i="49" s="1"/>
  <c r="U115" i="19"/>
  <c r="G114" i="49" s="1"/>
  <c r="U126" i="19"/>
  <c r="G125" i="49" s="1"/>
  <c r="U15" i="19"/>
  <c r="G14" i="49" s="1"/>
  <c r="U268" i="19"/>
  <c r="G267" i="49" s="1"/>
  <c r="U32" i="19"/>
  <c r="G31" i="49" s="1"/>
  <c r="U40" i="19"/>
  <c r="G39" i="49" s="1"/>
  <c r="U68" i="19"/>
  <c r="G67" i="49" s="1"/>
  <c r="U305" i="19"/>
  <c r="G304" i="49" s="1"/>
  <c r="U16" i="19"/>
  <c r="G15" i="49" s="1"/>
  <c r="U197" i="19"/>
  <c r="G196" i="49" s="1"/>
  <c r="U151" i="19"/>
  <c r="G150" i="49" s="1"/>
  <c r="U275" i="19"/>
  <c r="G274" i="49" s="1"/>
  <c r="U249" i="19"/>
  <c r="G248" i="49" s="1"/>
  <c r="U84" i="19"/>
  <c r="G83" i="49" s="1"/>
  <c r="U80" i="19"/>
  <c r="G79" i="49" s="1"/>
  <c r="U233" i="19"/>
  <c r="G232" i="49" s="1"/>
  <c r="U76" i="19"/>
  <c r="G75" i="49" s="1"/>
  <c r="U92" i="19"/>
  <c r="G91" i="49" s="1"/>
  <c r="U14" i="19"/>
  <c r="G13" i="49" s="1"/>
  <c r="U17" i="19"/>
  <c r="G16" i="49" s="1"/>
  <c r="U108" i="19"/>
  <c r="G107" i="49" s="1"/>
  <c r="U48" i="19"/>
  <c r="G47" i="49" s="1"/>
  <c r="U69" i="19"/>
  <c r="G68" i="49" s="1"/>
  <c r="U85" i="19"/>
  <c r="G84" i="49" s="1"/>
  <c r="U298" i="19"/>
  <c r="G297" i="49" s="1"/>
  <c r="U140" i="19"/>
  <c r="G139" i="49" s="1"/>
  <c r="U124" i="19"/>
  <c r="G123" i="49" s="1"/>
  <c r="U245" i="19"/>
  <c r="G244" i="49" s="1"/>
  <c r="U81" i="19"/>
  <c r="G80" i="49" s="1"/>
  <c r="U309" i="19"/>
  <c r="G308" i="49" s="1"/>
  <c r="U78" i="19"/>
  <c r="G77" i="49" s="1"/>
  <c r="U250" i="19"/>
  <c r="G249" i="49" s="1"/>
  <c r="U107" i="19"/>
  <c r="G106" i="49" s="1"/>
  <c r="U91" i="19"/>
  <c r="G90" i="49" s="1"/>
  <c r="U96" i="19"/>
  <c r="G95" i="49" s="1"/>
  <c r="U257" i="19"/>
  <c r="G256" i="49" s="1"/>
  <c r="U189" i="19"/>
  <c r="G188" i="49" s="1"/>
  <c r="U131" i="19"/>
  <c r="G130" i="49" s="1"/>
  <c r="U202" i="19"/>
  <c r="G201" i="49" s="1"/>
  <c r="U297" i="19"/>
  <c r="G296" i="49" s="1"/>
  <c r="U61" i="19"/>
  <c r="G60" i="49" s="1"/>
  <c r="C323" i="32"/>
  <c r="H323" i="32" s="1"/>
  <c r="C5" i="9" s="1"/>
  <c r="D324" i="25"/>
  <c r="D323" i="33"/>
  <c r="E323" i="32"/>
  <c r="D329" i="9"/>
  <c r="R325" i="19"/>
  <c r="K326" i="36"/>
  <c r="J213" i="13" l="1"/>
  <c r="J50" i="13"/>
  <c r="F61" i="32"/>
  <c r="G61" i="32" s="1"/>
  <c r="C316" i="39"/>
  <c r="C181" i="33"/>
  <c r="E181" i="33" s="1"/>
  <c r="C286" i="39"/>
  <c r="C276" i="39"/>
  <c r="C317" i="12"/>
  <c r="J145" i="13"/>
  <c r="C140" i="39"/>
  <c r="J8" i="49"/>
  <c r="K8" i="49" s="1"/>
  <c r="J6" i="49"/>
  <c r="L6" i="49" s="1"/>
  <c r="J306" i="13"/>
  <c r="C221" i="33"/>
  <c r="C110" i="33"/>
  <c r="E110" i="33" s="1"/>
  <c r="C281" i="33"/>
  <c r="E281" i="33" s="1"/>
  <c r="F258" i="32"/>
  <c r="G258" i="32" s="1"/>
  <c r="C65" i="39"/>
  <c r="C269" i="33"/>
  <c r="C265" i="33"/>
  <c r="E265" i="33" s="1"/>
  <c r="F139" i="32"/>
  <c r="G139" i="32" s="1"/>
  <c r="C176" i="39"/>
  <c r="C110" i="39"/>
  <c r="F222" i="32"/>
  <c r="G222" i="32" s="1"/>
  <c r="C181" i="39"/>
  <c r="F104" i="32"/>
  <c r="G104" i="32" s="1"/>
  <c r="C130" i="12"/>
  <c r="F297" i="32"/>
  <c r="G297" i="32" s="1"/>
  <c r="C5" i="39"/>
  <c r="G36" i="49"/>
  <c r="J36" i="13"/>
  <c r="F35" i="32"/>
  <c r="G35" i="32" s="1"/>
  <c r="C35" i="39"/>
  <c r="G42" i="49"/>
  <c r="J42" i="13"/>
  <c r="C41" i="33"/>
  <c r="E41" i="33" s="1"/>
  <c r="C41" i="39"/>
  <c r="C41" i="12"/>
  <c r="F41" i="32"/>
  <c r="G41" i="32" s="1"/>
  <c r="G44" i="49"/>
  <c r="C43" i="39"/>
  <c r="C43" i="33"/>
  <c r="E43" i="33" s="1"/>
  <c r="F43" i="32"/>
  <c r="G43" i="32" s="1"/>
  <c r="G53" i="49"/>
  <c r="C52" i="33"/>
  <c r="E52" i="33" s="1"/>
  <c r="C52" i="12"/>
  <c r="F52" i="32"/>
  <c r="G52" i="32" s="1"/>
  <c r="G82" i="49"/>
  <c r="C81" i="12"/>
  <c r="G89" i="49"/>
  <c r="C88" i="39"/>
  <c r="C88" i="33"/>
  <c r="E88" i="33" s="1"/>
  <c r="J89" i="13"/>
  <c r="G101" i="49"/>
  <c r="C100" i="33"/>
  <c r="E100" i="33" s="1"/>
  <c r="C100" i="12"/>
  <c r="G105" i="49"/>
  <c r="C104" i="12"/>
  <c r="C104" i="33"/>
  <c r="E104" i="33" s="1"/>
  <c r="G73" i="49"/>
  <c r="J73" i="13"/>
  <c r="C72" i="33"/>
  <c r="E72" i="33" s="1"/>
  <c r="F72" i="32"/>
  <c r="G72" i="32" s="1"/>
  <c r="G238" i="49"/>
  <c r="F237" i="32"/>
  <c r="G237" i="32" s="1"/>
  <c r="C237" i="39"/>
  <c r="G152" i="49"/>
  <c r="F151" i="32"/>
  <c r="G151" i="32" s="1"/>
  <c r="C151" i="39"/>
  <c r="C151" i="33"/>
  <c r="E151" i="33" s="1"/>
  <c r="G264" i="49"/>
  <c r="C263" i="33"/>
  <c r="E263" i="33" s="1"/>
  <c r="C263" i="39"/>
  <c r="G140" i="49"/>
  <c r="C139" i="39"/>
  <c r="J140" i="13"/>
  <c r="G214" i="49"/>
  <c r="J214" i="13"/>
  <c r="F213" i="32"/>
  <c r="G213" i="32" s="1"/>
  <c r="C213" i="33"/>
  <c r="E213" i="33" s="1"/>
  <c r="G290" i="49"/>
  <c r="C289" i="12"/>
  <c r="C289" i="33"/>
  <c r="C289" i="39"/>
  <c r="G110" i="49"/>
  <c r="C109" i="39"/>
  <c r="F109" i="32"/>
  <c r="G109" i="32" s="1"/>
  <c r="C109" i="33"/>
  <c r="E109" i="33" s="1"/>
  <c r="G228" i="49"/>
  <c r="C227" i="39"/>
  <c r="C227" i="12"/>
  <c r="G299" i="49"/>
  <c r="J299" i="13"/>
  <c r="C298" i="33"/>
  <c r="E298" i="33" s="1"/>
  <c r="F298" i="32"/>
  <c r="G298" i="32" s="1"/>
  <c r="G160" i="49"/>
  <c r="J160" i="13"/>
  <c r="C159" i="39"/>
  <c r="G153" i="49"/>
  <c r="F152" i="32"/>
  <c r="G152" i="32" s="1"/>
  <c r="J153" i="13"/>
  <c r="C152" i="12"/>
  <c r="C152" i="33"/>
  <c r="E152" i="33" s="1"/>
  <c r="G177" i="49"/>
  <c r="C176" i="12"/>
  <c r="C176" i="33"/>
  <c r="E176" i="33" s="1"/>
  <c r="G255" i="49"/>
  <c r="J255" i="13"/>
  <c r="F254" i="32"/>
  <c r="G254" i="32" s="1"/>
  <c r="C254" i="33"/>
  <c r="E254" i="33" s="1"/>
  <c r="C254" i="39"/>
  <c r="G155" i="49"/>
  <c r="C154" i="33"/>
  <c r="E154" i="33" s="1"/>
  <c r="J155" i="13"/>
  <c r="G156" i="49"/>
  <c r="C155" i="33"/>
  <c r="E155" i="33" s="1"/>
  <c r="C155" i="12"/>
  <c r="C155" i="39"/>
  <c r="G189" i="49"/>
  <c r="C188" i="39"/>
  <c r="F188" i="32"/>
  <c r="G188" i="32" s="1"/>
  <c r="J189" i="13"/>
  <c r="G37" i="49"/>
  <c r="C36" i="39"/>
  <c r="C36" i="12"/>
  <c r="C36" i="33"/>
  <c r="G162" i="49"/>
  <c r="C161" i="12"/>
  <c r="F161" i="32"/>
  <c r="C161" i="39"/>
  <c r="G257" i="49"/>
  <c r="C256" i="39"/>
  <c r="C256" i="33"/>
  <c r="E256" i="33" s="1"/>
  <c r="F256" i="32"/>
  <c r="G256" i="32" s="1"/>
  <c r="G22" i="49"/>
  <c r="C21" i="39"/>
  <c r="C21" i="12"/>
  <c r="F21" i="32"/>
  <c r="G21" i="32" s="1"/>
  <c r="G183" i="49"/>
  <c r="C182" i="39"/>
  <c r="C182" i="12"/>
  <c r="F182" i="32"/>
  <c r="G182" i="32" s="1"/>
  <c r="G262" i="49"/>
  <c r="C261" i="33"/>
  <c r="E261" i="33" s="1"/>
  <c r="C261" i="12"/>
  <c r="G184" i="49"/>
  <c r="C183" i="12"/>
  <c r="C183" i="33"/>
  <c r="E183" i="33" s="1"/>
  <c r="C183" i="39"/>
  <c r="G227" i="49"/>
  <c r="F226" i="32"/>
  <c r="C226" i="33"/>
  <c r="E226" i="33" s="1"/>
  <c r="J227" i="13"/>
  <c r="C226" i="39"/>
  <c r="G300" i="49"/>
  <c r="C299" i="12"/>
  <c r="C299" i="33"/>
  <c r="E299" i="33" s="1"/>
  <c r="G194" i="49"/>
  <c r="C193" i="12"/>
  <c r="F193" i="32"/>
  <c r="G193" i="32" s="1"/>
  <c r="C193" i="33"/>
  <c r="G81" i="49"/>
  <c r="C80" i="33"/>
  <c r="F80" i="32"/>
  <c r="G80" i="32" s="1"/>
  <c r="C80" i="39"/>
  <c r="G120" i="49"/>
  <c r="C119" i="33"/>
  <c r="E119" i="33" s="1"/>
  <c r="F119" i="32"/>
  <c r="G119" i="32" s="1"/>
  <c r="G209" i="49"/>
  <c r="C208" i="33"/>
  <c r="E208" i="33" s="1"/>
  <c r="F208" i="32"/>
  <c r="G208" i="32" s="1"/>
  <c r="C208" i="39"/>
  <c r="G38" i="49"/>
  <c r="C37" i="12"/>
  <c r="F37" i="32"/>
  <c r="G37" i="32" s="1"/>
  <c r="C37" i="33"/>
  <c r="C37" i="39"/>
  <c r="G206" i="49"/>
  <c r="C205" i="39"/>
  <c r="C205" i="12"/>
  <c r="F205" i="32"/>
  <c r="G205" i="32" s="1"/>
  <c r="G278" i="49"/>
  <c r="C277" i="39"/>
  <c r="C277" i="12"/>
  <c r="F277" i="32"/>
  <c r="G277" i="32" s="1"/>
  <c r="C277" i="33"/>
  <c r="E277" i="33" s="1"/>
  <c r="G118" i="49"/>
  <c r="C117" i="12"/>
  <c r="G203" i="49"/>
  <c r="J203" i="13"/>
  <c r="C202" i="39"/>
  <c r="F202" i="32"/>
  <c r="G202" i="32" s="1"/>
  <c r="C202" i="33"/>
  <c r="E202" i="33" s="1"/>
  <c r="G291" i="49"/>
  <c r="C290" i="39"/>
  <c r="C290" i="12"/>
  <c r="F290" i="32"/>
  <c r="G290" i="32" s="1"/>
  <c r="G319" i="49"/>
  <c r="C318" i="39"/>
  <c r="F318" i="32"/>
  <c r="G318" i="32" s="1"/>
  <c r="C318" i="33"/>
  <c r="G286" i="49"/>
  <c r="C285" i="39"/>
  <c r="C285" i="12"/>
  <c r="J286" i="13"/>
  <c r="G321" i="49"/>
  <c r="C320" i="33"/>
  <c r="E320" i="33" s="1"/>
  <c r="F320" i="32"/>
  <c r="G320" i="32" s="1"/>
  <c r="C320" i="12"/>
  <c r="J321" i="13"/>
  <c r="G49" i="49"/>
  <c r="C48" i="39"/>
  <c r="C48" i="33"/>
  <c r="E48" i="33" s="1"/>
  <c r="J49" i="13"/>
  <c r="C48" i="12"/>
  <c r="G263" i="49"/>
  <c r="C262" i="12"/>
  <c r="F262" i="32"/>
  <c r="G262" i="32" s="1"/>
  <c r="C262" i="33"/>
  <c r="E262" i="33" s="1"/>
  <c r="G281" i="49"/>
  <c r="C280" i="12"/>
  <c r="F280" i="32"/>
  <c r="G280" i="32" s="1"/>
  <c r="J281" i="13"/>
  <c r="C280" i="39"/>
  <c r="G92" i="49"/>
  <c r="J92" i="13"/>
  <c r="C91" i="39"/>
  <c r="C91" i="12"/>
  <c r="G185" i="49"/>
  <c r="C184" i="33"/>
  <c r="E184" i="33" s="1"/>
  <c r="J185" i="13"/>
  <c r="F184" i="32"/>
  <c r="G184" i="32" s="1"/>
  <c r="G113" i="49"/>
  <c r="F112" i="32"/>
  <c r="G112" i="32" s="1"/>
  <c r="J113" i="13"/>
  <c r="C112" i="12"/>
  <c r="G270" i="49"/>
  <c r="C269" i="39"/>
  <c r="C269" i="12"/>
  <c r="F269" i="32"/>
  <c r="G269" i="32" s="1"/>
  <c r="G241" i="49"/>
  <c r="C240" i="33"/>
  <c r="E240" i="33" s="1"/>
  <c r="F240" i="32"/>
  <c r="G240" i="32" s="1"/>
  <c r="C240" i="12"/>
  <c r="G208" i="49"/>
  <c r="C207" i="33"/>
  <c r="E207" i="33" s="1"/>
  <c r="J208" i="13"/>
  <c r="C207" i="39"/>
  <c r="G243" i="49"/>
  <c r="C242" i="12"/>
  <c r="F242" i="32"/>
  <c r="G242" i="32" s="1"/>
  <c r="C242" i="33"/>
  <c r="E242" i="33" s="1"/>
  <c r="G275" i="49"/>
  <c r="C274" i="12"/>
  <c r="J275" i="13"/>
  <c r="C274" i="39"/>
  <c r="G224" i="49"/>
  <c r="C223" i="39"/>
  <c r="J224" i="13"/>
  <c r="C223" i="33"/>
  <c r="E223" i="33" s="1"/>
  <c r="G268" i="49"/>
  <c r="J268" i="13"/>
  <c r="F267" i="32"/>
  <c r="G267" i="32" s="1"/>
  <c r="C267" i="12"/>
  <c r="C267" i="33"/>
  <c r="E267" i="33" s="1"/>
  <c r="G240" i="49"/>
  <c r="C239" i="12"/>
  <c r="C239" i="33"/>
  <c r="E239" i="33" s="1"/>
  <c r="F239" i="32"/>
  <c r="G239" i="32" s="1"/>
  <c r="G146" i="49"/>
  <c r="F145" i="32"/>
  <c r="J146" i="13"/>
  <c r="C145" i="12"/>
  <c r="G131" i="49"/>
  <c r="C130" i="39"/>
  <c r="F130" i="32"/>
  <c r="G130" i="32" s="1"/>
  <c r="C130" i="33"/>
  <c r="E130" i="33" s="1"/>
  <c r="G24" i="49"/>
  <c r="C23" i="39"/>
  <c r="C23" i="33"/>
  <c r="E23" i="33" s="1"/>
  <c r="F23" i="32"/>
  <c r="G23" i="32" s="1"/>
  <c r="G193" i="49"/>
  <c r="J193" i="13"/>
  <c r="C192" i="12"/>
  <c r="C192" i="39"/>
  <c r="G61" i="49"/>
  <c r="C60" i="12"/>
  <c r="J61" i="13"/>
  <c r="C60" i="39"/>
  <c r="C60" i="33"/>
  <c r="E60" i="33" s="1"/>
  <c r="G298" i="49"/>
  <c r="C297" i="39"/>
  <c r="J298" i="13"/>
  <c r="C297" i="33"/>
  <c r="E297" i="33" s="1"/>
  <c r="G219" i="49"/>
  <c r="J219" i="13"/>
  <c r="C218" i="33"/>
  <c r="E218" i="33" s="1"/>
  <c r="C218" i="39"/>
  <c r="C218" i="12"/>
  <c r="F218" i="32"/>
  <c r="G218" i="32" s="1"/>
  <c r="G40" i="49"/>
  <c r="C39" i="39"/>
  <c r="C39" i="12"/>
  <c r="F39" i="32"/>
  <c r="G39" i="32" s="1"/>
  <c r="G141" i="49"/>
  <c r="C140" i="33"/>
  <c r="E140" i="33" s="1"/>
  <c r="C140" i="12"/>
  <c r="F140" i="32"/>
  <c r="G140" i="32" s="1"/>
  <c r="G25" i="49"/>
  <c r="C24" i="39"/>
  <c r="F24" i="32"/>
  <c r="G24" i="32" s="1"/>
  <c r="C24" i="33"/>
  <c r="E24" i="33" s="1"/>
  <c r="J25" i="13"/>
  <c r="G312" i="49"/>
  <c r="C311" i="39"/>
  <c r="F311" i="32"/>
  <c r="G311" i="32" s="1"/>
  <c r="C311" i="33"/>
  <c r="E311" i="33" s="1"/>
  <c r="G111" i="49"/>
  <c r="C110" i="12"/>
  <c r="F110" i="32"/>
  <c r="G110" i="32" s="1"/>
  <c r="G260" i="49"/>
  <c r="C259" i="33"/>
  <c r="E259" i="33" s="1"/>
  <c r="J260" i="13"/>
  <c r="F259" i="32"/>
  <c r="G259" i="32" s="1"/>
  <c r="G190" i="49"/>
  <c r="J190" i="13"/>
  <c r="C189" i="33"/>
  <c r="E189" i="33" s="1"/>
  <c r="C189" i="12"/>
  <c r="G317" i="49"/>
  <c r="C316" i="33"/>
  <c r="J317" i="13"/>
  <c r="F316" i="32"/>
  <c r="G316" i="32" s="1"/>
  <c r="G279" i="49"/>
  <c r="C278" i="12"/>
  <c r="F278" i="32"/>
  <c r="G278" i="32" s="1"/>
  <c r="G182" i="49"/>
  <c r="C181" i="12"/>
  <c r="J182" i="13"/>
  <c r="G50" i="49"/>
  <c r="C49" i="12"/>
  <c r="F49" i="32"/>
  <c r="G49" i="32" s="1"/>
  <c r="G54" i="49"/>
  <c r="C53" i="12"/>
  <c r="C53" i="39"/>
  <c r="F53" i="32"/>
  <c r="G53" i="32" s="1"/>
  <c r="C53" i="33"/>
  <c r="E53" i="33" s="1"/>
  <c r="G98" i="49"/>
  <c r="F97" i="32"/>
  <c r="G97" i="32" s="1"/>
  <c r="C97" i="12"/>
  <c r="J98" i="13"/>
  <c r="C97" i="33"/>
  <c r="E97" i="33" s="1"/>
  <c r="G197" i="49"/>
  <c r="J197" i="13"/>
  <c r="F196" i="32"/>
  <c r="G196" i="32" s="1"/>
  <c r="C196" i="39"/>
  <c r="C196" i="12"/>
  <c r="G289" i="49"/>
  <c r="C288" i="39"/>
  <c r="J289" i="13"/>
  <c r="C288" i="12"/>
  <c r="G136" i="49"/>
  <c r="C135" i="33"/>
  <c r="E135" i="33" s="1"/>
  <c r="J136" i="13"/>
  <c r="F135" i="32"/>
  <c r="G135" i="32" s="1"/>
  <c r="C135" i="39"/>
  <c r="G210" i="49"/>
  <c r="C209" i="39"/>
  <c r="C209" i="33"/>
  <c r="E209" i="33" s="1"/>
  <c r="J210" i="13"/>
  <c r="C209" i="12"/>
  <c r="F209" i="32"/>
  <c r="G209" i="32" s="1"/>
  <c r="G302" i="49"/>
  <c r="C301" i="39"/>
  <c r="J302" i="13"/>
  <c r="C301" i="12"/>
  <c r="G207" i="49"/>
  <c r="C206" i="39"/>
  <c r="J207" i="13"/>
  <c r="C206" i="33"/>
  <c r="E206" i="33" s="1"/>
  <c r="G295" i="49"/>
  <c r="J295" i="13"/>
  <c r="C294" i="33"/>
  <c r="E294" i="33" s="1"/>
  <c r="C294" i="39"/>
  <c r="F294" i="32"/>
  <c r="G294" i="32" s="1"/>
  <c r="G33" i="49"/>
  <c r="C32" i="39"/>
  <c r="J33" i="13"/>
  <c r="C32" i="33"/>
  <c r="E32" i="33" s="1"/>
  <c r="F32" i="32"/>
  <c r="G32" i="32" s="1"/>
  <c r="G303" i="49"/>
  <c r="J303" i="13"/>
  <c r="C302" i="33"/>
  <c r="E302" i="33" s="1"/>
  <c r="C302" i="39"/>
  <c r="C302" i="12"/>
  <c r="F302" i="32"/>
  <c r="G302" i="32" s="1"/>
  <c r="G273" i="49"/>
  <c r="C272" i="12"/>
  <c r="J273" i="13"/>
  <c r="C272" i="33"/>
  <c r="E272" i="33" s="1"/>
  <c r="F272" i="32"/>
  <c r="G272" i="32" s="1"/>
  <c r="G220" i="49"/>
  <c r="C219" i="39"/>
  <c r="C219" i="12"/>
  <c r="G66" i="49"/>
  <c r="J66" i="13"/>
  <c r="F65" i="32"/>
  <c r="G65" i="32" s="1"/>
  <c r="G235" i="49"/>
  <c r="J235" i="13"/>
  <c r="C234" i="12"/>
  <c r="F234" i="32"/>
  <c r="G234" i="32" s="1"/>
  <c r="G142" i="49"/>
  <c r="J142" i="13"/>
  <c r="C141" i="33"/>
  <c r="E141" i="33" s="1"/>
  <c r="C141" i="39"/>
  <c r="F141" i="32"/>
  <c r="G141" i="32" s="1"/>
  <c r="G138" i="49"/>
  <c r="C137" i="39"/>
  <c r="J138" i="13"/>
  <c r="C137" i="12"/>
  <c r="G18" i="49"/>
  <c r="J18" i="13"/>
  <c r="F17" i="32"/>
  <c r="G17" i="32" s="1"/>
  <c r="C17" i="33"/>
  <c r="E17" i="33" s="1"/>
  <c r="G93" i="49"/>
  <c r="C92" i="39"/>
  <c r="J93" i="13"/>
  <c r="C92" i="12"/>
  <c r="G97" i="49"/>
  <c r="J97" i="13"/>
  <c r="C96" i="12"/>
  <c r="C96" i="39"/>
  <c r="C96" i="33"/>
  <c r="E96" i="33" s="1"/>
  <c r="G202" i="49"/>
  <c r="C201" i="12"/>
  <c r="F201" i="32"/>
  <c r="G201" i="32" s="1"/>
  <c r="C201" i="33"/>
  <c r="E201" i="33" s="1"/>
  <c r="G57" i="49"/>
  <c r="C56" i="12"/>
  <c r="J57" i="13"/>
  <c r="C56" i="39"/>
  <c r="G287" i="49"/>
  <c r="F286" i="32"/>
  <c r="G286" i="32" s="1"/>
  <c r="C286" i="33"/>
  <c r="E286" i="33" s="1"/>
  <c r="J287" i="13"/>
  <c r="G96" i="49"/>
  <c r="C95" i="33"/>
  <c r="E95" i="33" s="1"/>
  <c r="C95" i="12"/>
  <c r="F95" i="32"/>
  <c r="G95" i="32" s="1"/>
  <c r="G74" i="49"/>
  <c r="J74" i="13"/>
  <c r="C73" i="33"/>
  <c r="F73" i="32"/>
  <c r="G73" i="32" s="1"/>
  <c r="G70" i="49"/>
  <c r="C69" i="39"/>
  <c r="C69" i="33"/>
  <c r="E69" i="33" s="1"/>
  <c r="C69" i="12"/>
  <c r="G269" i="49"/>
  <c r="C268" i="39"/>
  <c r="J269" i="13"/>
  <c r="C268" i="33"/>
  <c r="E268" i="33" s="1"/>
  <c r="F268" i="32"/>
  <c r="G268" i="32" s="1"/>
  <c r="G261" i="49"/>
  <c r="J261" i="13"/>
  <c r="F260" i="32"/>
  <c r="G260" i="32" s="1"/>
  <c r="C260" i="12"/>
  <c r="C260" i="39"/>
  <c r="G100" i="49"/>
  <c r="C99" i="12"/>
  <c r="J100" i="13"/>
  <c r="C99" i="33"/>
  <c r="E99" i="33" s="1"/>
  <c r="F99" i="32"/>
  <c r="G99" i="32" s="1"/>
  <c r="G266" i="49"/>
  <c r="C265" i="39"/>
  <c r="J266" i="13"/>
  <c r="C265" i="12"/>
  <c r="G276" i="49"/>
  <c r="J276" i="13"/>
  <c r="F275" i="32"/>
  <c r="G275" i="32" s="1"/>
  <c r="C275" i="12"/>
  <c r="C275" i="39"/>
  <c r="G78" i="49"/>
  <c r="C77" i="39"/>
  <c r="F77" i="32"/>
  <c r="G77" i="32" s="1"/>
  <c r="J78" i="13"/>
  <c r="C77" i="12"/>
  <c r="G135" i="49"/>
  <c r="C134" i="39"/>
  <c r="J135" i="13"/>
  <c r="C134" i="12"/>
  <c r="F134" i="32"/>
  <c r="G134" i="32" s="1"/>
  <c r="G292" i="49"/>
  <c r="F291" i="32"/>
  <c r="G291" i="32" s="1"/>
  <c r="J292" i="13"/>
  <c r="C291" i="39"/>
  <c r="G213" i="49"/>
  <c r="C212" i="12"/>
  <c r="C212" i="33"/>
  <c r="E212" i="33" s="1"/>
  <c r="G62" i="49"/>
  <c r="C61" i="12"/>
  <c r="C61" i="39"/>
  <c r="G282" i="49"/>
  <c r="C281" i="12"/>
  <c r="F281" i="32"/>
  <c r="G281" i="32" s="1"/>
  <c r="G223" i="49"/>
  <c r="C222" i="12"/>
  <c r="C222" i="39"/>
  <c r="G129" i="49"/>
  <c r="J129" i="13"/>
  <c r="C128" i="12"/>
  <c r="C128" i="39"/>
  <c r="G259" i="49"/>
  <c r="J259" i="13"/>
  <c r="C258" i="33"/>
  <c r="C258" i="39"/>
  <c r="G115" i="49"/>
  <c r="J115" i="13"/>
  <c r="C114" i="33"/>
  <c r="E114" i="33" s="1"/>
  <c r="C114" i="12"/>
  <c r="C291" i="33"/>
  <c r="E291" i="33" s="1"/>
  <c r="F212" i="32"/>
  <c r="G212" i="32" s="1"/>
  <c r="C259" i="12"/>
  <c r="J62" i="13"/>
  <c r="C189" i="39"/>
  <c r="J282" i="13"/>
  <c r="C222" i="33"/>
  <c r="E222" i="33" s="1"/>
  <c r="C278" i="39"/>
  <c r="C128" i="33"/>
  <c r="E128" i="33" s="1"/>
  <c r="C49" i="33"/>
  <c r="E49" i="33" s="1"/>
  <c r="C219" i="33"/>
  <c r="E219" i="33" s="1"/>
  <c r="J105" i="13"/>
  <c r="C112" i="33"/>
  <c r="E112" i="33" s="1"/>
  <c r="C234" i="33"/>
  <c r="C207" i="12"/>
  <c r="C17" i="39"/>
  <c r="F274" i="32"/>
  <c r="G274" i="32" s="1"/>
  <c r="C223" i="12"/>
  <c r="J240" i="13"/>
  <c r="C56" i="33"/>
  <c r="E56" i="33" s="1"/>
  <c r="C95" i="39"/>
  <c r="C73" i="39"/>
  <c r="F192" i="32"/>
  <c r="G192" i="32" s="1"/>
  <c r="C99" i="39"/>
  <c r="J40" i="13"/>
  <c r="C35" i="12"/>
  <c r="C288" i="33"/>
  <c r="E288" i="33" s="1"/>
  <c r="F301" i="32"/>
  <c r="G301" i="32" s="1"/>
  <c r="C294" i="12"/>
  <c r="F81" i="32"/>
  <c r="G81" i="32" s="1"/>
  <c r="J152" i="13"/>
  <c r="C213" i="39"/>
  <c r="C298" i="39"/>
  <c r="F154" i="32"/>
  <c r="G154" i="32" s="1"/>
  <c r="J118" i="13"/>
  <c r="G69" i="49"/>
  <c r="J69" i="13"/>
  <c r="F68" i="32"/>
  <c r="G68" i="32" s="1"/>
  <c r="C68" i="33"/>
  <c r="E68" i="33" s="1"/>
  <c r="F91" i="32"/>
  <c r="G91" i="32" s="1"/>
  <c r="C184" i="12"/>
  <c r="C112" i="39"/>
  <c r="C52" i="39"/>
  <c r="C240" i="39"/>
  <c r="C137" i="33"/>
  <c r="E137" i="33" s="1"/>
  <c r="C242" i="39"/>
  <c r="F92" i="32"/>
  <c r="G92" i="32" s="1"/>
  <c r="C201" i="39"/>
  <c r="C145" i="33"/>
  <c r="E145" i="33" s="1"/>
  <c r="C68" i="39"/>
  <c r="J96" i="13"/>
  <c r="C23" i="12"/>
  <c r="J70" i="13"/>
  <c r="C192" i="33"/>
  <c r="E192" i="33" s="1"/>
  <c r="C260" i="33"/>
  <c r="E260" i="33" s="1"/>
  <c r="C77" i="33"/>
  <c r="E77" i="33" s="1"/>
  <c r="C311" i="12"/>
  <c r="F114" i="32"/>
  <c r="G114" i="32" s="1"/>
  <c r="C97" i="39"/>
  <c r="C135" i="12"/>
  <c r="F206" i="32"/>
  <c r="G206" i="32" s="1"/>
  <c r="C32" i="12"/>
  <c r="C81" i="39"/>
  <c r="C263" i="12"/>
  <c r="J290" i="13"/>
  <c r="C159" i="33"/>
  <c r="C154" i="39"/>
  <c r="C161" i="33"/>
  <c r="E161" i="33" s="1"/>
  <c r="C119" i="39"/>
  <c r="J319" i="13"/>
  <c r="G21" i="49"/>
  <c r="C20" i="12"/>
  <c r="J159" i="13"/>
  <c r="C5" i="12"/>
  <c r="C25" i="12"/>
  <c r="C271" i="33"/>
  <c r="E271" i="33" s="1"/>
  <c r="F115" i="32"/>
  <c r="G115" i="32" s="1"/>
  <c r="C315" i="12"/>
  <c r="F5" i="32"/>
  <c r="G5" i="32" s="1"/>
  <c r="J6" i="13"/>
  <c r="F308" i="32"/>
  <c r="G308" i="32" s="1"/>
  <c r="F284" i="32"/>
  <c r="G284" i="32" s="1"/>
  <c r="C100" i="39"/>
  <c r="C20" i="39"/>
  <c r="J314" i="13"/>
  <c r="C293" i="39"/>
  <c r="J311" i="13"/>
  <c r="C5" i="33"/>
  <c r="E5" i="33" s="1"/>
  <c r="C20" i="33"/>
  <c r="E20" i="33" s="1"/>
  <c r="J7" i="49"/>
  <c r="L7" i="49" s="1"/>
  <c r="J9" i="49"/>
  <c r="J13" i="49"/>
  <c r="J17" i="49"/>
  <c r="J21" i="49"/>
  <c r="J25" i="49"/>
  <c r="J29" i="49"/>
  <c r="J33" i="49"/>
  <c r="J37" i="49"/>
  <c r="J41" i="49"/>
  <c r="J45" i="49"/>
  <c r="J49" i="49"/>
  <c r="J53" i="49"/>
  <c r="J57" i="49"/>
  <c r="J61" i="49"/>
  <c r="J65" i="49"/>
  <c r="J69" i="49"/>
  <c r="J12" i="49"/>
  <c r="J18" i="49"/>
  <c r="J23" i="49"/>
  <c r="J28" i="49"/>
  <c r="J34" i="49"/>
  <c r="J39" i="49"/>
  <c r="J44" i="49"/>
  <c r="J50" i="49"/>
  <c r="J55" i="49"/>
  <c r="J60" i="49"/>
  <c r="J66" i="49"/>
  <c r="J71" i="49"/>
  <c r="J75" i="49"/>
  <c r="J79" i="49"/>
  <c r="J83" i="49"/>
  <c r="J87" i="49"/>
  <c r="J91" i="49"/>
  <c r="J95" i="49"/>
  <c r="J99" i="49"/>
  <c r="J103" i="49"/>
  <c r="J107" i="49"/>
  <c r="J111" i="49"/>
  <c r="J115" i="49"/>
  <c r="J119" i="49"/>
  <c r="L119" i="49" s="1"/>
  <c r="J123" i="49"/>
  <c r="J127" i="49"/>
  <c r="L127" i="49" s="1"/>
  <c r="J131" i="49"/>
  <c r="L131" i="49" s="1"/>
  <c r="J135" i="49"/>
  <c r="L135" i="49" s="1"/>
  <c r="J139" i="49"/>
  <c r="J143" i="49"/>
  <c r="J147" i="49"/>
  <c r="J151" i="49"/>
  <c r="L151" i="49" s="1"/>
  <c r="J155" i="49"/>
  <c r="L155" i="49" s="1"/>
  <c r="J159" i="49"/>
  <c r="J163" i="49"/>
  <c r="J167" i="49"/>
  <c r="J171" i="49"/>
  <c r="J175" i="49"/>
  <c r="J179" i="49"/>
  <c r="J183" i="49"/>
  <c r="J187" i="49"/>
  <c r="J191" i="49"/>
  <c r="J195" i="49"/>
  <c r="J199" i="49"/>
  <c r="J203" i="49"/>
  <c r="J207" i="49"/>
  <c r="L207" i="49" s="1"/>
  <c r="J211" i="49"/>
  <c r="J215" i="49"/>
  <c r="J219" i="49"/>
  <c r="J223" i="49"/>
  <c r="J227" i="49"/>
  <c r="J231" i="49"/>
  <c r="L231" i="49" s="1"/>
  <c r="J235" i="49"/>
  <c r="J11" i="49"/>
  <c r="J19" i="49"/>
  <c r="J26" i="49"/>
  <c r="J32" i="49"/>
  <c r="J40" i="49"/>
  <c r="J47" i="49"/>
  <c r="J54" i="49"/>
  <c r="J62" i="49"/>
  <c r="J68" i="49"/>
  <c r="J74" i="49"/>
  <c r="J80" i="49"/>
  <c r="J85" i="49"/>
  <c r="J90" i="49"/>
  <c r="J96" i="49"/>
  <c r="J101" i="49"/>
  <c r="J106" i="49"/>
  <c r="J112" i="49"/>
  <c r="L112" i="49" s="1"/>
  <c r="J117" i="49"/>
  <c r="L117" i="49" s="1"/>
  <c r="J122" i="49"/>
  <c r="L122" i="49" s="1"/>
  <c r="J128" i="49"/>
  <c r="L128" i="49" s="1"/>
  <c r="J133" i="49"/>
  <c r="J138" i="49"/>
  <c r="J144" i="49"/>
  <c r="L144" i="49" s="1"/>
  <c r="J149" i="49"/>
  <c r="L149" i="49" s="1"/>
  <c r="J154" i="49"/>
  <c r="L154" i="49" s="1"/>
  <c r="J160" i="49"/>
  <c r="J165" i="49"/>
  <c r="J170" i="49"/>
  <c r="J176" i="49"/>
  <c r="J181" i="49"/>
  <c r="J186" i="49"/>
  <c r="J192" i="49"/>
  <c r="J197" i="49"/>
  <c r="J202" i="49"/>
  <c r="J208" i="49"/>
  <c r="L208" i="49" s="1"/>
  <c r="J213" i="49"/>
  <c r="J218" i="49"/>
  <c r="J224" i="49"/>
  <c r="J229" i="49"/>
  <c r="J234" i="49"/>
  <c r="J239" i="49"/>
  <c r="J243" i="49"/>
  <c r="J247" i="49"/>
  <c r="J251" i="49"/>
  <c r="J255" i="49"/>
  <c r="J259" i="49"/>
  <c r="J263" i="49"/>
  <c r="J267" i="49"/>
  <c r="J271" i="49"/>
  <c r="J275" i="49"/>
  <c r="J279" i="49"/>
  <c r="J283" i="49"/>
  <c r="L283" i="49" s="1"/>
  <c r="J287" i="49"/>
  <c r="L287" i="49" s="1"/>
  <c r="J291" i="49"/>
  <c r="L291" i="49" s="1"/>
  <c r="J295" i="49"/>
  <c r="J299" i="49"/>
  <c r="J303" i="49"/>
  <c r="J307" i="49"/>
  <c r="J311" i="49"/>
  <c r="J315" i="49"/>
  <c r="J319" i="49"/>
  <c r="J323" i="49"/>
  <c r="J10" i="49"/>
  <c r="J20" i="49"/>
  <c r="J30" i="49"/>
  <c r="J38" i="49"/>
  <c r="J48" i="49"/>
  <c r="J58" i="49"/>
  <c r="J67" i="49"/>
  <c r="J76" i="49"/>
  <c r="J82" i="49"/>
  <c r="J89" i="49"/>
  <c r="J97" i="49"/>
  <c r="J104" i="49"/>
  <c r="J110" i="49"/>
  <c r="J118" i="49"/>
  <c r="J125" i="49"/>
  <c r="J132" i="49"/>
  <c r="J140" i="49"/>
  <c r="J146" i="49"/>
  <c r="J153" i="49"/>
  <c r="J161" i="49"/>
  <c r="J168" i="49"/>
  <c r="J174" i="49"/>
  <c r="J182" i="49"/>
  <c r="J189" i="49"/>
  <c r="J196" i="49"/>
  <c r="L196" i="49" s="1"/>
  <c r="J204" i="49"/>
  <c r="J210" i="49"/>
  <c r="J217" i="49"/>
  <c r="J225" i="49"/>
  <c r="J232" i="49"/>
  <c r="J238" i="49"/>
  <c r="J244" i="49"/>
  <c r="J249" i="49"/>
  <c r="J254" i="49"/>
  <c r="J260" i="49"/>
  <c r="J265" i="49"/>
  <c r="J270" i="49"/>
  <c r="J276" i="49"/>
  <c r="J281" i="49"/>
  <c r="J286" i="49"/>
  <c r="L286" i="49" s="1"/>
  <c r="J292" i="49"/>
  <c r="L292" i="49" s="1"/>
  <c r="J297" i="49"/>
  <c r="J302" i="49"/>
  <c r="J308" i="49"/>
  <c r="J313" i="49"/>
  <c r="J318" i="49"/>
  <c r="J14" i="49"/>
  <c r="L14" i="49" s="1"/>
  <c r="J22" i="49"/>
  <c r="J31" i="49"/>
  <c r="J42" i="49"/>
  <c r="J51" i="49"/>
  <c r="J59" i="49"/>
  <c r="J70" i="49"/>
  <c r="J77" i="49"/>
  <c r="J84" i="49"/>
  <c r="J92" i="49"/>
  <c r="J98" i="49"/>
  <c r="J105" i="49"/>
  <c r="J113" i="49"/>
  <c r="J120" i="49"/>
  <c r="L120" i="49" s="1"/>
  <c r="J126" i="49"/>
  <c r="L126" i="49" s="1"/>
  <c r="J134" i="49"/>
  <c r="L134" i="49" s="1"/>
  <c r="J141" i="49"/>
  <c r="J148" i="49"/>
  <c r="J156" i="49"/>
  <c r="L156" i="49" s="1"/>
  <c r="J162" i="49"/>
  <c r="J169" i="49"/>
  <c r="J177" i="49"/>
  <c r="J184" i="49"/>
  <c r="J190" i="49"/>
  <c r="J198" i="49"/>
  <c r="J205" i="49"/>
  <c r="J212" i="49"/>
  <c r="J220" i="49"/>
  <c r="J226" i="49"/>
  <c r="L226" i="49" s="1"/>
  <c r="J233" i="49"/>
  <c r="J240" i="49"/>
  <c r="J245" i="49"/>
  <c r="J250" i="49"/>
  <c r="J256" i="49"/>
  <c r="J261" i="49"/>
  <c r="J266" i="49"/>
  <c r="J272" i="49"/>
  <c r="J277" i="49"/>
  <c r="J282" i="49"/>
  <c r="J288" i="49"/>
  <c r="L288" i="49" s="1"/>
  <c r="J293" i="49"/>
  <c r="J298" i="49"/>
  <c r="J304" i="49"/>
  <c r="L304" i="49" s="1"/>
  <c r="J309" i="49"/>
  <c r="J314" i="49"/>
  <c r="L314" i="49" s="1"/>
  <c r="J320" i="49"/>
  <c r="J15" i="49"/>
  <c r="J24" i="49"/>
  <c r="J35" i="49"/>
  <c r="J43" i="49"/>
  <c r="J52" i="49"/>
  <c r="J63" i="49"/>
  <c r="J72" i="49"/>
  <c r="J78" i="49"/>
  <c r="J86" i="49"/>
  <c r="J93" i="49"/>
  <c r="J100" i="49"/>
  <c r="J108" i="49"/>
  <c r="J114" i="49"/>
  <c r="L114" i="49" s="1"/>
  <c r="J121" i="49"/>
  <c r="L121" i="49" s="1"/>
  <c r="J129" i="49"/>
  <c r="L129" i="49" s="1"/>
  <c r="J136" i="49"/>
  <c r="J142" i="49"/>
  <c r="J150" i="49"/>
  <c r="L150" i="49" s="1"/>
  <c r="J157" i="49"/>
  <c r="J164" i="49"/>
  <c r="J172" i="49"/>
  <c r="J178" i="49"/>
  <c r="J185" i="49"/>
  <c r="J193" i="49"/>
  <c r="J200" i="49"/>
  <c r="J206" i="49"/>
  <c r="J214" i="49"/>
  <c r="J221" i="49"/>
  <c r="J228" i="49"/>
  <c r="J236" i="49"/>
  <c r="J241" i="49"/>
  <c r="J246" i="49"/>
  <c r="J252" i="49"/>
  <c r="J257" i="49"/>
  <c r="J262" i="49"/>
  <c r="J268" i="49"/>
  <c r="J273" i="49"/>
  <c r="J278" i="49"/>
  <c r="J284" i="49"/>
  <c r="L284" i="49" s="1"/>
  <c r="J289" i="49"/>
  <c r="L289" i="49" s="1"/>
  <c r="J294" i="49"/>
  <c r="J300" i="49"/>
  <c r="J305" i="49"/>
  <c r="L305" i="49" s="1"/>
  <c r="J310" i="49"/>
  <c r="J316" i="49"/>
  <c r="J321" i="49"/>
  <c r="J46" i="49"/>
  <c r="J81" i="49"/>
  <c r="J109" i="49"/>
  <c r="J137" i="49"/>
  <c r="L137" i="49" s="1"/>
  <c r="J166" i="49"/>
  <c r="J194" i="49"/>
  <c r="J222" i="49"/>
  <c r="J248" i="49"/>
  <c r="J269" i="49"/>
  <c r="J290" i="49"/>
  <c r="L290" i="49" s="1"/>
  <c r="J312" i="49"/>
  <c r="J64" i="49"/>
  <c r="J180" i="49"/>
  <c r="J258" i="49"/>
  <c r="J301" i="49"/>
  <c r="J36" i="49"/>
  <c r="J73" i="49"/>
  <c r="J102" i="49"/>
  <c r="J130" i="49"/>
  <c r="L130" i="49" s="1"/>
  <c r="J158" i="49"/>
  <c r="L158" i="49" s="1"/>
  <c r="J188" i="49"/>
  <c r="J216" i="49"/>
  <c r="J242" i="49"/>
  <c r="J264" i="49"/>
  <c r="J285" i="49"/>
  <c r="L285" i="49" s="1"/>
  <c r="J306" i="49"/>
  <c r="J16" i="49"/>
  <c r="J56" i="49"/>
  <c r="J88" i="49"/>
  <c r="J116" i="49"/>
  <c r="J145" i="49"/>
  <c r="J173" i="49"/>
  <c r="J201" i="49"/>
  <c r="J230" i="49"/>
  <c r="L230" i="49" s="1"/>
  <c r="J253" i="49"/>
  <c r="J274" i="49"/>
  <c r="J296" i="49"/>
  <c r="J317" i="49"/>
  <c r="J27" i="49"/>
  <c r="J94" i="49"/>
  <c r="J124" i="49"/>
  <c r="L124" i="49" s="1"/>
  <c r="J152" i="49"/>
  <c r="J209" i="49"/>
  <c r="J237" i="49"/>
  <c r="J280" i="49"/>
  <c r="J322" i="49"/>
  <c r="L322" i="49" s="1"/>
  <c r="C313" i="33"/>
  <c r="E313" i="33" s="1"/>
  <c r="C310" i="33"/>
  <c r="E310" i="33" s="1"/>
  <c r="C299" i="39"/>
  <c r="C293" i="33"/>
  <c r="E293" i="33" s="1"/>
  <c r="C292" i="39"/>
  <c r="J262" i="13"/>
  <c r="J228" i="13"/>
  <c r="C221" i="39"/>
  <c r="C190" i="39"/>
  <c r="C167" i="12"/>
  <c r="C166" i="33"/>
  <c r="E166" i="33" s="1"/>
  <c r="F159" i="32"/>
  <c r="G159" i="32" s="1"/>
  <c r="C132" i="12"/>
  <c r="J94" i="13"/>
  <c r="C93" i="33"/>
  <c r="E93" i="33" s="1"/>
  <c r="F88" i="32"/>
  <c r="G88" i="32" s="1"/>
  <c r="F57" i="32"/>
  <c r="G57" i="32" s="1"/>
  <c r="J44" i="13"/>
  <c r="J29" i="13"/>
  <c r="F20" i="32"/>
  <c r="G20" i="32" s="1"/>
  <c r="G23" i="49"/>
  <c r="C22" i="12"/>
  <c r="G29" i="49"/>
  <c r="C28" i="33"/>
  <c r="E28" i="33" s="1"/>
  <c r="C28" i="12"/>
  <c r="G41" i="49"/>
  <c r="J41" i="13"/>
  <c r="F40" i="32"/>
  <c r="G40" i="32" s="1"/>
  <c r="C40" i="39"/>
  <c r="C40" i="33"/>
  <c r="E40" i="33" s="1"/>
  <c r="G43" i="49"/>
  <c r="C42" i="39"/>
  <c r="C42" i="12"/>
  <c r="G45" i="49"/>
  <c r="C44" i="12"/>
  <c r="F44" i="32"/>
  <c r="G44" i="32" s="1"/>
  <c r="C44" i="39"/>
  <c r="G55" i="49"/>
  <c r="C54" i="12"/>
  <c r="C54" i="39"/>
  <c r="F54" i="32"/>
  <c r="G54" i="32" s="1"/>
  <c r="G76" i="49"/>
  <c r="J76" i="13"/>
  <c r="C75" i="39"/>
  <c r="F75" i="32"/>
  <c r="G75" i="32" s="1"/>
  <c r="G86" i="49"/>
  <c r="C85" i="12"/>
  <c r="C85" i="39"/>
  <c r="C85" i="33"/>
  <c r="E85" i="33" s="1"/>
  <c r="J86" i="13"/>
  <c r="G94" i="49"/>
  <c r="F93" i="32"/>
  <c r="G93" i="32" s="1"/>
  <c r="C93" i="12"/>
  <c r="G102" i="49"/>
  <c r="F101" i="32"/>
  <c r="G101" i="32" s="1"/>
  <c r="J102" i="13"/>
  <c r="C101" i="39"/>
  <c r="C101" i="33"/>
  <c r="E101" i="33" s="1"/>
  <c r="G108" i="49"/>
  <c r="J108" i="13"/>
  <c r="C107" i="12"/>
  <c r="F107" i="32"/>
  <c r="G107" i="32" s="1"/>
  <c r="G134" i="49"/>
  <c r="C133" i="39"/>
  <c r="C133" i="33"/>
  <c r="E133" i="33" s="1"/>
  <c r="C133" i="12"/>
  <c r="J134" i="13"/>
  <c r="G323" i="49"/>
  <c r="C322" i="12"/>
  <c r="F322" i="32"/>
  <c r="G322" i="32" s="1"/>
  <c r="C322" i="39"/>
  <c r="G217" i="49"/>
  <c r="J217" i="13"/>
  <c r="F216" i="32"/>
  <c r="G216" i="32" s="1"/>
  <c r="C216" i="33"/>
  <c r="C216" i="39"/>
  <c r="G293" i="49"/>
  <c r="C292" i="33"/>
  <c r="E292" i="33" s="1"/>
  <c r="F292" i="32"/>
  <c r="G292" i="32" s="1"/>
  <c r="C292" i="12"/>
  <c r="G178" i="49"/>
  <c r="C177" i="12"/>
  <c r="J178" i="13"/>
  <c r="C177" i="39"/>
  <c r="F177" i="32"/>
  <c r="G177" i="32" s="1"/>
  <c r="G253" i="49"/>
  <c r="C252" i="33"/>
  <c r="E252" i="33" s="1"/>
  <c r="J253" i="13"/>
  <c r="C252" i="12"/>
  <c r="F252" i="32"/>
  <c r="G252" i="32" s="1"/>
  <c r="G17" i="49"/>
  <c r="J17" i="13"/>
  <c r="C16" i="33"/>
  <c r="E16" i="33" s="1"/>
  <c r="C16" i="39"/>
  <c r="C16" i="12"/>
  <c r="G171" i="49"/>
  <c r="F170" i="32"/>
  <c r="G170" i="32" s="1"/>
  <c r="C170" i="33"/>
  <c r="E170" i="33" s="1"/>
  <c r="C170" i="12"/>
  <c r="J171" i="13"/>
  <c r="G258" i="49"/>
  <c r="C257" i="12"/>
  <c r="C257" i="39"/>
  <c r="J258" i="13"/>
  <c r="F257" i="32"/>
  <c r="G257" i="32" s="1"/>
  <c r="G64" i="49"/>
  <c r="C63" i="12"/>
  <c r="F63" i="32"/>
  <c r="G63" i="32" s="1"/>
  <c r="C63" i="33"/>
  <c r="E63" i="33" s="1"/>
  <c r="J64" i="13"/>
  <c r="G305" i="49"/>
  <c r="C304" i="39"/>
  <c r="J305" i="13"/>
  <c r="C304" i="12"/>
  <c r="C304" i="33"/>
  <c r="E304" i="33" s="1"/>
  <c r="G186" i="49"/>
  <c r="F185" i="32"/>
  <c r="G185" i="32" s="1"/>
  <c r="J186" i="13"/>
  <c r="C185" i="12"/>
  <c r="C185" i="33"/>
  <c r="E185" i="33" s="1"/>
  <c r="G216" i="49"/>
  <c r="C215" i="12"/>
  <c r="J216" i="13"/>
  <c r="C215" i="39"/>
  <c r="C215" i="33"/>
  <c r="E215" i="33" s="1"/>
  <c r="G99" i="49"/>
  <c r="J99" i="13"/>
  <c r="C98" i="33"/>
  <c r="E98" i="33" s="1"/>
  <c r="C98" i="39"/>
  <c r="F98" i="32"/>
  <c r="G98" i="32" s="1"/>
  <c r="G247" i="49"/>
  <c r="J247" i="13"/>
  <c r="C246" i="39"/>
  <c r="C246" i="12"/>
  <c r="C246" i="33"/>
  <c r="E246" i="33" s="1"/>
  <c r="G65" i="49"/>
  <c r="C64" i="33"/>
  <c r="E64" i="33" s="1"/>
  <c r="C64" i="39"/>
  <c r="F64" i="32"/>
  <c r="G64" i="32" s="1"/>
  <c r="G221" i="49"/>
  <c r="J221" i="13"/>
  <c r="F220" i="32"/>
  <c r="G220" i="32" s="1"/>
  <c r="C220" i="39"/>
  <c r="C220" i="33"/>
  <c r="E220" i="33" s="1"/>
  <c r="G121" i="49"/>
  <c r="C120" i="12"/>
  <c r="C120" i="33"/>
  <c r="E120" i="33" s="1"/>
  <c r="C120" i="39"/>
  <c r="G218" i="49"/>
  <c r="J218" i="13"/>
  <c r="C217" i="33"/>
  <c r="E217" i="33" s="1"/>
  <c r="F217" i="32"/>
  <c r="G217" i="32" s="1"/>
  <c r="C217" i="39"/>
  <c r="G309" i="49"/>
  <c r="C308" i="12"/>
  <c r="C308" i="33"/>
  <c r="E308" i="33" s="1"/>
  <c r="C308" i="39"/>
  <c r="G132" i="49"/>
  <c r="J132" i="13"/>
  <c r="F131" i="32"/>
  <c r="G131" i="32" s="1"/>
  <c r="C131" i="33"/>
  <c r="E131" i="33" s="1"/>
  <c r="C131" i="39"/>
  <c r="G215" i="49"/>
  <c r="F214" i="32"/>
  <c r="G214" i="32" s="1"/>
  <c r="C214" i="12"/>
  <c r="C214" i="39"/>
  <c r="G320" i="49"/>
  <c r="J320" i="13"/>
  <c r="F319" i="32"/>
  <c r="G319" i="32" s="1"/>
  <c r="C319" i="39"/>
  <c r="C319" i="12"/>
  <c r="G234" i="49"/>
  <c r="C233" i="12"/>
  <c r="C233" i="39"/>
  <c r="F233" i="32"/>
  <c r="G233" i="32" s="1"/>
  <c r="G179" i="49"/>
  <c r="J179" i="13"/>
  <c r="C178" i="39"/>
  <c r="C178" i="33"/>
  <c r="E178" i="33" s="1"/>
  <c r="C178" i="12"/>
  <c r="G280" i="49"/>
  <c r="C279" i="12"/>
  <c r="C279" i="39"/>
  <c r="C279" i="33"/>
  <c r="E279" i="33" s="1"/>
  <c r="G164" i="49"/>
  <c r="J164" i="13"/>
  <c r="F163" i="32"/>
  <c r="G163" i="32" s="1"/>
  <c r="C163" i="39"/>
  <c r="C163" i="33"/>
  <c r="E163" i="33" s="1"/>
  <c r="G251" i="49"/>
  <c r="C250" i="12"/>
  <c r="C250" i="39"/>
  <c r="F250" i="32"/>
  <c r="G250" i="32" s="1"/>
  <c r="G161" i="49"/>
  <c r="J161" i="13"/>
  <c r="C160" i="12"/>
  <c r="C160" i="39"/>
  <c r="F160" i="32"/>
  <c r="G160" i="32" s="1"/>
  <c r="G285" i="49"/>
  <c r="C284" i="12"/>
  <c r="C284" i="33"/>
  <c r="E284" i="33" s="1"/>
  <c r="C284" i="39"/>
  <c r="G149" i="49"/>
  <c r="J149" i="13"/>
  <c r="F148" i="32"/>
  <c r="G148" i="32" s="1"/>
  <c r="C148" i="33"/>
  <c r="E148" i="33" s="1"/>
  <c r="C148" i="39"/>
  <c r="G245" i="49"/>
  <c r="C244" i="12"/>
  <c r="C244" i="33"/>
  <c r="E244" i="33" s="1"/>
  <c r="C244" i="39"/>
  <c r="G313" i="49"/>
  <c r="J313" i="13"/>
  <c r="F312" i="32"/>
  <c r="G312" i="32" s="1"/>
  <c r="C312" i="39"/>
  <c r="C312" i="12"/>
  <c r="G159" i="49"/>
  <c r="C158" i="12"/>
  <c r="C158" i="39"/>
  <c r="F158" i="32"/>
  <c r="G158" i="32" s="1"/>
  <c r="G250" i="49"/>
  <c r="J250" i="13"/>
  <c r="C249" i="33"/>
  <c r="E249" i="33" s="1"/>
  <c r="C249" i="39"/>
  <c r="F249" i="32"/>
  <c r="G249" i="32" s="1"/>
  <c r="G192" i="49"/>
  <c r="C191" i="39"/>
  <c r="C191" i="33"/>
  <c r="E191" i="33" s="1"/>
  <c r="J192" i="13"/>
  <c r="F191" i="32"/>
  <c r="G191" i="32" s="1"/>
  <c r="G322" i="49"/>
  <c r="F321" i="32"/>
  <c r="G321" i="32" s="1"/>
  <c r="C321" i="33"/>
  <c r="E321" i="33" s="1"/>
  <c r="J322" i="13"/>
  <c r="C321" i="39"/>
  <c r="G271" i="49"/>
  <c r="C270" i="12"/>
  <c r="J271" i="13"/>
  <c r="C270" i="33"/>
  <c r="E270" i="33" s="1"/>
  <c r="F270" i="32"/>
  <c r="G270" i="32" s="1"/>
  <c r="G173" i="49"/>
  <c r="C172" i="33"/>
  <c r="E172" i="33" s="1"/>
  <c r="J173" i="13"/>
  <c r="C172" i="12"/>
  <c r="F172" i="32"/>
  <c r="G172" i="32" s="1"/>
  <c r="G20" i="49"/>
  <c r="C19" i="39"/>
  <c r="J20" i="13"/>
  <c r="F19" i="32"/>
  <c r="G19" i="32" s="1"/>
  <c r="C19" i="12"/>
  <c r="G103" i="49"/>
  <c r="F102" i="32"/>
  <c r="G102" i="32" s="1"/>
  <c r="J103" i="13"/>
  <c r="C102" i="39"/>
  <c r="C102" i="33"/>
  <c r="E102" i="33" s="1"/>
  <c r="G71" i="49"/>
  <c r="C70" i="12"/>
  <c r="J71" i="13"/>
  <c r="C70" i="33"/>
  <c r="E70" i="33" s="1"/>
  <c r="C70" i="39"/>
  <c r="G272" i="49"/>
  <c r="F271" i="32"/>
  <c r="G271" i="32" s="1"/>
  <c r="C271" i="39"/>
  <c r="G277" i="49"/>
  <c r="C276" i="12"/>
  <c r="C276" i="33"/>
  <c r="E276" i="33" s="1"/>
  <c r="G198" i="49"/>
  <c r="F197" i="32"/>
  <c r="G197" i="32" s="1"/>
  <c r="J198" i="13"/>
  <c r="G195" i="49"/>
  <c r="J195" i="13"/>
  <c r="C194" i="33"/>
  <c r="E194" i="33" s="1"/>
  <c r="C194" i="39"/>
  <c r="G318" i="49"/>
  <c r="F317" i="32"/>
  <c r="G317" i="32" s="1"/>
  <c r="J318" i="13"/>
  <c r="C317" i="33"/>
  <c r="E317" i="33" s="1"/>
  <c r="G117" i="49"/>
  <c r="F116" i="32"/>
  <c r="G116" i="32" s="1"/>
  <c r="C116" i="33"/>
  <c r="E116" i="33" s="1"/>
  <c r="J117" i="13"/>
  <c r="G315" i="49"/>
  <c r="C314" i="39"/>
  <c r="C314" i="33"/>
  <c r="E314" i="33" s="1"/>
  <c r="J315" i="13"/>
  <c r="G169" i="49"/>
  <c r="J169" i="13"/>
  <c r="F168" i="32"/>
  <c r="G168" i="32" s="1"/>
  <c r="C168" i="33"/>
  <c r="E168" i="33" s="1"/>
  <c r="G116" i="49"/>
  <c r="C115" i="33"/>
  <c r="E115" i="33" s="1"/>
  <c r="C115" i="12"/>
  <c r="G145" i="49"/>
  <c r="F144" i="32"/>
  <c r="G144" i="32" s="1"/>
  <c r="C144" i="33"/>
  <c r="E144" i="33" s="1"/>
  <c r="G9" i="49"/>
  <c r="C8" i="33"/>
  <c r="E8" i="33" s="1"/>
  <c r="C8" i="12"/>
  <c r="G246" i="49"/>
  <c r="F245" i="32"/>
  <c r="G245" i="32" s="1"/>
  <c r="J246" i="13"/>
  <c r="G316" i="49"/>
  <c r="C315" i="39"/>
  <c r="J316" i="13"/>
  <c r="F315" i="32"/>
  <c r="G315" i="32" s="1"/>
  <c r="G170" i="49"/>
  <c r="F169" i="32"/>
  <c r="G169" i="32" s="1"/>
  <c r="C169" i="12"/>
  <c r="G301" i="49"/>
  <c r="J301" i="13"/>
  <c r="F300" i="32"/>
  <c r="G300" i="32" s="1"/>
  <c r="C300" i="33"/>
  <c r="E300" i="33" s="1"/>
  <c r="G222" i="49"/>
  <c r="F221" i="32"/>
  <c r="G221" i="32" s="1"/>
  <c r="C221" i="12"/>
  <c r="G133" i="49"/>
  <c r="J133" i="13"/>
  <c r="F132" i="32"/>
  <c r="G132" i="32" s="1"/>
  <c r="C132" i="33"/>
  <c r="E132" i="33" s="1"/>
  <c r="G147" i="49"/>
  <c r="C146" i="12"/>
  <c r="J147" i="13"/>
  <c r="C146" i="33"/>
  <c r="E146" i="33" s="1"/>
  <c r="G168" i="49"/>
  <c r="J168" i="13"/>
  <c r="F167" i="32"/>
  <c r="G167" i="32" s="1"/>
  <c r="C167" i="33"/>
  <c r="E167" i="33" s="1"/>
  <c r="G10" i="49"/>
  <c r="C9" i="39"/>
  <c r="C9" i="33"/>
  <c r="E9" i="33" s="1"/>
  <c r="F9" i="32"/>
  <c r="G9" i="32" s="1"/>
  <c r="G225" i="49"/>
  <c r="C224" i="39"/>
  <c r="J225" i="13"/>
  <c r="C224" i="12"/>
  <c r="C224" i="33"/>
  <c r="E224" i="33" s="1"/>
  <c r="G87" i="49"/>
  <c r="C86" i="39"/>
  <c r="J87" i="13"/>
  <c r="C86" i="33"/>
  <c r="E86" i="33" s="1"/>
  <c r="C86" i="12"/>
  <c r="G174" i="49"/>
  <c r="F173" i="32"/>
  <c r="J174" i="13"/>
  <c r="C173" i="33"/>
  <c r="E173" i="33" s="1"/>
  <c r="G109" i="49"/>
  <c r="C108" i="39"/>
  <c r="J109" i="13"/>
  <c r="F108" i="32"/>
  <c r="G108" i="32" s="1"/>
  <c r="G231" i="49"/>
  <c r="J231" i="13"/>
  <c r="F230" i="32"/>
  <c r="G230" i="32" s="1"/>
  <c r="C230" i="33"/>
  <c r="E230" i="33" s="1"/>
  <c r="G191" i="49"/>
  <c r="F190" i="32"/>
  <c r="J191" i="13"/>
  <c r="C190" i="33"/>
  <c r="E190" i="33" s="1"/>
  <c r="G151" i="49"/>
  <c r="C150" i="33"/>
  <c r="E150" i="33" s="1"/>
  <c r="F150" i="32"/>
  <c r="G150" i="32" s="1"/>
  <c r="J151" i="13"/>
  <c r="G252" i="49"/>
  <c r="C251" i="33"/>
  <c r="E251" i="33" s="1"/>
  <c r="J252" i="13"/>
  <c r="F251" i="32"/>
  <c r="G251" i="32" s="1"/>
  <c r="G8" i="49"/>
  <c r="C7" i="39"/>
  <c r="F7" i="32"/>
  <c r="G7" i="32" s="1"/>
  <c r="C7" i="33"/>
  <c r="J8" i="13"/>
  <c r="G233" i="49"/>
  <c r="C232" i="12"/>
  <c r="C232" i="33"/>
  <c r="E232" i="33" s="1"/>
  <c r="C232" i="39"/>
  <c r="G148" i="49"/>
  <c r="J148" i="13"/>
  <c r="F147" i="32"/>
  <c r="G147" i="32" s="1"/>
  <c r="C147" i="33"/>
  <c r="E147" i="33" s="1"/>
  <c r="C147" i="39"/>
  <c r="G226" i="49"/>
  <c r="J226" i="13"/>
  <c r="C225" i="12"/>
  <c r="F225" i="32"/>
  <c r="G225" i="32" s="1"/>
  <c r="G30" i="49"/>
  <c r="J30" i="13"/>
  <c r="C29" i="33"/>
  <c r="E29" i="33" s="1"/>
  <c r="C29" i="39"/>
  <c r="F29" i="32"/>
  <c r="G29" i="32" s="1"/>
  <c r="G175" i="49"/>
  <c r="F174" i="32"/>
  <c r="G174" i="32" s="1"/>
  <c r="C174" i="33"/>
  <c r="E174" i="33" s="1"/>
  <c r="C174" i="12"/>
  <c r="J175" i="13"/>
  <c r="G265" i="49"/>
  <c r="C264" i="39"/>
  <c r="J265" i="13"/>
  <c r="F264" i="32"/>
  <c r="G264" i="32" s="1"/>
  <c r="C264" i="12"/>
  <c r="G137" i="49"/>
  <c r="J137" i="13"/>
  <c r="F136" i="32"/>
  <c r="G136" i="32" s="1"/>
  <c r="C136" i="39"/>
  <c r="C136" i="33"/>
  <c r="E136" i="33" s="1"/>
  <c r="G254" i="49"/>
  <c r="C253" i="12"/>
  <c r="C253" i="39"/>
  <c r="F253" i="32"/>
  <c r="G253" i="32" s="1"/>
  <c r="G104" i="49"/>
  <c r="J104" i="13"/>
  <c r="F103" i="32"/>
  <c r="G103" i="32" s="1"/>
  <c r="C103" i="39"/>
  <c r="C103" i="33"/>
  <c r="E103" i="33" s="1"/>
  <c r="G7" i="49"/>
  <c r="C6" i="12"/>
  <c r="F6" i="32"/>
  <c r="G6" i="32" s="1"/>
  <c r="C6" i="39"/>
  <c r="G88" i="49"/>
  <c r="C87" i="39"/>
  <c r="J88" i="13"/>
  <c r="F87" i="32"/>
  <c r="G87" i="32" s="1"/>
  <c r="C87" i="12"/>
  <c r="G26" i="49"/>
  <c r="F25" i="32"/>
  <c r="G25" i="32" s="1"/>
  <c r="C25" i="39"/>
  <c r="C25" i="33"/>
  <c r="E25" i="33" s="1"/>
  <c r="G230" i="49"/>
  <c r="C229" i="12"/>
  <c r="J230" i="13"/>
  <c r="G158" i="49"/>
  <c r="F157" i="32"/>
  <c r="G157" i="32" s="1"/>
  <c r="C157" i="12"/>
  <c r="G307" i="49"/>
  <c r="C306" i="39"/>
  <c r="C306" i="12"/>
  <c r="G283" i="49"/>
  <c r="C282" i="39"/>
  <c r="F282" i="32"/>
  <c r="G282" i="32" s="1"/>
  <c r="G34" i="49"/>
  <c r="C33" i="39"/>
  <c r="F33" i="32"/>
  <c r="G33" i="32" s="1"/>
  <c r="G112" i="49"/>
  <c r="C111" i="33"/>
  <c r="E111" i="33" s="1"/>
  <c r="C111" i="12"/>
  <c r="G27" i="49"/>
  <c r="F26" i="32"/>
  <c r="G26" i="32" s="1"/>
  <c r="C26" i="12"/>
  <c r="G205" i="49"/>
  <c r="J205" i="13"/>
  <c r="F204" i="32"/>
  <c r="G204" i="32" s="1"/>
  <c r="C204" i="33"/>
  <c r="E204" i="33" s="1"/>
  <c r="G294" i="49"/>
  <c r="J294" i="13"/>
  <c r="C293" i="12"/>
  <c r="G199" i="49"/>
  <c r="C198" i="39"/>
  <c r="C198" i="12"/>
  <c r="G311" i="49"/>
  <c r="C310" i="12"/>
  <c r="C310" i="39"/>
  <c r="G124" i="49"/>
  <c r="C123" i="12"/>
  <c r="C123" i="39"/>
  <c r="G46" i="49"/>
  <c r="C45" i="12"/>
  <c r="C45" i="39"/>
  <c r="G144" i="49"/>
  <c r="C143" i="39"/>
  <c r="J144" i="13"/>
  <c r="F143" i="32"/>
  <c r="G143" i="32" s="1"/>
  <c r="G167" i="49"/>
  <c r="C166" i="39"/>
  <c r="C166" i="12"/>
  <c r="G58" i="49"/>
  <c r="C57" i="12"/>
  <c r="C57" i="39"/>
  <c r="G187" i="49"/>
  <c r="C186" i="39"/>
  <c r="J187" i="13"/>
  <c r="C186" i="33"/>
  <c r="E186" i="33" s="1"/>
  <c r="G310" i="49"/>
  <c r="C309" i="39"/>
  <c r="C309" i="33"/>
  <c r="E309" i="33" s="1"/>
  <c r="F309" i="32"/>
  <c r="G309" i="32" s="1"/>
  <c r="G172" i="49"/>
  <c r="C171" i="39"/>
  <c r="J172" i="13"/>
  <c r="F171" i="32"/>
  <c r="G171" i="32" s="1"/>
  <c r="G63" i="49"/>
  <c r="J63" i="13"/>
  <c r="C62" i="33"/>
  <c r="E62" i="33" s="1"/>
  <c r="C62" i="39"/>
  <c r="F62" i="32"/>
  <c r="G62" i="32" s="1"/>
  <c r="G12" i="49"/>
  <c r="F11" i="32"/>
  <c r="G11" i="32" s="1"/>
  <c r="C11" i="33"/>
  <c r="E11" i="33" s="1"/>
  <c r="J12" i="13"/>
  <c r="G128" i="49"/>
  <c r="C127" i="12"/>
  <c r="C127" i="33"/>
  <c r="E127" i="33" s="1"/>
  <c r="G306" i="49"/>
  <c r="F305" i="32"/>
  <c r="G305" i="32" s="1"/>
  <c r="C305" i="12"/>
  <c r="G154" i="49"/>
  <c r="C153" i="39"/>
  <c r="C153" i="12"/>
  <c r="G122" i="49"/>
  <c r="F121" i="32"/>
  <c r="G121" i="32" s="1"/>
  <c r="C121" i="12"/>
  <c r="G314" i="49"/>
  <c r="C313" i="12"/>
  <c r="F313" i="32"/>
  <c r="G313" i="32" s="1"/>
  <c r="G204" i="49"/>
  <c r="C203" i="12"/>
  <c r="C203" i="33"/>
  <c r="E203" i="33" s="1"/>
  <c r="G239" i="49"/>
  <c r="C238" i="39"/>
  <c r="F238" i="32"/>
  <c r="G238" i="32" s="1"/>
  <c r="C173" i="39"/>
  <c r="C305" i="33"/>
  <c r="E305" i="33" s="1"/>
  <c r="C108" i="33"/>
  <c r="E108" i="33" s="1"/>
  <c r="J154" i="13"/>
  <c r="J122" i="13"/>
  <c r="C150" i="12"/>
  <c r="F203" i="32"/>
  <c r="G203" i="32" s="1"/>
  <c r="C251" i="39"/>
  <c r="C238" i="12"/>
  <c r="J272" i="13"/>
  <c r="F229" i="32"/>
  <c r="G229" i="32" s="1"/>
  <c r="J277" i="13"/>
  <c r="C157" i="39"/>
  <c r="C197" i="39"/>
  <c r="F306" i="32"/>
  <c r="G306" i="32" s="1"/>
  <c r="F194" i="32"/>
  <c r="G194" i="32" s="1"/>
  <c r="C282" i="12"/>
  <c r="C33" i="12"/>
  <c r="F314" i="32"/>
  <c r="G314" i="32" s="1"/>
  <c r="C26" i="33"/>
  <c r="C168" i="39"/>
  <c r="C115" i="39"/>
  <c r="C144" i="12"/>
  <c r="F8" i="32"/>
  <c r="G8" i="32" s="1"/>
  <c r="C245" i="33"/>
  <c r="E245" i="33" s="1"/>
  <c r="F123" i="32"/>
  <c r="G123" i="32" s="1"/>
  <c r="C28" i="39"/>
  <c r="C45" i="33"/>
  <c r="E45" i="33" s="1"/>
  <c r="C169" i="39"/>
  <c r="C143" i="33"/>
  <c r="E143" i="33" s="1"/>
  <c r="C300" i="39"/>
  <c r="J167" i="13"/>
  <c r="J58" i="13"/>
  <c r="F186" i="32"/>
  <c r="G186" i="32" s="1"/>
  <c r="J310" i="13"/>
  <c r="C171" i="33"/>
  <c r="C9" i="12"/>
  <c r="C7" i="12"/>
  <c r="J233" i="13"/>
  <c r="C225" i="33"/>
  <c r="E225" i="33" s="1"/>
  <c r="F85" i="32"/>
  <c r="G85" i="32" s="1"/>
  <c r="C264" i="33"/>
  <c r="E264" i="33" s="1"/>
  <c r="C103" i="12"/>
  <c r="J323" i="13"/>
  <c r="C252" i="39"/>
  <c r="C63" i="39"/>
  <c r="C98" i="12"/>
  <c r="C220" i="12"/>
  <c r="F120" i="32"/>
  <c r="G120" i="32" s="1"/>
  <c r="C131" i="12"/>
  <c r="C214" i="33"/>
  <c r="E214" i="33" s="1"/>
  <c r="F178" i="32"/>
  <c r="G178" i="32" s="1"/>
  <c r="F279" i="32"/>
  <c r="G279" i="32" s="1"/>
  <c r="J251" i="13"/>
  <c r="J245" i="13"/>
  <c r="C249" i="12"/>
  <c r="C321" i="12"/>
  <c r="C19" i="33"/>
  <c r="E19" i="33" s="1"/>
  <c r="C81" i="33"/>
  <c r="E81" i="33" s="1"/>
  <c r="J82" i="13"/>
  <c r="J21" i="13"/>
  <c r="C72" i="12"/>
  <c r="C237" i="33"/>
  <c r="E237" i="33" s="1"/>
  <c r="J238" i="13"/>
  <c r="C151" i="12"/>
  <c r="F263" i="32"/>
  <c r="G263" i="32" s="1"/>
  <c r="J264" i="13"/>
  <c r="C88" i="12"/>
  <c r="C139" i="33"/>
  <c r="E139" i="33" s="1"/>
  <c r="C213" i="12"/>
  <c r="F289" i="32"/>
  <c r="G289" i="32" s="1"/>
  <c r="C109" i="12"/>
  <c r="C227" i="33"/>
  <c r="E227" i="33" s="1"/>
  <c r="C298" i="12"/>
  <c r="C159" i="12"/>
  <c r="C152" i="39"/>
  <c r="F176" i="32"/>
  <c r="G176" i="32" s="1"/>
  <c r="C254" i="12"/>
  <c r="C43" i="12"/>
  <c r="C154" i="12"/>
  <c r="F155" i="32"/>
  <c r="G155" i="32" s="1"/>
  <c r="J156" i="13"/>
  <c r="C188" i="12"/>
  <c r="F36" i="32"/>
  <c r="J37" i="13"/>
  <c r="J162" i="13"/>
  <c r="C256" i="12"/>
  <c r="J257" i="13"/>
  <c r="J22" i="13"/>
  <c r="C182" i="33"/>
  <c r="E182" i="33" s="1"/>
  <c r="J183" i="13"/>
  <c r="F261" i="32"/>
  <c r="G261" i="32" s="1"/>
  <c r="F183" i="32"/>
  <c r="G183" i="32" s="1"/>
  <c r="J184" i="13"/>
  <c r="C226" i="12"/>
  <c r="F299" i="32"/>
  <c r="G299" i="32" s="1"/>
  <c r="J300" i="13"/>
  <c r="J194" i="13"/>
  <c r="C80" i="12"/>
  <c r="J81" i="13"/>
  <c r="C119" i="12"/>
  <c r="C208" i="12"/>
  <c r="J209" i="13"/>
  <c r="J38" i="13"/>
  <c r="C205" i="33"/>
  <c r="E205" i="33" s="1"/>
  <c r="J206" i="13"/>
  <c r="J278" i="13"/>
  <c r="C117" i="33"/>
  <c r="E117" i="33" s="1"/>
  <c r="C117" i="39"/>
  <c r="C202" i="12"/>
  <c r="C290" i="33"/>
  <c r="E290" i="33" s="1"/>
  <c r="J291" i="13"/>
  <c r="C318" i="12"/>
  <c r="F285" i="32"/>
  <c r="G285" i="32" s="1"/>
  <c r="C320" i="39"/>
  <c r="F48" i="32"/>
  <c r="G48" i="32" s="1"/>
  <c r="C262" i="39"/>
  <c r="C280" i="33"/>
  <c r="C272" i="39"/>
  <c r="C107" i="39"/>
  <c r="F100" i="32"/>
  <c r="G100" i="32" s="1"/>
  <c r="J101" i="13"/>
  <c r="C75" i="12"/>
  <c r="C54" i="33"/>
  <c r="E54" i="33" s="1"/>
  <c r="J55" i="13"/>
  <c r="C44" i="33"/>
  <c r="E44" i="33" s="1"/>
  <c r="C42" i="33"/>
  <c r="E42" i="33" s="1"/>
  <c r="J43" i="13"/>
  <c r="C22" i="33"/>
  <c r="E22" i="33" s="1"/>
  <c r="J23" i="13"/>
  <c r="F324" i="49"/>
  <c r="F22" i="32"/>
  <c r="G22" i="32" s="1"/>
  <c r="J201" i="13"/>
  <c r="C200" i="39"/>
  <c r="C200" i="12"/>
  <c r="C200" i="33"/>
  <c r="F200" i="32"/>
  <c r="G200" i="32" s="1"/>
  <c r="J244" i="13"/>
  <c r="C243" i="39"/>
  <c r="C243" i="12"/>
  <c r="C243" i="33"/>
  <c r="F243" i="32"/>
  <c r="G243" i="32" s="1"/>
  <c r="J297" i="13"/>
  <c r="C296" i="39"/>
  <c r="C296" i="12"/>
  <c r="C296" i="33"/>
  <c r="F296" i="32"/>
  <c r="G296" i="32" s="1"/>
  <c r="J16" i="13"/>
  <c r="C15" i="39"/>
  <c r="C15" i="33"/>
  <c r="E15" i="33" s="1"/>
  <c r="F15" i="32"/>
  <c r="G15" i="32" s="1"/>
  <c r="C15" i="12"/>
  <c r="J248" i="13"/>
  <c r="C247" i="12"/>
  <c r="C247" i="33"/>
  <c r="F247" i="32"/>
  <c r="G247" i="32" s="1"/>
  <c r="C247" i="39"/>
  <c r="J67" i="13"/>
  <c r="C66" i="39"/>
  <c r="C66" i="12"/>
  <c r="F66" i="32"/>
  <c r="G66" i="32" s="1"/>
  <c r="C66" i="33"/>
  <c r="E66" i="33" s="1"/>
  <c r="J51" i="13"/>
  <c r="C50" i="39"/>
  <c r="C50" i="12"/>
  <c r="F50" i="32"/>
  <c r="G50" i="32" s="1"/>
  <c r="C50" i="33"/>
  <c r="E50" i="33" s="1"/>
  <c r="J143" i="13"/>
  <c r="C142" i="39"/>
  <c r="C142" i="12"/>
  <c r="F142" i="32"/>
  <c r="G142" i="32" s="1"/>
  <c r="C142" i="33"/>
  <c r="E142" i="33" s="1"/>
  <c r="J236" i="13"/>
  <c r="C235" i="39"/>
  <c r="C235" i="12"/>
  <c r="C235" i="33"/>
  <c r="F235" i="32"/>
  <c r="G235" i="32" s="1"/>
  <c r="J212" i="13"/>
  <c r="C211" i="39"/>
  <c r="C211" i="12"/>
  <c r="C211" i="33"/>
  <c r="F211" i="32"/>
  <c r="G211" i="32" s="1"/>
  <c r="J32" i="13"/>
  <c r="C31" i="39"/>
  <c r="C31" i="33"/>
  <c r="E31" i="33" s="1"/>
  <c r="C31" i="12"/>
  <c r="F31" i="32"/>
  <c r="G31" i="32" s="1"/>
  <c r="E196" i="33"/>
  <c r="J90" i="13"/>
  <c r="C89" i="39"/>
  <c r="C89" i="12"/>
  <c r="F89" i="32"/>
  <c r="G89" i="32" s="1"/>
  <c r="C89" i="33"/>
  <c r="E89" i="33" s="1"/>
  <c r="C12" i="39"/>
  <c r="J13" i="13"/>
  <c r="C12" i="12"/>
  <c r="C12" i="33"/>
  <c r="E12" i="33" s="1"/>
  <c r="F12" i="32"/>
  <c r="G12" i="32" s="1"/>
  <c r="C273" i="39"/>
  <c r="J274" i="13"/>
  <c r="C273" i="12"/>
  <c r="F273" i="32"/>
  <c r="G273" i="32" s="1"/>
  <c r="C273" i="33"/>
  <c r="E273" i="33" s="1"/>
  <c r="J125" i="13"/>
  <c r="C124" i="39"/>
  <c r="C124" i="12"/>
  <c r="C124" i="33"/>
  <c r="E124" i="33" s="1"/>
  <c r="F124" i="32"/>
  <c r="G124" i="32" s="1"/>
  <c r="J52" i="13"/>
  <c r="C51" i="39"/>
  <c r="C51" i="12"/>
  <c r="C51" i="33"/>
  <c r="F51" i="32"/>
  <c r="G51" i="32" s="1"/>
  <c r="U325" i="19"/>
  <c r="B52" i="40" s="1"/>
  <c r="B54" i="40" s="1"/>
  <c r="J11" i="13"/>
  <c r="C10" i="39"/>
  <c r="C10" i="12"/>
  <c r="F10" i="32"/>
  <c r="G10" i="32" s="1"/>
  <c r="C10" i="33"/>
  <c r="J56" i="13"/>
  <c r="C55" i="39"/>
  <c r="C55" i="12"/>
  <c r="C55" i="33"/>
  <c r="E55" i="33" s="1"/>
  <c r="F55" i="32"/>
  <c r="G55" i="32" s="1"/>
  <c r="J35" i="13"/>
  <c r="C34" i="39"/>
  <c r="C34" i="12"/>
  <c r="F34" i="32"/>
  <c r="G34" i="32" s="1"/>
  <c r="C34" i="33"/>
  <c r="J60" i="13"/>
  <c r="C59" i="39"/>
  <c r="C59" i="12"/>
  <c r="C59" i="33"/>
  <c r="F59" i="32"/>
  <c r="G59" i="32" s="1"/>
  <c r="J188" i="13"/>
  <c r="C187" i="39"/>
  <c r="C187" i="12"/>
  <c r="C187" i="33"/>
  <c r="F187" i="32"/>
  <c r="G187" i="32" s="1"/>
  <c r="J106" i="13"/>
  <c r="C105" i="39"/>
  <c r="C105" i="12"/>
  <c r="F105" i="32"/>
  <c r="G105" i="32" s="1"/>
  <c r="C105" i="33"/>
  <c r="E105" i="33" s="1"/>
  <c r="J308" i="13"/>
  <c r="C307" i="39"/>
  <c r="C307" i="12"/>
  <c r="C307" i="33"/>
  <c r="E307" i="33" s="1"/>
  <c r="F307" i="32"/>
  <c r="G307" i="32" s="1"/>
  <c r="J123" i="13"/>
  <c r="C122" i="39"/>
  <c r="C122" i="12"/>
  <c r="F122" i="32"/>
  <c r="G122" i="32" s="1"/>
  <c r="C122" i="33"/>
  <c r="E122" i="33" s="1"/>
  <c r="J84" i="13"/>
  <c r="C83" i="39"/>
  <c r="C83" i="12"/>
  <c r="C83" i="33"/>
  <c r="F83" i="32"/>
  <c r="G83" i="32" s="1"/>
  <c r="J91" i="13"/>
  <c r="C90" i="39"/>
  <c r="C90" i="12"/>
  <c r="F90" i="32"/>
  <c r="G90" i="32" s="1"/>
  <c r="C90" i="33"/>
  <c r="J79" i="13"/>
  <c r="C78" i="39"/>
  <c r="C78" i="12"/>
  <c r="F78" i="32"/>
  <c r="G78" i="32" s="1"/>
  <c r="C78" i="33"/>
  <c r="C149" i="39"/>
  <c r="C149" i="12"/>
  <c r="J150" i="13"/>
  <c r="F149" i="32"/>
  <c r="G149" i="32" s="1"/>
  <c r="C149" i="33"/>
  <c r="J15" i="13"/>
  <c r="C14" i="39"/>
  <c r="C14" i="12"/>
  <c r="F14" i="32"/>
  <c r="G14" i="32" s="1"/>
  <c r="C14" i="33"/>
  <c r="E14" i="33" s="1"/>
  <c r="J31" i="13"/>
  <c r="C30" i="39"/>
  <c r="C30" i="12"/>
  <c r="F30" i="32"/>
  <c r="G30" i="32" s="1"/>
  <c r="C30" i="33"/>
  <c r="E30" i="33" s="1"/>
  <c r="J114" i="13"/>
  <c r="C113" i="12"/>
  <c r="C113" i="39"/>
  <c r="F113" i="32"/>
  <c r="G113" i="32" s="1"/>
  <c r="C113" i="33"/>
  <c r="E113" i="33" s="1"/>
  <c r="J28" i="13"/>
  <c r="C27" i="39"/>
  <c r="C27" i="12"/>
  <c r="C27" i="33"/>
  <c r="E27" i="33" s="1"/>
  <c r="F27" i="32"/>
  <c r="G27" i="32" s="1"/>
  <c r="J163" i="13"/>
  <c r="C162" i="39"/>
  <c r="C162" i="12"/>
  <c r="F162" i="32"/>
  <c r="C162" i="33"/>
  <c r="J157" i="13"/>
  <c r="C156" i="39"/>
  <c r="C156" i="12"/>
  <c r="C156" i="33"/>
  <c r="E156" i="33" s="1"/>
  <c r="F156" i="32"/>
  <c r="G156" i="32" s="1"/>
  <c r="J181" i="13"/>
  <c r="C180" i="39"/>
  <c r="C180" i="12"/>
  <c r="C180" i="33"/>
  <c r="E180" i="33" s="1"/>
  <c r="F180" i="32"/>
  <c r="G180" i="32" s="1"/>
  <c r="J284" i="13"/>
  <c r="C283" i="39"/>
  <c r="C283" i="12"/>
  <c r="C283" i="33"/>
  <c r="E283" i="33" s="1"/>
  <c r="F283" i="32"/>
  <c r="G283" i="32" s="1"/>
  <c r="J126" i="13"/>
  <c r="C125" i="12"/>
  <c r="C125" i="39"/>
  <c r="F125" i="32"/>
  <c r="G125" i="32" s="1"/>
  <c r="C125" i="33"/>
  <c r="J85" i="13"/>
  <c r="C84" i="39"/>
  <c r="C84" i="12"/>
  <c r="C84" i="33"/>
  <c r="E84" i="33" s="1"/>
  <c r="F84" i="32"/>
  <c r="G84" i="32" s="1"/>
  <c r="E75" i="33"/>
  <c r="J95" i="13"/>
  <c r="C94" i="39"/>
  <c r="C94" i="12"/>
  <c r="F94" i="32"/>
  <c r="G94" i="32" s="1"/>
  <c r="C94" i="33"/>
  <c r="E94" i="33" s="1"/>
  <c r="J68" i="13"/>
  <c r="C67" i="39"/>
  <c r="C67" i="12"/>
  <c r="C67" i="33"/>
  <c r="E67" i="33" s="1"/>
  <c r="F67" i="32"/>
  <c r="G67" i="32" s="1"/>
  <c r="J75" i="13"/>
  <c r="C74" i="39"/>
  <c r="C74" i="12"/>
  <c r="F74" i="32"/>
  <c r="G74" i="32" s="1"/>
  <c r="C74" i="33"/>
  <c r="J196" i="13"/>
  <c r="C195" i="39"/>
  <c r="C195" i="12"/>
  <c r="C195" i="33"/>
  <c r="F195" i="32"/>
  <c r="G195" i="32" s="1"/>
  <c r="C13" i="39"/>
  <c r="J14" i="13"/>
  <c r="C13" i="12"/>
  <c r="F13" i="32"/>
  <c r="G13" i="32" s="1"/>
  <c r="C13" i="33"/>
  <c r="J119" i="13"/>
  <c r="C118" i="39"/>
  <c r="C118" i="12"/>
  <c r="F118" i="32"/>
  <c r="G118" i="32" s="1"/>
  <c r="C118" i="33"/>
  <c r="E118" i="33" s="1"/>
  <c r="J229" i="13"/>
  <c r="C228" i="39"/>
  <c r="C228" i="12"/>
  <c r="C228" i="33"/>
  <c r="F228" i="32"/>
  <c r="G228" i="32" s="1"/>
  <c r="J48" i="13"/>
  <c r="C47" i="33"/>
  <c r="C47" i="39"/>
  <c r="F47" i="32"/>
  <c r="G47" i="32" s="1"/>
  <c r="C47" i="12"/>
  <c r="J288" i="13"/>
  <c r="C287" i="39"/>
  <c r="C287" i="33"/>
  <c r="C287" i="12"/>
  <c r="F287" i="32"/>
  <c r="G287" i="32" s="1"/>
  <c r="J59" i="13"/>
  <c r="C58" i="39"/>
  <c r="C58" i="12"/>
  <c r="F58" i="32"/>
  <c r="G58" i="32" s="1"/>
  <c r="C58" i="33"/>
  <c r="E58" i="33" s="1"/>
  <c r="E57" i="33"/>
  <c r="E229" i="33"/>
  <c r="C129" i="39"/>
  <c r="C129" i="12"/>
  <c r="F129" i="32"/>
  <c r="G129" i="32" s="1"/>
  <c r="J130" i="13"/>
  <c r="C129" i="33"/>
  <c r="E129" i="33" s="1"/>
  <c r="J77" i="13"/>
  <c r="C76" i="39"/>
  <c r="C76" i="12"/>
  <c r="C76" i="33"/>
  <c r="E76" i="33" s="1"/>
  <c r="F76" i="32"/>
  <c r="G76" i="32" s="1"/>
  <c r="J47" i="13"/>
  <c r="C46" i="39"/>
  <c r="C46" i="12"/>
  <c r="F46" i="32"/>
  <c r="G46" i="32" s="1"/>
  <c r="C46" i="33"/>
  <c r="J232" i="13"/>
  <c r="C231" i="12"/>
  <c r="C231" i="33"/>
  <c r="E231" i="33" s="1"/>
  <c r="C231" i="39"/>
  <c r="F231" i="32"/>
  <c r="G231" i="32" s="1"/>
  <c r="J39" i="13"/>
  <c r="C38" i="39"/>
  <c r="C38" i="12"/>
  <c r="F38" i="32"/>
  <c r="G38" i="32" s="1"/>
  <c r="C38" i="33"/>
  <c r="E38" i="33" s="1"/>
  <c r="J127" i="13"/>
  <c r="C126" i="39"/>
  <c r="C126" i="12"/>
  <c r="F126" i="32"/>
  <c r="G126" i="32" s="1"/>
  <c r="C126" i="33"/>
  <c r="E126" i="33" s="1"/>
  <c r="J211" i="13"/>
  <c r="C210" i="39"/>
  <c r="C210" i="12"/>
  <c r="F210" i="32"/>
  <c r="G210" i="32" s="1"/>
  <c r="C210" i="33"/>
  <c r="E318" i="33"/>
  <c r="E26" i="33"/>
  <c r="J296" i="13"/>
  <c r="C295" i="39"/>
  <c r="C295" i="12"/>
  <c r="C295" i="33"/>
  <c r="E295" i="33" s="1"/>
  <c r="F295" i="32"/>
  <c r="G295" i="32" s="1"/>
  <c r="J256" i="13"/>
  <c r="C255" i="39"/>
  <c r="C255" i="33"/>
  <c r="E255" i="33" s="1"/>
  <c r="C255" i="12"/>
  <c r="F255" i="32"/>
  <c r="G255" i="32" s="1"/>
  <c r="J249" i="13"/>
  <c r="C248" i="39"/>
  <c r="C248" i="12"/>
  <c r="C248" i="33"/>
  <c r="F248" i="32"/>
  <c r="G248" i="32" s="1"/>
  <c r="J80" i="13"/>
  <c r="C79" i="39"/>
  <c r="C79" i="33"/>
  <c r="F79" i="32"/>
  <c r="G79" i="32" s="1"/>
  <c r="C79" i="12"/>
  <c r="J139" i="13"/>
  <c r="C138" i="39"/>
  <c r="C138" i="12"/>
  <c r="F138" i="32"/>
  <c r="G138" i="32" s="1"/>
  <c r="C138" i="33"/>
  <c r="E138" i="33" s="1"/>
  <c r="J107" i="13"/>
  <c r="C106" i="39"/>
  <c r="C106" i="12"/>
  <c r="F106" i="32"/>
  <c r="G106" i="32" s="1"/>
  <c r="C106" i="33"/>
  <c r="J83" i="13"/>
  <c r="C82" i="12"/>
  <c r="C82" i="39"/>
  <c r="F82" i="32"/>
  <c r="G82" i="32" s="1"/>
  <c r="C82" i="33"/>
  <c r="E82" i="33" s="1"/>
  <c r="J304" i="13"/>
  <c r="C303" i="33"/>
  <c r="E303" i="33" s="1"/>
  <c r="C303" i="39"/>
  <c r="F303" i="32"/>
  <c r="G303" i="32" s="1"/>
  <c r="C303" i="12"/>
  <c r="J267" i="13"/>
  <c r="C266" i="12"/>
  <c r="C266" i="39"/>
  <c r="F266" i="32"/>
  <c r="G266" i="32" s="1"/>
  <c r="C266" i="33"/>
  <c r="E266" i="33" s="1"/>
  <c r="J19" i="13"/>
  <c r="C18" i="39"/>
  <c r="C18" i="12"/>
  <c r="F18" i="32"/>
  <c r="G18" i="32" s="1"/>
  <c r="C18" i="33"/>
  <c r="J165" i="13"/>
  <c r="C164" i="39"/>
  <c r="C164" i="12"/>
  <c r="C164" i="33"/>
  <c r="F164" i="32"/>
  <c r="G164" i="32" s="1"/>
  <c r="C165" i="39"/>
  <c r="C165" i="12"/>
  <c r="J166" i="13"/>
  <c r="F165" i="32"/>
  <c r="G165" i="32" s="1"/>
  <c r="C165" i="33"/>
  <c r="E165" i="33" s="1"/>
  <c r="J180" i="13"/>
  <c r="C179" i="39"/>
  <c r="C179" i="12"/>
  <c r="C179" i="33"/>
  <c r="E179" i="33" s="1"/>
  <c r="F179" i="32"/>
  <c r="G179" i="32" s="1"/>
  <c r="C241" i="39"/>
  <c r="J242" i="13"/>
  <c r="C241" i="12"/>
  <c r="F241" i="32"/>
  <c r="G241" i="32" s="1"/>
  <c r="C241" i="33"/>
  <c r="E241" i="33" s="1"/>
  <c r="J200" i="13"/>
  <c r="C199" i="12"/>
  <c r="C199" i="33"/>
  <c r="E199" i="33" s="1"/>
  <c r="C199" i="39"/>
  <c r="F199" i="32"/>
  <c r="G199" i="32" s="1"/>
  <c r="J237" i="13"/>
  <c r="C236" i="39"/>
  <c r="C236" i="12"/>
  <c r="C236" i="33"/>
  <c r="E236" i="33" s="1"/>
  <c r="F236" i="32"/>
  <c r="G236" i="32" s="1"/>
  <c r="J72" i="13"/>
  <c r="C71" i="12"/>
  <c r="C71" i="33"/>
  <c r="E71" i="33" s="1"/>
  <c r="C71" i="39"/>
  <c r="F71" i="32"/>
  <c r="G71" i="32" s="1"/>
  <c r="J176" i="13"/>
  <c r="C175" i="39"/>
  <c r="C175" i="33"/>
  <c r="E175" i="33" s="1"/>
  <c r="C175" i="12"/>
  <c r="F175" i="32"/>
  <c r="G175" i="32" s="1"/>
  <c r="E134" i="33"/>
  <c r="G28" i="32"/>
  <c r="E193" i="33"/>
  <c r="E123" i="33"/>
  <c r="G246" i="32"/>
  <c r="E269" i="33"/>
  <c r="E121" i="33"/>
  <c r="G69" i="32"/>
  <c r="G133" i="32"/>
  <c r="E274" i="33"/>
  <c r="G173" i="32"/>
  <c r="G162" i="32"/>
  <c r="E35" i="33"/>
  <c r="E73" i="33"/>
  <c r="E282" i="33"/>
  <c r="E278" i="33"/>
  <c r="E234" i="33"/>
  <c r="E275" i="33"/>
  <c r="E250" i="33"/>
  <c r="G86" i="32"/>
  <c r="G226" i="32"/>
  <c r="E306" i="33"/>
  <c r="E153" i="33"/>
  <c r="G153" i="32"/>
  <c r="E160" i="33"/>
  <c r="G224" i="32"/>
  <c r="G56" i="32"/>
  <c r="E216" i="33"/>
  <c r="G45" i="32"/>
  <c r="G189" i="32"/>
  <c r="E80" i="33"/>
  <c r="E159" i="33"/>
  <c r="E157" i="33"/>
  <c r="E233" i="33"/>
  <c r="E319" i="33"/>
  <c r="E39" i="33"/>
  <c r="G60" i="32"/>
  <c r="E253" i="33"/>
  <c r="G127" i="32"/>
  <c r="E221" i="33"/>
  <c r="E289" i="33"/>
  <c r="G293" i="32"/>
  <c r="E37" i="33"/>
  <c r="G207" i="32"/>
  <c r="G304" i="32"/>
  <c r="G145" i="32"/>
  <c r="G161" i="32"/>
  <c r="G137" i="32"/>
  <c r="E312" i="33"/>
  <c r="E171" i="33"/>
  <c r="E65" i="33"/>
  <c r="E158" i="33"/>
  <c r="E280" i="33"/>
  <c r="E301" i="33"/>
  <c r="G232" i="32"/>
  <c r="E316" i="33"/>
  <c r="E91" i="33"/>
  <c r="G276" i="32"/>
  <c r="G70" i="32"/>
  <c r="E92" i="33"/>
  <c r="E198" i="33"/>
  <c r="G198" i="32"/>
  <c r="E258" i="33"/>
  <c r="G16" i="32"/>
  <c r="G190" i="32"/>
  <c r="E257" i="33"/>
  <c r="G265" i="32"/>
  <c r="J324" i="13" l="1"/>
  <c r="C323" i="39"/>
  <c r="K237" i="49"/>
  <c r="L237" i="49" s="1"/>
  <c r="K274" i="49"/>
  <c r="L274" i="49" s="1"/>
  <c r="K56" i="49"/>
  <c r="L56" i="49" s="1"/>
  <c r="K64" i="49"/>
  <c r="L64" i="49" s="1"/>
  <c r="K262" i="49"/>
  <c r="L262" i="49" s="1"/>
  <c r="K241" i="49"/>
  <c r="L241" i="49" s="1"/>
  <c r="K185" i="49"/>
  <c r="L185" i="49" s="1"/>
  <c r="K72" i="49"/>
  <c r="L72" i="49" s="1"/>
  <c r="K35" i="49"/>
  <c r="L35" i="49" s="1"/>
  <c r="K293" i="49"/>
  <c r="L293" i="49" s="1"/>
  <c r="K250" i="49"/>
  <c r="L250" i="49" s="1"/>
  <c r="K198" i="49"/>
  <c r="L198" i="49" s="1"/>
  <c r="K141" i="49"/>
  <c r="L141" i="49" s="1"/>
  <c r="K84" i="49"/>
  <c r="L84" i="49" s="1"/>
  <c r="K51" i="49"/>
  <c r="L51" i="49" s="1"/>
  <c r="K302" i="49"/>
  <c r="L302" i="49" s="1"/>
  <c r="K260" i="49"/>
  <c r="L260" i="49" s="1"/>
  <c r="K238" i="49"/>
  <c r="L238" i="49" s="1"/>
  <c r="K182" i="49"/>
  <c r="L182" i="49" s="1"/>
  <c r="K125" i="49"/>
  <c r="L125" i="49" s="1"/>
  <c r="K67" i="49"/>
  <c r="L67" i="49" s="1"/>
  <c r="K319" i="49"/>
  <c r="L319" i="49" s="1"/>
  <c r="K303" i="49"/>
  <c r="L303" i="49" s="1"/>
  <c r="K271" i="49"/>
  <c r="L271" i="49" s="1"/>
  <c r="K239" i="49"/>
  <c r="L239" i="49" s="1"/>
  <c r="K197" i="49"/>
  <c r="L197" i="49" s="1"/>
  <c r="K176" i="49"/>
  <c r="L176" i="49" s="1"/>
  <c r="K133" i="49"/>
  <c r="L133" i="49" s="1"/>
  <c r="K90" i="49"/>
  <c r="L90" i="49" s="1"/>
  <c r="K40" i="49"/>
  <c r="L40" i="49" s="1"/>
  <c r="K175" i="49"/>
  <c r="L175" i="49" s="1"/>
  <c r="K95" i="49"/>
  <c r="L95" i="49" s="1"/>
  <c r="K79" i="49"/>
  <c r="L79" i="49" s="1"/>
  <c r="K18" i="49"/>
  <c r="L18" i="49" s="1"/>
  <c r="K45" i="49"/>
  <c r="L45" i="49" s="1"/>
  <c r="K13" i="49"/>
  <c r="L13" i="49" s="1"/>
  <c r="K209" i="49"/>
  <c r="L209" i="49" s="1"/>
  <c r="K253" i="49"/>
  <c r="L253" i="49" s="1"/>
  <c r="K16" i="49"/>
  <c r="L16" i="49" s="1"/>
  <c r="K242" i="49"/>
  <c r="L242" i="49" s="1"/>
  <c r="K301" i="49"/>
  <c r="L301" i="49" s="1"/>
  <c r="K222" i="49"/>
  <c r="L222" i="49" s="1"/>
  <c r="K321" i="49"/>
  <c r="L321" i="49" s="1"/>
  <c r="K278" i="49"/>
  <c r="L278" i="49" s="1"/>
  <c r="K257" i="49"/>
  <c r="L257" i="49" s="1"/>
  <c r="K206" i="49"/>
  <c r="L206" i="49" s="1"/>
  <c r="K178" i="49"/>
  <c r="L178" i="49" s="1"/>
  <c r="K63" i="49"/>
  <c r="L63" i="49" s="1"/>
  <c r="K245" i="49"/>
  <c r="L245" i="49" s="1"/>
  <c r="K190" i="49"/>
  <c r="L190" i="49" s="1"/>
  <c r="K77" i="49"/>
  <c r="L77" i="49" s="1"/>
  <c r="K318" i="49"/>
  <c r="L318" i="49" s="1"/>
  <c r="K276" i="49"/>
  <c r="L276" i="49" s="1"/>
  <c r="K232" i="49"/>
  <c r="L232" i="49" s="1"/>
  <c r="K174" i="49"/>
  <c r="L174" i="49" s="1"/>
  <c r="K118" i="49"/>
  <c r="L118" i="49" s="1"/>
  <c r="K58" i="49"/>
  <c r="L58" i="49" s="1"/>
  <c r="K315" i="49"/>
  <c r="L315" i="49" s="1"/>
  <c r="K251" i="49"/>
  <c r="L251" i="49" s="1"/>
  <c r="K192" i="49"/>
  <c r="L192" i="49" s="1"/>
  <c r="K106" i="49"/>
  <c r="L106" i="49" s="1"/>
  <c r="K62" i="49"/>
  <c r="L62" i="49" s="1"/>
  <c r="K235" i="49"/>
  <c r="L235" i="49" s="1"/>
  <c r="K203" i="49"/>
  <c r="L203" i="49" s="1"/>
  <c r="K187" i="49"/>
  <c r="L187" i="49" s="1"/>
  <c r="K139" i="49"/>
  <c r="L139" i="49" s="1"/>
  <c r="K123" i="49"/>
  <c r="L123" i="49" s="1"/>
  <c r="K107" i="49"/>
  <c r="L107" i="49" s="1"/>
  <c r="K91" i="49"/>
  <c r="L91" i="49" s="1"/>
  <c r="K75" i="49"/>
  <c r="L75" i="49" s="1"/>
  <c r="K55" i="49"/>
  <c r="L55" i="49" s="1"/>
  <c r="K34" i="49"/>
  <c r="L34" i="49" s="1"/>
  <c r="K12" i="49"/>
  <c r="L12" i="49" s="1"/>
  <c r="K57" i="49"/>
  <c r="L57" i="49" s="1"/>
  <c r="K41" i="49"/>
  <c r="L41" i="49" s="1"/>
  <c r="K9" i="49"/>
  <c r="L9" i="49" s="1"/>
  <c r="K280" i="49"/>
  <c r="L280" i="49" s="1"/>
  <c r="K296" i="49"/>
  <c r="L296" i="49" s="1"/>
  <c r="K201" i="49"/>
  <c r="L201" i="49" s="1"/>
  <c r="K88" i="49"/>
  <c r="L88" i="49" s="1"/>
  <c r="K188" i="49"/>
  <c r="L188" i="49" s="1"/>
  <c r="K73" i="49"/>
  <c r="L73" i="49" s="1"/>
  <c r="K180" i="49"/>
  <c r="L180" i="49" s="1"/>
  <c r="K269" i="49"/>
  <c r="L269" i="49" s="1"/>
  <c r="K166" i="49"/>
  <c r="L166" i="49" s="1"/>
  <c r="K46" i="49"/>
  <c r="L46" i="49" s="1"/>
  <c r="K310" i="49"/>
  <c r="L310" i="49" s="1"/>
  <c r="K268" i="49"/>
  <c r="L268" i="49" s="1"/>
  <c r="K246" i="49"/>
  <c r="L246" i="49" s="1"/>
  <c r="K221" i="49"/>
  <c r="L221" i="49" s="1"/>
  <c r="K193" i="49"/>
  <c r="L193" i="49" s="1"/>
  <c r="K164" i="49"/>
  <c r="L164" i="49" s="1"/>
  <c r="K136" i="49"/>
  <c r="L136" i="49" s="1"/>
  <c r="K108" i="49"/>
  <c r="L108" i="49" s="1"/>
  <c r="K78" i="49"/>
  <c r="L78" i="49" s="1"/>
  <c r="K43" i="49"/>
  <c r="L43" i="49" s="1"/>
  <c r="K320" i="49"/>
  <c r="L320" i="49" s="1"/>
  <c r="K298" i="49"/>
  <c r="L298" i="49" s="1"/>
  <c r="K277" i="49"/>
  <c r="L277" i="49" s="1"/>
  <c r="K256" i="49"/>
  <c r="L256" i="49" s="1"/>
  <c r="K233" i="49"/>
  <c r="L233" i="49" s="1"/>
  <c r="K205" i="49"/>
  <c r="L205" i="49" s="1"/>
  <c r="K177" i="49"/>
  <c r="L177" i="49" s="1"/>
  <c r="K148" i="49"/>
  <c r="L148" i="49" s="1"/>
  <c r="K92" i="49"/>
  <c r="L92" i="49" s="1"/>
  <c r="K59" i="49"/>
  <c r="L59" i="49" s="1"/>
  <c r="K22" i="49"/>
  <c r="L22" i="49" s="1"/>
  <c r="K308" i="49"/>
  <c r="L308" i="49" s="1"/>
  <c r="K265" i="49"/>
  <c r="L265" i="49" s="1"/>
  <c r="K244" i="49"/>
  <c r="L244" i="49" s="1"/>
  <c r="K217" i="49"/>
  <c r="L217" i="49" s="1"/>
  <c r="K189" i="49"/>
  <c r="L189" i="49" s="1"/>
  <c r="K161" i="49"/>
  <c r="L161" i="49" s="1"/>
  <c r="K132" i="49"/>
  <c r="L132" i="49" s="1"/>
  <c r="K104" i="49"/>
  <c r="L104" i="49" s="1"/>
  <c r="K76" i="49"/>
  <c r="L76" i="49" s="1"/>
  <c r="K38" i="49"/>
  <c r="L38" i="49" s="1"/>
  <c r="K323" i="49"/>
  <c r="L323" i="49" s="1"/>
  <c r="K307" i="49"/>
  <c r="L307" i="49" s="1"/>
  <c r="K275" i="49"/>
  <c r="L275" i="49" s="1"/>
  <c r="K259" i="49"/>
  <c r="L259" i="49" s="1"/>
  <c r="K243" i="49"/>
  <c r="L243" i="49" s="1"/>
  <c r="K224" i="49"/>
  <c r="L224" i="49" s="1"/>
  <c r="K202" i="49"/>
  <c r="L202" i="49" s="1"/>
  <c r="K181" i="49"/>
  <c r="L181" i="49" s="1"/>
  <c r="K160" i="49"/>
  <c r="L160" i="49" s="1"/>
  <c r="K138" i="49"/>
  <c r="L138" i="49" s="1"/>
  <c r="K96" i="49"/>
  <c r="L96" i="49" s="1"/>
  <c r="K74" i="49"/>
  <c r="L74" i="49" s="1"/>
  <c r="K47" i="49"/>
  <c r="L47" i="49" s="1"/>
  <c r="K19" i="49"/>
  <c r="L19" i="49" s="1"/>
  <c r="K227" i="49"/>
  <c r="L227" i="49" s="1"/>
  <c r="K211" i="49"/>
  <c r="L211" i="49" s="1"/>
  <c r="K195" i="49"/>
  <c r="L195" i="49" s="1"/>
  <c r="K179" i="49"/>
  <c r="L179" i="49" s="1"/>
  <c r="K163" i="49"/>
  <c r="L163" i="49" s="1"/>
  <c r="K147" i="49"/>
  <c r="L147" i="49" s="1"/>
  <c r="K115" i="49"/>
  <c r="L115" i="49" s="1"/>
  <c r="K99" i="49"/>
  <c r="L99" i="49" s="1"/>
  <c r="K83" i="49"/>
  <c r="L83" i="49" s="1"/>
  <c r="K66" i="49"/>
  <c r="L66" i="49" s="1"/>
  <c r="K44" i="49"/>
  <c r="L44" i="49" s="1"/>
  <c r="K23" i="49"/>
  <c r="L23" i="49" s="1"/>
  <c r="K65" i="49"/>
  <c r="L65" i="49" s="1"/>
  <c r="K49" i="49"/>
  <c r="L49" i="49" s="1"/>
  <c r="K33" i="49"/>
  <c r="L33" i="49" s="1"/>
  <c r="K17" i="49"/>
  <c r="L17" i="49" s="1"/>
  <c r="K94" i="49"/>
  <c r="L94" i="49" s="1"/>
  <c r="K173" i="49"/>
  <c r="L173" i="49" s="1"/>
  <c r="K264" i="49"/>
  <c r="L264" i="49" s="1"/>
  <c r="K36" i="49"/>
  <c r="L36" i="49" s="1"/>
  <c r="K248" i="49"/>
  <c r="L248" i="49" s="1"/>
  <c r="K214" i="49"/>
  <c r="L214" i="49" s="1"/>
  <c r="K157" i="49"/>
  <c r="L157" i="49" s="1"/>
  <c r="K100" i="49"/>
  <c r="L100" i="49" s="1"/>
  <c r="K272" i="49"/>
  <c r="L272" i="49" s="1"/>
  <c r="K169" i="49"/>
  <c r="L169" i="49" s="1"/>
  <c r="K113" i="49"/>
  <c r="L113" i="49" s="1"/>
  <c r="K281" i="49"/>
  <c r="L281" i="49" s="1"/>
  <c r="K210" i="49"/>
  <c r="L210" i="49" s="1"/>
  <c r="K153" i="49"/>
  <c r="L153" i="49" s="1"/>
  <c r="K97" i="49"/>
  <c r="L97" i="49" s="1"/>
  <c r="K30" i="49"/>
  <c r="L30" i="49" s="1"/>
  <c r="K255" i="49"/>
  <c r="L255" i="49" s="1"/>
  <c r="K218" i="49"/>
  <c r="L218" i="49" s="1"/>
  <c r="K68" i="49"/>
  <c r="L68" i="49" s="1"/>
  <c r="K11" i="49"/>
  <c r="L11" i="49" s="1"/>
  <c r="K223" i="49"/>
  <c r="L223" i="49" s="1"/>
  <c r="K191" i="49"/>
  <c r="L191" i="49" s="1"/>
  <c r="K159" i="49"/>
  <c r="L159" i="49" s="1"/>
  <c r="K143" i="49"/>
  <c r="L143" i="49" s="1"/>
  <c r="K111" i="49"/>
  <c r="L111" i="49" s="1"/>
  <c r="K60" i="49"/>
  <c r="L60" i="49" s="1"/>
  <c r="K39" i="49"/>
  <c r="L39" i="49" s="1"/>
  <c r="K61" i="49"/>
  <c r="L61" i="49" s="1"/>
  <c r="K29" i="49"/>
  <c r="L29" i="49" s="1"/>
  <c r="K27" i="49"/>
  <c r="L27" i="49" s="1"/>
  <c r="K145" i="49"/>
  <c r="L145" i="49" s="1"/>
  <c r="K312" i="49"/>
  <c r="L312" i="49" s="1"/>
  <c r="K109" i="49"/>
  <c r="L109" i="49" s="1"/>
  <c r="K300" i="49"/>
  <c r="L300" i="49" s="1"/>
  <c r="K236" i="49"/>
  <c r="L236" i="49" s="1"/>
  <c r="K93" i="49"/>
  <c r="L93" i="49" s="1"/>
  <c r="K24" i="49"/>
  <c r="L24" i="49" s="1"/>
  <c r="K309" i="49"/>
  <c r="L309" i="49" s="1"/>
  <c r="K266" i="49"/>
  <c r="L266" i="49" s="1"/>
  <c r="K220" i="49"/>
  <c r="L220" i="49" s="1"/>
  <c r="K162" i="49"/>
  <c r="L162" i="49" s="1"/>
  <c r="K105" i="49"/>
  <c r="L105" i="49" s="1"/>
  <c r="K42" i="49"/>
  <c r="L42" i="49" s="1"/>
  <c r="K297" i="49"/>
  <c r="L297" i="49" s="1"/>
  <c r="K254" i="49"/>
  <c r="L254" i="49" s="1"/>
  <c r="K204" i="49"/>
  <c r="L204" i="49" s="1"/>
  <c r="K146" i="49"/>
  <c r="L146" i="49" s="1"/>
  <c r="K89" i="49"/>
  <c r="L89" i="49" s="1"/>
  <c r="K20" i="49"/>
  <c r="L20" i="49" s="1"/>
  <c r="K299" i="49"/>
  <c r="L299" i="49" s="1"/>
  <c r="K267" i="49"/>
  <c r="L267" i="49" s="1"/>
  <c r="K234" i="49"/>
  <c r="L234" i="49" s="1"/>
  <c r="K213" i="49"/>
  <c r="L213" i="49" s="1"/>
  <c r="K170" i="49"/>
  <c r="L170" i="49" s="1"/>
  <c r="K85" i="49"/>
  <c r="L85" i="49" s="1"/>
  <c r="K32" i="49"/>
  <c r="L32" i="49" s="1"/>
  <c r="K219" i="49"/>
  <c r="L219" i="49" s="1"/>
  <c r="K171" i="49"/>
  <c r="L171" i="49" s="1"/>
  <c r="K25" i="49"/>
  <c r="L25" i="49" s="1"/>
  <c r="K152" i="49"/>
  <c r="L152" i="49" s="1"/>
  <c r="K317" i="49"/>
  <c r="L317" i="49" s="1"/>
  <c r="K116" i="49"/>
  <c r="L116" i="49" s="1"/>
  <c r="K306" i="49"/>
  <c r="L306" i="49" s="1"/>
  <c r="K216" i="49"/>
  <c r="L216" i="49" s="1"/>
  <c r="K102" i="49"/>
  <c r="L102" i="49" s="1"/>
  <c r="K258" i="49"/>
  <c r="L258" i="49" s="1"/>
  <c r="K194" i="49"/>
  <c r="L194" i="49" s="1"/>
  <c r="K81" i="49"/>
  <c r="L81" i="49" s="1"/>
  <c r="K316" i="49"/>
  <c r="L316" i="49" s="1"/>
  <c r="K294" i="49"/>
  <c r="L294" i="49" s="1"/>
  <c r="K273" i="49"/>
  <c r="L273" i="49" s="1"/>
  <c r="K252" i="49"/>
  <c r="L252" i="49" s="1"/>
  <c r="K228" i="49"/>
  <c r="L228" i="49" s="1"/>
  <c r="K200" i="49"/>
  <c r="L200" i="49" s="1"/>
  <c r="K172" i="49"/>
  <c r="L172" i="49" s="1"/>
  <c r="K142" i="49"/>
  <c r="L142" i="49" s="1"/>
  <c r="K86" i="49"/>
  <c r="L86" i="49" s="1"/>
  <c r="K52" i="49"/>
  <c r="L52" i="49" s="1"/>
  <c r="K15" i="49"/>
  <c r="L15" i="49" s="1"/>
  <c r="K282" i="49"/>
  <c r="L282" i="49" s="1"/>
  <c r="K261" i="49"/>
  <c r="L261" i="49" s="1"/>
  <c r="K240" i="49"/>
  <c r="L240" i="49" s="1"/>
  <c r="K212" i="49"/>
  <c r="L212" i="49" s="1"/>
  <c r="K184" i="49"/>
  <c r="L184" i="49" s="1"/>
  <c r="K98" i="49"/>
  <c r="L98" i="49" s="1"/>
  <c r="K70" i="49"/>
  <c r="L70" i="49" s="1"/>
  <c r="K31" i="49"/>
  <c r="L31" i="49" s="1"/>
  <c r="K313" i="49"/>
  <c r="L313" i="49" s="1"/>
  <c r="K270" i="49"/>
  <c r="L270" i="49" s="1"/>
  <c r="K249" i="49"/>
  <c r="L249" i="49" s="1"/>
  <c r="K225" i="49"/>
  <c r="L225" i="49" s="1"/>
  <c r="K168" i="49"/>
  <c r="L168" i="49" s="1"/>
  <c r="K140" i="49"/>
  <c r="L140" i="49" s="1"/>
  <c r="K110" i="49"/>
  <c r="L110" i="49" s="1"/>
  <c r="K82" i="49"/>
  <c r="L82" i="49" s="1"/>
  <c r="K48" i="49"/>
  <c r="L48" i="49" s="1"/>
  <c r="K10" i="49"/>
  <c r="L10" i="49" s="1"/>
  <c r="K311" i="49"/>
  <c r="L311" i="49" s="1"/>
  <c r="K295" i="49"/>
  <c r="L295" i="49" s="1"/>
  <c r="K279" i="49"/>
  <c r="L279" i="49" s="1"/>
  <c r="K263" i="49"/>
  <c r="L263" i="49" s="1"/>
  <c r="K247" i="49"/>
  <c r="L247" i="49" s="1"/>
  <c r="K229" i="49"/>
  <c r="L229" i="49" s="1"/>
  <c r="K186" i="49"/>
  <c r="L186" i="49" s="1"/>
  <c r="K165" i="49"/>
  <c r="L165" i="49" s="1"/>
  <c r="K101" i="49"/>
  <c r="L101" i="49" s="1"/>
  <c r="K80" i="49"/>
  <c r="L80" i="49" s="1"/>
  <c r="K54" i="49"/>
  <c r="L54" i="49" s="1"/>
  <c r="K26" i="49"/>
  <c r="L26" i="49" s="1"/>
  <c r="K215" i="49"/>
  <c r="L215" i="49" s="1"/>
  <c r="K199" i="49"/>
  <c r="L199" i="49" s="1"/>
  <c r="K183" i="49"/>
  <c r="L183" i="49" s="1"/>
  <c r="K167" i="49"/>
  <c r="L167" i="49" s="1"/>
  <c r="K103" i="49"/>
  <c r="L103" i="49" s="1"/>
  <c r="K87" i="49"/>
  <c r="L87" i="49" s="1"/>
  <c r="K71" i="49"/>
  <c r="L71" i="49" s="1"/>
  <c r="K50" i="49"/>
  <c r="L50" i="49" s="1"/>
  <c r="K28" i="49"/>
  <c r="L28" i="49" s="1"/>
  <c r="K69" i="49"/>
  <c r="L69" i="49" s="1"/>
  <c r="K53" i="49"/>
  <c r="L53" i="49" s="1"/>
  <c r="K37" i="49"/>
  <c r="L37" i="49" s="1"/>
  <c r="K21" i="49"/>
  <c r="L21" i="49" s="1"/>
  <c r="J324" i="49"/>
  <c r="G324" i="49"/>
  <c r="E164" i="33"/>
  <c r="E106" i="33"/>
  <c r="E248" i="33"/>
  <c r="E162" i="33"/>
  <c r="E46" i="33"/>
  <c r="E287" i="33"/>
  <c r="E195" i="33"/>
  <c r="E149" i="33"/>
  <c r="E83" i="33"/>
  <c r="E34" i="33"/>
  <c r="E210" i="33"/>
  <c r="E187" i="33"/>
  <c r="E74" i="33"/>
  <c r="E228" i="33"/>
  <c r="E78" i="33"/>
  <c r="E59" i="33"/>
  <c r="E51" i="33"/>
  <c r="E296" i="33"/>
  <c r="E125" i="33"/>
  <c r="E235" i="33"/>
  <c r="E18" i="33"/>
  <c r="E79" i="33"/>
  <c r="E200" i="33"/>
  <c r="E247" i="33"/>
  <c r="S325" i="19"/>
  <c r="E47" i="33"/>
  <c r="E13" i="33"/>
  <c r="E90" i="33"/>
  <c r="E10" i="33"/>
  <c r="E211" i="33"/>
  <c r="E243" i="33"/>
  <c r="C323" i="12"/>
  <c r="G36" i="32"/>
  <c r="E36" i="33"/>
  <c r="E7" i="33"/>
  <c r="E6" i="33"/>
  <c r="L8" i="49" l="1"/>
  <c r="L324" i="49" s="1"/>
  <c r="K324" i="49"/>
  <c r="N324" i="49" s="1"/>
  <c r="G323" i="37"/>
  <c r="H322" i="37" s="1"/>
  <c r="L324" i="13"/>
  <c r="F323" i="32"/>
  <c r="G323" i="32" s="1"/>
  <c r="C323" i="33"/>
  <c r="E323" i="33" s="1"/>
  <c r="G2" i="33" s="1"/>
  <c r="G5" i="33" s="1"/>
  <c r="B55" i="40"/>
  <c r="B42" i="40" l="1"/>
  <c r="B44" i="40" s="1"/>
  <c r="P5" i="13" s="1"/>
  <c r="H290" i="37"/>
  <c r="H62" i="37"/>
  <c r="H267" i="37"/>
  <c r="H197" i="37"/>
  <c r="H262" i="37"/>
  <c r="H312" i="37"/>
  <c r="H315" i="37"/>
  <c r="H118" i="37"/>
  <c r="H233" i="37"/>
  <c r="H287" i="37"/>
  <c r="H126" i="37"/>
  <c r="H60" i="37"/>
  <c r="H195" i="37"/>
  <c r="H132" i="37"/>
  <c r="H137" i="37"/>
  <c r="H79" i="37"/>
  <c r="H178" i="37"/>
  <c r="H190" i="37"/>
  <c r="H99" i="37"/>
  <c r="H106" i="37"/>
  <c r="H212" i="37"/>
  <c r="H11" i="37"/>
  <c r="H318" i="37"/>
  <c r="H182" i="37"/>
  <c r="H305" i="37"/>
  <c r="H157" i="37"/>
  <c r="H237" i="37"/>
  <c r="H161" i="37"/>
  <c r="H205" i="37"/>
  <c r="H311" i="37"/>
  <c r="H254" i="37"/>
  <c r="H241" i="37"/>
  <c r="H252" i="37"/>
  <c r="H145" i="37"/>
  <c r="H186" i="37"/>
  <c r="H111" i="37"/>
  <c r="H235" i="37"/>
  <c r="H61" i="37"/>
  <c r="H151" i="37"/>
  <c r="H54" i="37"/>
  <c r="H323" i="37"/>
  <c r="H313" i="37"/>
  <c r="H256" i="37"/>
  <c r="H277" i="37"/>
  <c r="H251" i="37"/>
  <c r="H130" i="37"/>
  <c r="H184" i="37"/>
  <c r="H273" i="37"/>
  <c r="H310" i="37"/>
  <c r="H224" i="37"/>
  <c r="H158" i="37"/>
  <c r="H308" i="37"/>
  <c r="H200" i="37"/>
  <c r="H268" i="37"/>
  <c r="H141" i="37"/>
  <c r="H226" i="37"/>
  <c r="H92" i="37"/>
  <c r="H269" i="37"/>
  <c r="H304" i="37"/>
  <c r="H219" i="37"/>
  <c r="H154" i="37"/>
  <c r="H244" i="37"/>
  <c r="H296" i="37"/>
  <c r="H115" i="37"/>
  <c r="H278" i="37"/>
  <c r="H211" i="37"/>
  <c r="H109" i="37"/>
  <c r="H297" i="37"/>
  <c r="H294" i="37"/>
  <c r="H204" i="37"/>
  <c r="H97" i="37"/>
  <c r="H35" i="37"/>
  <c r="H82" i="37"/>
  <c r="H209" i="37"/>
  <c r="H36" i="37"/>
  <c r="H94" i="37"/>
  <c r="H264" i="37"/>
  <c r="H41" i="37"/>
  <c r="H143" i="37"/>
  <c r="H22" i="37"/>
  <c r="H98" i="37"/>
  <c r="H301" i="37"/>
  <c r="H299" i="37"/>
  <c r="H309" i="37"/>
  <c r="H272" i="37"/>
  <c r="H162" i="37"/>
  <c r="H231" i="37"/>
  <c r="H289" i="37"/>
  <c r="H225" i="37"/>
  <c r="H246" i="37"/>
  <c r="H174" i="37"/>
  <c r="H110" i="37"/>
  <c r="H223" i="37"/>
  <c r="H306" i="37"/>
  <c r="H169" i="37"/>
  <c r="H275" i="37"/>
  <c r="H117" i="37"/>
  <c r="H317" i="37"/>
  <c r="H221" i="37"/>
  <c r="H240" i="37"/>
  <c r="H170" i="37"/>
  <c r="H302" i="37"/>
  <c r="H152" i="37"/>
  <c r="H136" i="37"/>
  <c r="H72" i="37"/>
  <c r="H238" i="37"/>
  <c r="H183" i="37"/>
  <c r="H103" i="37"/>
  <c r="H245" i="37"/>
  <c r="H276" i="37"/>
  <c r="H236" i="37"/>
  <c r="H23" i="37"/>
  <c r="H66" i="37"/>
  <c r="H187" i="37"/>
  <c r="H24" i="37"/>
  <c r="H73" i="37"/>
  <c r="H188" i="37"/>
  <c r="H25" i="37"/>
  <c r="H113" i="37"/>
  <c r="H319" i="37"/>
  <c r="H70" i="37"/>
  <c r="H281" i="37"/>
  <c r="H214" i="37"/>
  <c r="H229" i="37"/>
  <c r="H210" i="37"/>
  <c r="H316" i="37"/>
  <c r="H314" i="37"/>
  <c r="H257" i="37"/>
  <c r="H288" i="37"/>
  <c r="H206" i="37"/>
  <c r="H142" i="37"/>
  <c r="H280" i="37"/>
  <c r="H179" i="37"/>
  <c r="H228" i="37"/>
  <c r="H120" i="37"/>
  <c r="H185" i="37"/>
  <c r="H76" i="37"/>
  <c r="H253" i="37"/>
  <c r="H283" i="37"/>
  <c r="H202" i="37"/>
  <c r="H122" i="37"/>
  <c r="H216" i="37"/>
  <c r="H258" i="37"/>
  <c r="H175" i="37"/>
  <c r="H134" i="37"/>
  <c r="H168" i="37"/>
  <c r="H250" i="37"/>
  <c r="H217" i="37"/>
  <c r="H146" i="37"/>
  <c r="H104" i="37"/>
  <c r="H64" i="37"/>
  <c r="H39" i="37"/>
  <c r="H119" i="37"/>
  <c r="H279" i="37"/>
  <c r="H40" i="37"/>
  <c r="H129" i="37"/>
  <c r="H298" i="37"/>
  <c r="H49" i="37"/>
  <c r="H218" i="37"/>
  <c r="H34" i="37"/>
  <c r="H127" i="37"/>
  <c r="F130" i="33"/>
  <c r="H138" i="37"/>
  <c r="H274" i="37"/>
  <c r="H173" i="37"/>
  <c r="H220" i="37"/>
  <c r="H213" i="37"/>
  <c r="H265" i="37"/>
  <c r="H102" i="37"/>
  <c r="H286" i="37"/>
  <c r="H300" i="37"/>
  <c r="H68" i="37"/>
  <c r="H261" i="37"/>
  <c r="H114" i="37"/>
  <c r="H176" i="37"/>
  <c r="H124" i="37"/>
  <c r="H19" i="37"/>
  <c r="H43" i="37"/>
  <c r="H100" i="37"/>
  <c r="H199" i="37"/>
  <c r="H12" i="37"/>
  <c r="H57" i="37"/>
  <c r="H101" i="37"/>
  <c r="H201" i="37"/>
  <c r="H17" i="37"/>
  <c r="H69" i="37"/>
  <c r="H153" i="37"/>
  <c r="H14" i="37"/>
  <c r="H65" i="37"/>
  <c r="H159" i="37"/>
  <c r="H263" i="37"/>
  <c r="H88" i="37"/>
  <c r="H198" i="37"/>
  <c r="H266" i="37"/>
  <c r="H147" i="37"/>
  <c r="H155" i="37"/>
  <c r="H165" i="37"/>
  <c r="H285" i="37"/>
  <c r="H166" i="37"/>
  <c r="H194" i="37"/>
  <c r="H163" i="37"/>
  <c r="H148" i="37"/>
  <c r="H156" i="37"/>
  <c r="H7" i="37"/>
  <c r="H27" i="37"/>
  <c r="H55" i="37"/>
  <c r="H87" i="37"/>
  <c r="H149" i="37"/>
  <c r="H260" i="37"/>
  <c r="H20" i="37"/>
  <c r="H44" i="37"/>
  <c r="H83" i="37"/>
  <c r="H140" i="37"/>
  <c r="H232" i="37"/>
  <c r="H9" i="37"/>
  <c r="H45" i="37"/>
  <c r="H90" i="37"/>
  <c r="H207" i="37"/>
  <c r="H320" i="37"/>
  <c r="H38" i="37"/>
  <c r="H91" i="37"/>
  <c r="H181" i="37"/>
  <c r="H222" i="37"/>
  <c r="H191" i="37"/>
  <c r="H95" i="37"/>
  <c r="H139" i="37"/>
  <c r="H56" i="37"/>
  <c r="H150" i="37"/>
  <c r="H295" i="37"/>
  <c r="H189" i="37"/>
  <c r="H248" i="37"/>
  <c r="H131" i="37"/>
  <c r="H203" i="37"/>
  <c r="H84" i="37"/>
  <c r="H249" i="37"/>
  <c r="H293" i="37"/>
  <c r="H230" i="37"/>
  <c r="H259" i="37"/>
  <c r="H239" i="37"/>
  <c r="H125" i="37"/>
  <c r="H193" i="37"/>
  <c r="H80" i="37"/>
  <c r="H15" i="37"/>
  <c r="H31" i="37"/>
  <c r="H47" i="37"/>
  <c r="H77" i="37"/>
  <c r="H108" i="37"/>
  <c r="H160" i="37"/>
  <c r="H243" i="37"/>
  <c r="H8" i="37"/>
  <c r="H28" i="37"/>
  <c r="H52" i="37"/>
  <c r="H78" i="37"/>
  <c r="H112" i="37"/>
  <c r="H177" i="37"/>
  <c r="H247" i="37"/>
  <c r="H321" i="37"/>
  <c r="H29" i="37"/>
  <c r="H63" i="37"/>
  <c r="H105" i="37"/>
  <c r="H167" i="37"/>
  <c r="H284" i="37"/>
  <c r="H18" i="37"/>
  <c r="H46" i="37"/>
  <c r="H86" i="37"/>
  <c r="H135" i="37"/>
  <c r="H242" i="37"/>
  <c r="F232" i="33"/>
  <c r="H13" i="37"/>
  <c r="H33" i="37"/>
  <c r="H58" i="37"/>
  <c r="H85" i="37"/>
  <c r="H123" i="37"/>
  <c r="H192" i="37"/>
  <c r="H270" i="37"/>
  <c r="H6" i="37"/>
  <c r="H30" i="37"/>
  <c r="H50" i="37"/>
  <c r="H75" i="37"/>
  <c r="H116" i="37"/>
  <c r="H171" i="37"/>
  <c r="H307" i="37"/>
  <c r="F218" i="33"/>
  <c r="F122" i="33"/>
  <c r="F215" i="33"/>
  <c r="H271" i="37"/>
  <c r="F133" i="33"/>
  <c r="F306" i="33"/>
  <c r="F298" i="33"/>
  <c r="F152" i="33"/>
  <c r="H208" i="37"/>
  <c r="H291" i="37"/>
  <c r="F209" i="33"/>
  <c r="F314" i="33"/>
  <c r="F196" i="33"/>
  <c r="F128" i="33"/>
  <c r="F89" i="33"/>
  <c r="F44" i="33"/>
  <c r="F318" i="33"/>
  <c r="F48" i="33"/>
  <c r="F114" i="33"/>
  <c r="F307" i="33"/>
  <c r="F293" i="33"/>
  <c r="F11" i="33"/>
  <c r="F19" i="33"/>
  <c r="F99" i="33"/>
  <c r="F309" i="33"/>
  <c r="F27" i="33"/>
  <c r="F242" i="33"/>
  <c r="F158" i="33"/>
  <c r="J2" i="33"/>
  <c r="J15" i="33" s="1"/>
  <c r="H51" i="37"/>
  <c r="H71" i="37"/>
  <c r="H93" i="37"/>
  <c r="H128" i="37"/>
  <c r="H172" i="37"/>
  <c r="H227" i="37"/>
  <c r="H292" i="37"/>
  <c r="H16" i="37"/>
  <c r="H32" i="37"/>
  <c r="H48" i="37"/>
  <c r="H67" i="37"/>
  <c r="H89" i="37"/>
  <c r="H121" i="37"/>
  <c r="H164" i="37"/>
  <c r="H215" i="37"/>
  <c r="H282" i="37"/>
  <c r="H5" i="37"/>
  <c r="H21" i="37"/>
  <c r="H37" i="37"/>
  <c r="H53" i="37"/>
  <c r="H74" i="37"/>
  <c r="H96" i="37"/>
  <c r="H133" i="37"/>
  <c r="H180" i="37"/>
  <c r="H234" i="37"/>
  <c r="H303" i="37"/>
  <c r="H10" i="37"/>
  <c r="H26" i="37"/>
  <c r="H42" i="37"/>
  <c r="H59" i="37"/>
  <c r="H81" i="37"/>
  <c r="H107" i="37"/>
  <c r="H144" i="37"/>
  <c r="H196" i="37"/>
  <c r="H255" i="37"/>
  <c r="F281" i="33"/>
  <c r="F251" i="33"/>
  <c r="F145" i="33"/>
  <c r="F153" i="33"/>
  <c r="F107" i="33"/>
  <c r="F217" i="33"/>
  <c r="F135" i="33"/>
  <c r="F51" i="33"/>
  <c r="F25" i="33"/>
  <c r="F79" i="33"/>
  <c r="F58" i="33"/>
  <c r="F149" i="33"/>
  <c r="F42" i="33"/>
  <c r="F100" i="33"/>
  <c r="F69" i="33"/>
  <c r="F282" i="33"/>
  <c r="F165" i="33"/>
  <c r="F178" i="33"/>
  <c r="F278" i="33"/>
  <c r="F81" i="33"/>
  <c r="F28" i="33"/>
  <c r="F86" i="33"/>
  <c r="F146" i="33"/>
  <c r="F101" i="33"/>
  <c r="F143" i="33"/>
  <c r="F60" i="33"/>
  <c r="F264" i="33"/>
  <c r="F249" i="33"/>
  <c r="F160" i="33"/>
  <c r="F187" i="33"/>
  <c r="F96" i="33"/>
  <c r="F304" i="33"/>
  <c r="F33" i="33"/>
  <c r="F273" i="33"/>
  <c r="F229" i="33"/>
  <c r="F140" i="33"/>
  <c r="F313" i="33"/>
  <c r="F211" i="33"/>
  <c r="F173" i="33"/>
  <c r="F35" i="33"/>
  <c r="F192" i="33"/>
  <c r="F167" i="33"/>
  <c r="F125" i="33"/>
  <c r="F184" i="33"/>
  <c r="F210" i="33"/>
  <c r="F66" i="33"/>
  <c r="F98" i="33"/>
  <c r="F157" i="33"/>
  <c r="F206" i="33"/>
  <c r="F54" i="33"/>
  <c r="F40" i="33"/>
  <c r="F168" i="33"/>
  <c r="F34" i="33"/>
  <c r="F305" i="33"/>
  <c r="F102" i="33"/>
  <c r="F271" i="33"/>
  <c r="F29" i="33"/>
  <c r="F56" i="33"/>
  <c r="F254" i="33"/>
  <c r="F72" i="33"/>
  <c r="F179" i="33"/>
  <c r="F193" i="33"/>
  <c r="F111" i="33"/>
  <c r="F284" i="33"/>
  <c r="F301" i="33"/>
  <c r="F289" i="33"/>
  <c r="F59" i="33"/>
  <c r="F292" i="33"/>
  <c r="F124" i="33"/>
  <c r="F280" i="33"/>
  <c r="F315" i="33"/>
  <c r="F311" i="33"/>
  <c r="F17" i="33"/>
  <c r="F188" i="33"/>
  <c r="F77" i="33"/>
  <c r="F261" i="33"/>
  <c r="F123" i="33"/>
  <c r="F23" i="33"/>
  <c r="F18" i="33"/>
  <c r="F169" i="33"/>
  <c r="F166" i="33"/>
  <c r="F105" i="33"/>
  <c r="F31" i="33"/>
  <c r="F117" i="33"/>
  <c r="F296" i="33"/>
  <c r="F243" i="33"/>
  <c r="F174" i="33"/>
  <c r="F274" i="33"/>
  <c r="F57" i="33"/>
  <c r="F87" i="33"/>
  <c r="F45" i="33"/>
  <c r="F212" i="33"/>
  <c r="F172" i="33"/>
  <c r="F175" i="33"/>
  <c r="F277" i="33"/>
  <c r="F115" i="33"/>
  <c r="F319" i="33"/>
  <c r="F320" i="33"/>
  <c r="F156" i="33"/>
  <c r="F110" i="33"/>
  <c r="F321" i="33"/>
  <c r="F214" i="33"/>
  <c r="F12" i="33"/>
  <c r="F161" i="33"/>
  <c r="F221" i="33"/>
  <c r="F137" i="33"/>
  <c r="F94" i="33"/>
  <c r="F38" i="33"/>
  <c r="F78" i="33"/>
  <c r="F41" i="33"/>
  <c r="F291" i="33"/>
  <c r="F235" i="33"/>
  <c r="F83" i="33"/>
  <c r="F24" i="33"/>
  <c r="F163" i="33"/>
  <c r="F219" i="33"/>
  <c r="F61" i="33"/>
  <c r="F132" i="33"/>
  <c r="F37" i="33"/>
  <c r="F9" i="33"/>
  <c r="F231" i="33"/>
  <c r="F88" i="33"/>
  <c r="F95" i="33"/>
  <c r="F186" i="33"/>
  <c r="F200" i="33"/>
  <c r="F208" i="33"/>
  <c r="F230" i="33"/>
  <c r="F312" i="33"/>
  <c r="F310" i="33"/>
  <c r="F226" i="33"/>
  <c r="F150" i="33"/>
  <c r="F287" i="33"/>
  <c r="F52" i="33"/>
  <c r="F253" i="33"/>
  <c r="F303" i="33"/>
  <c r="F237" i="33"/>
  <c r="F316" i="33"/>
  <c r="F257" i="33"/>
  <c r="F276" i="33"/>
  <c r="F203" i="33"/>
  <c r="F136" i="33"/>
  <c r="F228" i="33"/>
  <c r="F223" i="33"/>
  <c r="F259" i="33"/>
  <c r="F155" i="33"/>
  <c r="F250" i="33"/>
  <c r="F154" i="33"/>
  <c r="F244" i="33"/>
  <c r="F322" i="33"/>
  <c r="F238" i="33"/>
  <c r="F32" i="33"/>
  <c r="F297" i="33"/>
  <c r="F121" i="33"/>
  <c r="F225" i="33"/>
  <c r="F97" i="33"/>
  <c r="F46" i="33"/>
  <c r="F151" i="33"/>
  <c r="F55" i="33"/>
  <c r="F39" i="33"/>
  <c r="F20" i="33"/>
  <c r="F131" i="33"/>
  <c r="F22" i="33"/>
  <c r="F109" i="33"/>
  <c r="F236" i="33"/>
  <c r="F73" i="33"/>
  <c r="F262" i="33"/>
  <c r="F82" i="33"/>
  <c r="F138" i="33"/>
  <c r="F272" i="33"/>
  <c r="F205" i="33"/>
  <c r="F15" i="33"/>
  <c r="F13" i="33"/>
  <c r="F49" i="33"/>
  <c r="F246" i="33"/>
  <c r="F233" i="33"/>
  <c r="F170" i="33"/>
  <c r="F201" i="33"/>
  <c r="F317" i="33"/>
  <c r="F8" i="33"/>
  <c r="F120" i="33"/>
  <c r="F252" i="33"/>
  <c r="F194" i="33"/>
  <c r="F204" i="33"/>
  <c r="F10" i="33"/>
  <c r="F139" i="33"/>
  <c r="F68" i="33"/>
  <c r="F295" i="33"/>
  <c r="F270" i="33"/>
  <c r="F267" i="33"/>
  <c r="F279" i="33"/>
  <c r="F74" i="33"/>
  <c r="F240" i="33"/>
  <c r="K2" i="33"/>
  <c r="K12" i="33" s="1"/>
  <c r="F182" i="33"/>
  <c r="F7" i="33"/>
  <c r="F241" i="33"/>
  <c r="F5" i="33"/>
  <c r="F300" i="33"/>
  <c r="F248" i="33"/>
  <c r="F294" i="33"/>
  <c r="F176" i="33"/>
  <c r="F144" i="33"/>
  <c r="F177" i="33"/>
  <c r="F75" i="33"/>
  <c r="F181" i="33"/>
  <c r="F116" i="33"/>
  <c r="F263" i="33"/>
  <c r="F283" i="33"/>
  <c r="F65" i="33"/>
  <c r="F103" i="33"/>
  <c r="F299" i="33"/>
  <c r="F113" i="33"/>
  <c r="F47" i="33"/>
  <c r="F189" i="33"/>
  <c r="F222" i="33"/>
  <c r="F64" i="33"/>
  <c r="F80" i="33"/>
  <c r="F247" i="33"/>
  <c r="F195" i="33"/>
  <c r="F183" i="33"/>
  <c r="F147" i="33"/>
  <c r="F227" i="33"/>
  <c r="F290" i="33"/>
  <c r="F26" i="33"/>
  <c r="F108" i="33"/>
  <c r="F127" i="33"/>
  <c r="F21" i="33"/>
  <c r="F308" i="33"/>
  <c r="F63" i="33"/>
  <c r="F285" i="33"/>
  <c r="F260" i="33"/>
  <c r="F159" i="33"/>
  <c r="F164" i="33"/>
  <c r="F36" i="33"/>
  <c r="F213" i="33"/>
  <c r="F162" i="33"/>
  <c r="F220" i="33"/>
  <c r="F62" i="33"/>
  <c r="F148" i="33"/>
  <c r="F255" i="33"/>
  <c r="F43" i="33"/>
  <c r="F53" i="33"/>
  <c r="F71" i="33"/>
  <c r="F30" i="33"/>
  <c r="F93" i="33"/>
  <c r="F141" i="33"/>
  <c r="F197" i="33"/>
  <c r="F302" i="33"/>
  <c r="F224" i="33"/>
  <c r="F207" i="33"/>
  <c r="F90" i="33"/>
  <c r="F171" i="33"/>
  <c r="F245" i="33"/>
  <c r="F104" i="33"/>
  <c r="F275" i="33"/>
  <c r="F234" i="33"/>
  <c r="F268" i="33"/>
  <c r="F119" i="33"/>
  <c r="F126" i="33"/>
  <c r="F239" i="33"/>
  <c r="F14" i="33"/>
  <c r="F288" i="33"/>
  <c r="F191" i="33"/>
  <c r="F269" i="33"/>
  <c r="F266" i="33"/>
  <c r="F76" i="33"/>
  <c r="F84" i="33"/>
  <c r="F256" i="33"/>
  <c r="F198" i="33"/>
  <c r="F16" i="33"/>
  <c r="F216" i="33"/>
  <c r="F118" i="33"/>
  <c r="F106" i="33"/>
  <c r="F92" i="33"/>
  <c r="F85" i="33"/>
  <c r="F258" i="33"/>
  <c r="F202" i="33"/>
  <c r="F265" i="33"/>
  <c r="F70" i="33"/>
  <c r="H2" i="33"/>
  <c r="H57" i="33" s="1"/>
  <c r="F129" i="33"/>
  <c r="F286" i="33"/>
  <c r="F185" i="33"/>
  <c r="F50" i="33"/>
  <c r="F142" i="33"/>
  <c r="F134" i="33"/>
  <c r="F112" i="33"/>
  <c r="I2" i="33"/>
  <c r="I16" i="33" s="1"/>
  <c r="F91" i="33"/>
  <c r="F180" i="33"/>
  <c r="F190" i="33"/>
  <c r="F67" i="33"/>
  <c r="F6" i="33"/>
  <c r="F199" i="33"/>
  <c r="H4" i="12"/>
  <c r="G134" i="33"/>
  <c r="G216" i="33"/>
  <c r="G266" i="33"/>
  <c r="G112" i="33"/>
  <c r="G118" i="33"/>
  <c r="G240" i="33"/>
  <c r="G166" i="33"/>
  <c r="G303" i="33"/>
  <c r="G269" i="33"/>
  <c r="G50" i="33"/>
  <c r="G74" i="33"/>
  <c r="G286" i="33"/>
  <c r="G60" i="33"/>
  <c r="G185" i="33"/>
  <c r="G191" i="33"/>
  <c r="G253" i="33"/>
  <c r="G59" i="33"/>
  <c r="G292" i="33"/>
  <c r="G106" i="33"/>
  <c r="G76" i="33"/>
  <c r="G42" i="33"/>
  <c r="G128" i="33"/>
  <c r="G237" i="33"/>
  <c r="G142" i="33"/>
  <c r="G120" i="33"/>
  <c r="G289" i="33"/>
  <c r="G275" i="33"/>
  <c r="G270" i="33"/>
  <c r="G18" i="33"/>
  <c r="G58" i="33"/>
  <c r="G232" i="33"/>
  <c r="G200" i="33"/>
  <c r="G27" i="33"/>
  <c r="G90" i="33"/>
  <c r="G207" i="33"/>
  <c r="G79" i="33"/>
  <c r="G186" i="33"/>
  <c r="G224" i="33"/>
  <c r="G310" i="33"/>
  <c r="G279" i="33"/>
  <c r="G261" i="33"/>
  <c r="G242" i="33"/>
  <c r="G139" i="33"/>
  <c r="G215" i="33"/>
  <c r="G126" i="33"/>
  <c r="G129" i="33"/>
  <c r="G52" i="33"/>
  <c r="G169" i="33"/>
  <c r="G158" i="33"/>
  <c r="G14" i="33"/>
  <c r="G267" i="33"/>
  <c r="G149" i="33"/>
  <c r="G287" i="33"/>
  <c r="G101" i="33"/>
  <c r="G234" i="33"/>
  <c r="G288" i="33"/>
  <c r="G171" i="33"/>
  <c r="G111" i="33"/>
  <c r="G312" i="33"/>
  <c r="G204" i="33"/>
  <c r="G119" i="33"/>
  <c r="G143" i="33"/>
  <c r="G295" i="33"/>
  <c r="G226" i="33"/>
  <c r="G301" i="33"/>
  <c r="G268" i="33"/>
  <c r="G68" i="33"/>
  <c r="G23" i="33"/>
  <c r="G192" i="33"/>
  <c r="G150" i="33"/>
  <c r="G208" i="33"/>
  <c r="G95" i="33"/>
  <c r="G302" i="33"/>
  <c r="G194" i="33"/>
  <c r="G284" i="33"/>
  <c r="G10" i="33"/>
  <c r="G252" i="33"/>
  <c r="G104" i="33"/>
  <c r="G123" i="33"/>
  <c r="G230" i="33"/>
  <c r="G245" i="33"/>
  <c r="G49" i="33"/>
  <c r="G108" i="33"/>
  <c r="G22" i="33"/>
  <c r="G311" i="33"/>
  <c r="G221" i="33"/>
  <c r="G26" i="33"/>
  <c r="G293" i="33"/>
  <c r="G131" i="33"/>
  <c r="G107" i="33"/>
  <c r="G290" i="33"/>
  <c r="G161" i="33"/>
  <c r="G168" i="33"/>
  <c r="G239" i="33"/>
  <c r="G38" i="33"/>
  <c r="G299" i="33"/>
  <c r="G277" i="33"/>
  <c r="G306" i="33"/>
  <c r="G32" i="33"/>
  <c r="G159" i="33"/>
  <c r="G298" i="33"/>
  <c r="G82" i="33"/>
  <c r="G81" i="33"/>
  <c r="G260" i="33"/>
  <c r="G41" i="33"/>
  <c r="G102" i="33"/>
  <c r="G262" i="33"/>
  <c r="G285" i="33"/>
  <c r="G313" i="33"/>
  <c r="G78" i="33"/>
  <c r="G11" i="33"/>
  <c r="G63" i="33"/>
  <c r="G73" i="33"/>
  <c r="G217" i="33"/>
  <c r="G244" i="33"/>
  <c r="G148" i="33"/>
  <c r="G219" i="33"/>
  <c r="G56" i="33"/>
  <c r="G13" i="33"/>
  <c r="G62" i="33"/>
  <c r="G173" i="33"/>
  <c r="G163" i="33"/>
  <c r="G133" i="33"/>
  <c r="G220" i="33"/>
  <c r="G15" i="33"/>
  <c r="G28" i="33"/>
  <c r="G51" i="33"/>
  <c r="G189" i="33"/>
  <c r="G304" i="33"/>
  <c r="G319" i="33"/>
  <c r="G114" i="33"/>
  <c r="G47" i="33"/>
  <c r="G121" i="33"/>
  <c r="G153" i="33"/>
  <c r="G115" i="33"/>
  <c r="G113" i="33"/>
  <c r="G157" i="33"/>
  <c r="G297" i="33"/>
  <c r="G152" i="33"/>
  <c r="G25" i="33"/>
  <c r="G9" i="33"/>
  <c r="G30" i="33"/>
  <c r="G72" i="33"/>
  <c r="G170" i="33"/>
  <c r="G147" i="33"/>
  <c r="G39" i="33"/>
  <c r="G178" i="33"/>
  <c r="G214" i="33"/>
  <c r="G183" i="33"/>
  <c r="G40" i="33"/>
  <c r="G55" i="33"/>
  <c r="G273" i="33"/>
  <c r="G195" i="33"/>
  <c r="G321" i="33"/>
  <c r="G307" i="33"/>
  <c r="G151" i="33"/>
  <c r="G247" i="33"/>
  <c r="G89" i="33"/>
  <c r="G110" i="33"/>
  <c r="G308" i="33"/>
  <c r="G305" i="33"/>
  <c r="G236" i="33"/>
  <c r="G140" i="33"/>
  <c r="G21" i="33"/>
  <c r="G94" i="33"/>
  <c r="G218" i="33"/>
  <c r="G109" i="33"/>
  <c r="G127" i="33"/>
  <c r="G278" i="33"/>
  <c r="G137" i="33"/>
  <c r="G34" i="33"/>
  <c r="G8" i="33"/>
  <c r="G146" i="33"/>
  <c r="G197" i="33"/>
  <c r="G88" i="33"/>
  <c r="G179" i="33"/>
  <c r="G317" i="33"/>
  <c r="G141" i="33"/>
  <c r="G77" i="33"/>
  <c r="G231" i="33"/>
  <c r="G309" i="33"/>
  <c r="G93" i="33"/>
  <c r="G201" i="33"/>
  <c r="G20" i="33"/>
  <c r="G271" i="33"/>
  <c r="G164" i="33"/>
  <c r="G138" i="33"/>
  <c r="G211" i="33"/>
  <c r="G291" i="33"/>
  <c r="G103" i="33"/>
  <c r="G282" i="33"/>
  <c r="G175" i="33"/>
  <c r="G98" i="33"/>
  <c r="G53" i="33"/>
  <c r="G238" i="33"/>
  <c r="G96" i="33"/>
  <c r="G172" i="33"/>
  <c r="G283" i="33"/>
  <c r="G48" i="33"/>
  <c r="G322" i="33"/>
  <c r="G145" i="33"/>
  <c r="G263" i="33"/>
  <c r="G212" i="33"/>
  <c r="G66" i="33"/>
  <c r="G80" i="33"/>
  <c r="G46" i="33"/>
  <c r="G33" i="33"/>
  <c r="G156" i="33"/>
  <c r="G64" i="33"/>
  <c r="G122" i="33"/>
  <c r="G97" i="33"/>
  <c r="G165" i="33"/>
  <c r="G222" i="33"/>
  <c r="G320" i="33"/>
  <c r="G206" i="33"/>
  <c r="G225" i="33"/>
  <c r="G24" i="33"/>
  <c r="G162" i="33"/>
  <c r="G29" i="33"/>
  <c r="G205" i="33"/>
  <c r="G17" i="33"/>
  <c r="G213" i="33"/>
  <c r="G83" i="33"/>
  <c r="G19" i="33"/>
  <c r="G272" i="33"/>
  <c r="G36" i="33"/>
  <c r="G135" i="33"/>
  <c r="G235" i="33"/>
  <c r="G315" i="33"/>
  <c r="G227" i="33"/>
  <c r="G229" i="33"/>
  <c r="G12" i="33"/>
  <c r="G314" i="33"/>
  <c r="G188" i="33"/>
  <c r="G71" i="33"/>
  <c r="G37" i="33"/>
  <c r="G196" i="33"/>
  <c r="G233" i="33"/>
  <c r="G54" i="33"/>
  <c r="G86" i="33"/>
  <c r="G132" i="33"/>
  <c r="G254" i="33"/>
  <c r="G43" i="33"/>
  <c r="G246" i="33"/>
  <c r="G35" i="33"/>
  <c r="G61" i="33"/>
  <c r="G255" i="33"/>
  <c r="G99" i="33"/>
  <c r="G160" i="33"/>
  <c r="G116" i="33"/>
  <c r="G187" i="33"/>
  <c r="G45" i="33"/>
  <c r="G130" i="33"/>
  <c r="G181" i="33"/>
  <c r="G154" i="33"/>
  <c r="G69" i="33"/>
  <c r="G87" i="33"/>
  <c r="G75" i="33"/>
  <c r="G210" i="33"/>
  <c r="G250" i="33"/>
  <c r="G65" i="33"/>
  <c r="G193" i="33"/>
  <c r="G251" i="33"/>
  <c r="G176" i="33"/>
  <c r="G144" i="33"/>
  <c r="G294" i="33"/>
  <c r="G209" i="33"/>
  <c r="G241" i="33"/>
  <c r="G249" i="33"/>
  <c r="G259" i="33"/>
  <c r="G136" i="33"/>
  <c r="G174" i="33"/>
  <c r="G280" i="33"/>
  <c r="G125" i="33"/>
  <c r="G228" i="33"/>
  <c r="G300" i="33"/>
  <c r="G296" i="33"/>
  <c r="G248" i="33"/>
  <c r="G177" i="33"/>
  <c r="G243" i="33"/>
  <c r="G281" i="33"/>
  <c r="G117" i="33"/>
  <c r="G184" i="33"/>
  <c r="G274" i="33"/>
  <c r="G44" i="33"/>
  <c r="G155" i="33"/>
  <c r="G57" i="33"/>
  <c r="G167" i="33"/>
  <c r="G100" i="33"/>
  <c r="G223" i="33"/>
  <c r="G318" i="33"/>
  <c r="G182" i="33"/>
  <c r="G84" i="33"/>
  <c r="G85" i="33"/>
  <c r="G190" i="33"/>
  <c r="G265" i="33"/>
  <c r="G92" i="33"/>
  <c r="G257" i="33"/>
  <c r="G264" i="33"/>
  <c r="G31" i="33"/>
  <c r="G256" i="33"/>
  <c r="G258" i="33"/>
  <c r="G180" i="33"/>
  <c r="G105" i="33"/>
  <c r="G199" i="33"/>
  <c r="G124" i="33"/>
  <c r="G316" i="33"/>
  <c r="G7" i="33"/>
  <c r="G70" i="33"/>
  <c r="G202" i="33"/>
  <c r="G67" i="33"/>
  <c r="G203" i="33"/>
  <c r="G16" i="33"/>
  <c r="G276" i="33"/>
  <c r="G91" i="33"/>
  <c r="G198" i="33"/>
  <c r="G6" i="33"/>
  <c r="J309" i="33" l="1"/>
  <c r="J166" i="33"/>
  <c r="J187" i="33"/>
  <c r="J86" i="33"/>
  <c r="J270" i="33"/>
  <c r="J116" i="33"/>
  <c r="J139" i="33"/>
  <c r="J186" i="33"/>
  <c r="J171" i="33"/>
  <c r="J24" i="33"/>
  <c r="J55" i="33"/>
  <c r="J256" i="33"/>
  <c r="J279" i="33"/>
  <c r="J249" i="33"/>
  <c r="J53" i="33"/>
  <c r="K280" i="33"/>
  <c r="J321" i="33"/>
  <c r="J167" i="33"/>
  <c r="J165" i="33"/>
  <c r="J129" i="33"/>
  <c r="J150" i="33"/>
  <c r="J37" i="33"/>
  <c r="J119" i="33"/>
  <c r="J314" i="33"/>
  <c r="J234" i="33"/>
  <c r="J130" i="33"/>
  <c r="J231" i="33"/>
  <c r="J149" i="33"/>
  <c r="J212" i="33"/>
  <c r="J293" i="33"/>
  <c r="J213" i="33"/>
  <c r="J152" i="33"/>
  <c r="J68" i="33"/>
  <c r="J101" i="33"/>
  <c r="J9" i="33"/>
  <c r="J38" i="33"/>
  <c r="J103" i="33"/>
  <c r="J11" i="33"/>
  <c r="K149" i="33"/>
  <c r="J250" i="33"/>
  <c r="J251" i="33"/>
  <c r="J240" i="33"/>
  <c r="J229" i="33"/>
  <c r="J88" i="33"/>
  <c r="J117" i="33"/>
  <c r="J58" i="33"/>
  <c r="J39" i="33"/>
  <c r="K205" i="33"/>
  <c r="J316" i="33"/>
  <c r="J298" i="33"/>
  <c r="J206" i="33"/>
  <c r="J295" i="33"/>
  <c r="J215" i="33"/>
  <c r="J276" i="33"/>
  <c r="J192" i="33"/>
  <c r="J277" i="33"/>
  <c r="J185" i="33"/>
  <c r="J132" i="33"/>
  <c r="J52" i="33"/>
  <c r="J73" i="33"/>
  <c r="J102" i="33"/>
  <c r="J22" i="33"/>
  <c r="J75" i="33"/>
  <c r="K271" i="33"/>
  <c r="K6" i="33"/>
  <c r="J312" i="33"/>
  <c r="J302" i="33"/>
  <c r="J266" i="33"/>
  <c r="J218" i="33"/>
  <c r="J175" i="33"/>
  <c r="J126" i="33"/>
  <c r="J263" i="33"/>
  <c r="J219" i="33"/>
  <c r="J183" i="33"/>
  <c r="J288" i="33"/>
  <c r="J244" i="33"/>
  <c r="J208" i="33"/>
  <c r="J141" i="33"/>
  <c r="J281" i="33"/>
  <c r="J245" i="33"/>
  <c r="J197" i="33"/>
  <c r="J153" i="33"/>
  <c r="J148" i="33"/>
  <c r="J100" i="33"/>
  <c r="J56" i="33"/>
  <c r="J20" i="33"/>
  <c r="J85" i="33"/>
  <c r="J41" i="33"/>
  <c r="J118" i="33"/>
  <c r="J70" i="33"/>
  <c r="J26" i="33"/>
  <c r="J135" i="33"/>
  <c r="J87" i="33"/>
  <c r="J43" i="33"/>
  <c r="J7" i="33"/>
  <c r="K152" i="33"/>
  <c r="K21" i="33"/>
  <c r="J317" i="33"/>
  <c r="J313" i="33"/>
  <c r="J282" i="33"/>
  <c r="J238" i="33"/>
  <c r="J202" i="33"/>
  <c r="J142" i="33"/>
  <c r="J283" i="33"/>
  <c r="J247" i="33"/>
  <c r="J199" i="33"/>
  <c r="J154" i="33"/>
  <c r="J272" i="33"/>
  <c r="J224" i="33"/>
  <c r="J180" i="33"/>
  <c r="J125" i="33"/>
  <c r="J261" i="33"/>
  <c r="J217" i="33"/>
  <c r="J181" i="33"/>
  <c r="J164" i="33"/>
  <c r="J120" i="33"/>
  <c r="J84" i="33"/>
  <c r="J36" i="33"/>
  <c r="J105" i="33"/>
  <c r="J69" i="33"/>
  <c r="J21" i="33"/>
  <c r="J90" i="33"/>
  <c r="J54" i="33"/>
  <c r="J6" i="33"/>
  <c r="J107" i="33"/>
  <c r="J71" i="33"/>
  <c r="J23" i="33"/>
  <c r="K284" i="33"/>
  <c r="K218" i="33"/>
  <c r="K132" i="33"/>
  <c r="J319" i="33"/>
  <c r="J315" i="33"/>
  <c r="J318" i="33"/>
  <c r="J286" i="33"/>
  <c r="J254" i="33"/>
  <c r="J222" i="33"/>
  <c r="J190" i="33"/>
  <c r="J146" i="33"/>
  <c r="J299" i="33"/>
  <c r="J267" i="33"/>
  <c r="J235" i="33"/>
  <c r="J203" i="33"/>
  <c r="J170" i="33"/>
  <c r="J292" i="33"/>
  <c r="J260" i="33"/>
  <c r="J228" i="33"/>
  <c r="J196" i="33"/>
  <c r="J145" i="33"/>
  <c r="J297" i="33"/>
  <c r="J265" i="33"/>
  <c r="J233" i="33"/>
  <c r="J201" i="33"/>
  <c r="J169" i="33"/>
  <c r="J168" i="33"/>
  <c r="J136" i="33"/>
  <c r="J104" i="33"/>
  <c r="J72" i="33"/>
  <c r="J40" i="33"/>
  <c r="J8" i="33"/>
  <c r="J89" i="33"/>
  <c r="J57" i="33"/>
  <c r="J25" i="33"/>
  <c r="J106" i="33"/>
  <c r="J74" i="33"/>
  <c r="J42" i="33"/>
  <c r="J10" i="33"/>
  <c r="J123" i="33"/>
  <c r="J91" i="33"/>
  <c r="J59" i="33"/>
  <c r="J27" i="33"/>
  <c r="K275" i="33"/>
  <c r="K155" i="33"/>
  <c r="K222" i="33"/>
  <c r="K25" i="33"/>
  <c r="K136" i="33"/>
  <c r="K209" i="33"/>
  <c r="K153" i="33"/>
  <c r="K10" i="33"/>
  <c r="K8" i="33"/>
  <c r="J311" i="33"/>
  <c r="J5" i="33"/>
  <c r="J307" i="33"/>
  <c r="J305" i="33"/>
  <c r="J310" i="33"/>
  <c r="J294" i="33"/>
  <c r="J278" i="33"/>
  <c r="J262" i="33"/>
  <c r="J246" i="33"/>
  <c r="J230" i="33"/>
  <c r="J214" i="33"/>
  <c r="J198" i="33"/>
  <c r="J182" i="33"/>
  <c r="J159" i="33"/>
  <c r="J138" i="33"/>
  <c r="J122" i="33"/>
  <c r="J291" i="33"/>
  <c r="J275" i="33"/>
  <c r="J259" i="33"/>
  <c r="J243" i="33"/>
  <c r="J227" i="33"/>
  <c r="J211" i="33"/>
  <c r="J195" i="33"/>
  <c r="J179" i="33"/>
  <c r="J162" i="33"/>
  <c r="J300" i="33"/>
  <c r="J284" i="33"/>
  <c r="J268" i="33"/>
  <c r="J252" i="33"/>
  <c r="J236" i="33"/>
  <c r="J220" i="33"/>
  <c r="J204" i="33"/>
  <c r="J188" i="33"/>
  <c r="J163" i="33"/>
  <c r="J137" i="33"/>
  <c r="J121" i="33"/>
  <c r="J289" i="33"/>
  <c r="J273" i="33"/>
  <c r="J257" i="33"/>
  <c r="J241" i="33"/>
  <c r="J225" i="33"/>
  <c r="J209" i="33"/>
  <c r="J193" i="33"/>
  <c r="J177" i="33"/>
  <c r="J161" i="33"/>
  <c r="J176" i="33"/>
  <c r="J160" i="33"/>
  <c r="J144" i="33"/>
  <c r="J128" i="33"/>
  <c r="J112" i="33"/>
  <c r="J96" i="33"/>
  <c r="J80" i="33"/>
  <c r="J64" i="33"/>
  <c r="J48" i="33"/>
  <c r="J32" i="33"/>
  <c r="J16" i="33"/>
  <c r="J113" i="33"/>
  <c r="J97" i="33"/>
  <c r="J81" i="33"/>
  <c r="J65" i="33"/>
  <c r="J49" i="33"/>
  <c r="J33" i="33"/>
  <c r="J17" i="33"/>
  <c r="J114" i="33"/>
  <c r="J98" i="33"/>
  <c r="J82" i="33"/>
  <c r="J66" i="33"/>
  <c r="J50" i="33"/>
  <c r="J34" i="33"/>
  <c r="J18" i="33"/>
  <c r="J147" i="33"/>
  <c r="J131" i="33"/>
  <c r="J115" i="33"/>
  <c r="J99" i="33"/>
  <c r="J83" i="33"/>
  <c r="J67" i="33"/>
  <c r="J51" i="33"/>
  <c r="J35" i="33"/>
  <c r="J19" i="33"/>
  <c r="K305" i="33"/>
  <c r="K211" i="33"/>
  <c r="K220" i="33"/>
  <c r="K273" i="33"/>
  <c r="K286" i="33"/>
  <c r="K159" i="33"/>
  <c r="K89" i="33"/>
  <c r="K74" i="33"/>
  <c r="K59" i="33"/>
  <c r="K72" i="33"/>
  <c r="J308" i="33"/>
  <c r="J320" i="33"/>
  <c r="J304" i="33"/>
  <c r="J322" i="33"/>
  <c r="J306" i="33"/>
  <c r="J290" i="33"/>
  <c r="J274" i="33"/>
  <c r="J258" i="33"/>
  <c r="J242" i="33"/>
  <c r="J226" i="33"/>
  <c r="J210" i="33"/>
  <c r="J194" i="33"/>
  <c r="J178" i="33"/>
  <c r="J151" i="33"/>
  <c r="J134" i="33"/>
  <c r="J303" i="33"/>
  <c r="J287" i="33"/>
  <c r="J271" i="33"/>
  <c r="J255" i="33"/>
  <c r="J239" i="33"/>
  <c r="J223" i="33"/>
  <c r="J207" i="33"/>
  <c r="J191" i="33"/>
  <c r="J173" i="33"/>
  <c r="J157" i="33"/>
  <c r="J296" i="33"/>
  <c r="J280" i="33"/>
  <c r="J264" i="33"/>
  <c r="J248" i="33"/>
  <c r="J232" i="33"/>
  <c r="J216" i="33"/>
  <c r="J200" i="33"/>
  <c r="J184" i="33"/>
  <c r="J155" i="33"/>
  <c r="J133" i="33"/>
  <c r="J301" i="33"/>
  <c r="J285" i="33"/>
  <c r="J269" i="33"/>
  <c r="J253" i="33"/>
  <c r="J237" i="33"/>
  <c r="J221" i="33"/>
  <c r="J205" i="33"/>
  <c r="J189" i="33"/>
  <c r="J174" i="33"/>
  <c r="J158" i="33"/>
  <c r="J172" i="33"/>
  <c r="J156" i="33"/>
  <c r="J140" i="33"/>
  <c r="J124" i="33"/>
  <c r="J108" i="33"/>
  <c r="J92" i="33"/>
  <c r="J76" i="33"/>
  <c r="J60" i="33"/>
  <c r="J44" i="33"/>
  <c r="J28" i="33"/>
  <c r="J12" i="33"/>
  <c r="J109" i="33"/>
  <c r="J93" i="33"/>
  <c r="J77" i="33"/>
  <c r="J61" i="33"/>
  <c r="J45" i="33"/>
  <c r="J29" i="33"/>
  <c r="J13" i="33"/>
  <c r="J110" i="33"/>
  <c r="J94" i="33"/>
  <c r="J78" i="33"/>
  <c r="J62" i="33"/>
  <c r="J46" i="33"/>
  <c r="J30" i="33"/>
  <c r="J14" i="33"/>
  <c r="J143" i="33"/>
  <c r="J127" i="33"/>
  <c r="J111" i="33"/>
  <c r="J95" i="33"/>
  <c r="J79" i="33"/>
  <c r="J63" i="33"/>
  <c r="J47" i="33"/>
  <c r="J31" i="33"/>
  <c r="K316" i="33"/>
  <c r="K207" i="33"/>
  <c r="K216" i="33"/>
  <c r="K269" i="33"/>
  <c r="K282" i="33"/>
  <c r="K156" i="33"/>
  <c r="K85" i="33"/>
  <c r="K70" i="33"/>
  <c r="K55" i="33"/>
  <c r="K68" i="33"/>
  <c r="K312" i="33"/>
  <c r="K303" i="33"/>
  <c r="K239" i="33"/>
  <c r="K170" i="33"/>
  <c r="K248" i="33"/>
  <c r="K184" i="33"/>
  <c r="K119" i="33"/>
  <c r="K237" i="33"/>
  <c r="K174" i="33"/>
  <c r="K250" i="33"/>
  <c r="K186" i="33"/>
  <c r="K126" i="33"/>
  <c r="K117" i="33"/>
  <c r="K53" i="33"/>
  <c r="K102" i="33"/>
  <c r="K38" i="33"/>
  <c r="K87" i="33"/>
  <c r="K23" i="33"/>
  <c r="K100" i="33"/>
  <c r="K36" i="33"/>
  <c r="K320" i="33"/>
  <c r="K307" i="33"/>
  <c r="K243" i="33"/>
  <c r="K179" i="33"/>
  <c r="K252" i="33"/>
  <c r="K188" i="33"/>
  <c r="K123" i="33"/>
  <c r="K241" i="33"/>
  <c r="K177" i="33"/>
  <c r="K254" i="33"/>
  <c r="K190" i="33"/>
  <c r="K130" i="33"/>
  <c r="K121" i="33"/>
  <c r="K57" i="33"/>
  <c r="K106" i="33"/>
  <c r="K42" i="33"/>
  <c r="K91" i="33"/>
  <c r="K27" i="33"/>
  <c r="K104" i="33"/>
  <c r="K40" i="33"/>
  <c r="K317" i="33"/>
  <c r="K321" i="33"/>
  <c r="K5" i="33"/>
  <c r="K291" i="33"/>
  <c r="K259" i="33"/>
  <c r="K227" i="33"/>
  <c r="K195" i="33"/>
  <c r="K300" i="33"/>
  <c r="K268" i="33"/>
  <c r="K236" i="33"/>
  <c r="K204" i="33"/>
  <c r="K171" i="33"/>
  <c r="K139" i="33"/>
  <c r="K289" i="33"/>
  <c r="K257" i="33"/>
  <c r="K225" i="33"/>
  <c r="K193" i="33"/>
  <c r="K150" i="33"/>
  <c r="K270" i="33"/>
  <c r="K238" i="33"/>
  <c r="K206" i="33"/>
  <c r="K175" i="33"/>
  <c r="K146" i="33"/>
  <c r="K169" i="33"/>
  <c r="K137" i="33"/>
  <c r="K105" i="33"/>
  <c r="K73" i="33"/>
  <c r="K41" i="33"/>
  <c r="K9" i="33"/>
  <c r="K90" i="33"/>
  <c r="K58" i="33"/>
  <c r="K26" i="33"/>
  <c r="K107" i="33"/>
  <c r="K75" i="33"/>
  <c r="K43" i="33"/>
  <c r="K11" i="33"/>
  <c r="K120" i="33"/>
  <c r="K88" i="33"/>
  <c r="K56" i="33"/>
  <c r="K24" i="33"/>
  <c r="K314" i="33"/>
  <c r="K318" i="33"/>
  <c r="K319" i="33"/>
  <c r="K287" i="33"/>
  <c r="K255" i="33"/>
  <c r="K223" i="33"/>
  <c r="K191" i="33"/>
  <c r="K296" i="33"/>
  <c r="K264" i="33"/>
  <c r="K232" i="33"/>
  <c r="K200" i="33"/>
  <c r="K168" i="33"/>
  <c r="K135" i="33"/>
  <c r="K285" i="33"/>
  <c r="K253" i="33"/>
  <c r="K221" i="33"/>
  <c r="K189" i="33"/>
  <c r="K298" i="33"/>
  <c r="K266" i="33"/>
  <c r="K234" i="33"/>
  <c r="K202" i="33"/>
  <c r="K172" i="33"/>
  <c r="K142" i="33"/>
  <c r="K165" i="33"/>
  <c r="K133" i="33"/>
  <c r="K101" i="33"/>
  <c r="K69" i="33"/>
  <c r="K37" i="33"/>
  <c r="K118" i="33"/>
  <c r="K86" i="33"/>
  <c r="K54" i="33"/>
  <c r="K22" i="33"/>
  <c r="K103" i="33"/>
  <c r="K71" i="33"/>
  <c r="K39" i="33"/>
  <c r="K7" i="33"/>
  <c r="K116" i="33"/>
  <c r="K84" i="33"/>
  <c r="K52" i="33"/>
  <c r="K20" i="33"/>
  <c r="K309" i="33"/>
  <c r="K304" i="33"/>
  <c r="K313" i="33"/>
  <c r="K308" i="33"/>
  <c r="K315" i="33"/>
  <c r="K299" i="33"/>
  <c r="K283" i="33"/>
  <c r="K267" i="33"/>
  <c r="K251" i="33"/>
  <c r="K235" i="33"/>
  <c r="K219" i="33"/>
  <c r="K203" i="33"/>
  <c r="K187" i="33"/>
  <c r="K162" i="33"/>
  <c r="K292" i="33"/>
  <c r="K276" i="33"/>
  <c r="K260" i="33"/>
  <c r="K244" i="33"/>
  <c r="K228" i="33"/>
  <c r="K212" i="33"/>
  <c r="K196" i="33"/>
  <c r="K180" i="33"/>
  <c r="K163" i="33"/>
  <c r="K147" i="33"/>
  <c r="K131" i="33"/>
  <c r="K297" i="33"/>
  <c r="K281" i="33"/>
  <c r="K265" i="33"/>
  <c r="K249" i="33"/>
  <c r="K233" i="33"/>
  <c r="K217" i="33"/>
  <c r="K201" i="33"/>
  <c r="K185" i="33"/>
  <c r="K166" i="33"/>
  <c r="K294" i="33"/>
  <c r="K278" i="33"/>
  <c r="K262" i="33"/>
  <c r="K246" i="33"/>
  <c r="K230" i="33"/>
  <c r="K214" i="33"/>
  <c r="K198" i="33"/>
  <c r="K182" i="33"/>
  <c r="K167" i="33"/>
  <c r="K151" i="33"/>
  <c r="K138" i="33"/>
  <c r="K122" i="33"/>
  <c r="K161" i="33"/>
  <c r="K145" i="33"/>
  <c r="K129" i="33"/>
  <c r="K113" i="33"/>
  <c r="K97" i="33"/>
  <c r="K81" i="33"/>
  <c r="K65" i="33"/>
  <c r="K49" i="33"/>
  <c r="K33" i="33"/>
  <c r="K17" i="33"/>
  <c r="K114" i="33"/>
  <c r="K98" i="33"/>
  <c r="K82" i="33"/>
  <c r="K66" i="33"/>
  <c r="K50" i="33"/>
  <c r="K34" i="33"/>
  <c r="K18" i="33"/>
  <c r="K115" i="33"/>
  <c r="K99" i="33"/>
  <c r="K83" i="33"/>
  <c r="K67" i="33"/>
  <c r="K51" i="33"/>
  <c r="K35" i="33"/>
  <c r="K19" i="33"/>
  <c r="K144" i="33"/>
  <c r="K128" i="33"/>
  <c r="K112" i="33"/>
  <c r="K96" i="33"/>
  <c r="K80" i="33"/>
  <c r="K64" i="33"/>
  <c r="K48" i="33"/>
  <c r="K32" i="33"/>
  <c r="K16" i="33"/>
  <c r="K322" i="33"/>
  <c r="K306" i="33"/>
  <c r="K302" i="33"/>
  <c r="K310" i="33"/>
  <c r="K301" i="33"/>
  <c r="K311" i="33"/>
  <c r="K295" i="33"/>
  <c r="K279" i="33"/>
  <c r="K263" i="33"/>
  <c r="K247" i="33"/>
  <c r="K231" i="33"/>
  <c r="K215" i="33"/>
  <c r="K199" i="33"/>
  <c r="K183" i="33"/>
  <c r="K154" i="33"/>
  <c r="K288" i="33"/>
  <c r="K272" i="33"/>
  <c r="K256" i="33"/>
  <c r="K240" i="33"/>
  <c r="K224" i="33"/>
  <c r="K208" i="33"/>
  <c r="K192" i="33"/>
  <c r="K176" i="33"/>
  <c r="K160" i="33"/>
  <c r="K143" i="33"/>
  <c r="K127" i="33"/>
  <c r="K293" i="33"/>
  <c r="K277" i="33"/>
  <c r="K261" i="33"/>
  <c r="K245" i="33"/>
  <c r="K229" i="33"/>
  <c r="K213" i="33"/>
  <c r="K197" i="33"/>
  <c r="K181" i="33"/>
  <c r="K158" i="33"/>
  <c r="K290" i="33"/>
  <c r="K274" i="33"/>
  <c r="K258" i="33"/>
  <c r="K242" i="33"/>
  <c r="K226" i="33"/>
  <c r="K210" i="33"/>
  <c r="K194" i="33"/>
  <c r="K178" i="33"/>
  <c r="K164" i="33"/>
  <c r="K148" i="33"/>
  <c r="K134" i="33"/>
  <c r="K173" i="33"/>
  <c r="K157" i="33"/>
  <c r="K141" i="33"/>
  <c r="K125" i="33"/>
  <c r="K109" i="33"/>
  <c r="K93" i="33"/>
  <c r="K77" i="33"/>
  <c r="K61" i="33"/>
  <c r="K45" i="33"/>
  <c r="K29" i="33"/>
  <c r="K13" i="33"/>
  <c r="K110" i="33"/>
  <c r="K94" i="33"/>
  <c r="K78" i="33"/>
  <c r="K62" i="33"/>
  <c r="K46" i="33"/>
  <c r="K30" i="33"/>
  <c r="K14" i="33"/>
  <c r="K111" i="33"/>
  <c r="K95" i="33"/>
  <c r="K79" i="33"/>
  <c r="K63" i="33"/>
  <c r="K47" i="33"/>
  <c r="K31" i="33"/>
  <c r="K15" i="33"/>
  <c r="K140" i="33"/>
  <c r="K124" i="33"/>
  <c r="K108" i="33"/>
  <c r="K92" i="33"/>
  <c r="K76" i="33"/>
  <c r="K60" i="33"/>
  <c r="K44" i="33"/>
  <c r="K28" i="33"/>
  <c r="I260" i="33"/>
  <c r="H19" i="33"/>
  <c r="H170" i="33"/>
  <c r="H44" i="33"/>
  <c r="H317" i="33"/>
  <c r="H191" i="33"/>
  <c r="H93" i="33"/>
  <c r="H212" i="33"/>
  <c r="I176" i="33"/>
  <c r="I89" i="33"/>
  <c r="H304" i="33"/>
  <c r="H283" i="33"/>
  <c r="H258" i="33"/>
  <c r="H225" i="33"/>
  <c r="I219" i="33"/>
  <c r="H128" i="33"/>
  <c r="H275" i="33"/>
  <c r="H107" i="33"/>
  <c r="H254" i="33"/>
  <c r="H82" i="33"/>
  <c r="H221" i="33"/>
  <c r="I217" i="33"/>
  <c r="I132" i="33"/>
  <c r="I47" i="33"/>
  <c r="H220" i="33"/>
  <c r="H48" i="33"/>
  <c r="H195" i="33"/>
  <c r="H27" i="33"/>
  <c r="H174" i="33"/>
  <c r="H321" i="33"/>
  <c r="H97" i="33"/>
  <c r="I261" i="33"/>
  <c r="I165" i="33"/>
  <c r="I91" i="33"/>
  <c r="H132" i="33"/>
  <c r="H111" i="33"/>
  <c r="H90" i="33"/>
  <c r="I306" i="33"/>
  <c r="I133" i="33"/>
  <c r="I48" i="33"/>
  <c r="H300" i="33"/>
  <c r="I305" i="33"/>
  <c r="H176" i="33"/>
  <c r="H92" i="33"/>
  <c r="H239" i="33"/>
  <c r="H155" i="33"/>
  <c r="H302" i="33"/>
  <c r="H218" i="33"/>
  <c r="H130" i="33"/>
  <c r="H281" i="33"/>
  <c r="H161" i="33"/>
  <c r="I285" i="33"/>
  <c r="I240" i="33"/>
  <c r="I197" i="33"/>
  <c r="I155" i="33"/>
  <c r="I112" i="33"/>
  <c r="I27" i="33"/>
  <c r="H256" i="33"/>
  <c r="H172" i="33"/>
  <c r="H84" i="33"/>
  <c r="H319" i="33"/>
  <c r="H235" i="33"/>
  <c r="H147" i="33"/>
  <c r="H63" i="33"/>
  <c r="H298" i="33"/>
  <c r="H210" i="33"/>
  <c r="H126" i="33"/>
  <c r="H42" i="33"/>
  <c r="H273" i="33"/>
  <c r="H157" i="33"/>
  <c r="H9" i="33"/>
  <c r="I282" i="33"/>
  <c r="I239" i="33"/>
  <c r="I196" i="33"/>
  <c r="I153" i="33"/>
  <c r="I111" i="33"/>
  <c r="I68" i="33"/>
  <c r="I25" i="33"/>
  <c r="H260" i="33"/>
  <c r="H5" i="33"/>
  <c r="H67" i="33"/>
  <c r="H46" i="33"/>
  <c r="H13" i="33"/>
  <c r="I69" i="33"/>
  <c r="H240" i="33"/>
  <c r="H196" i="33"/>
  <c r="H112" i="33"/>
  <c r="H68" i="33"/>
  <c r="H303" i="33"/>
  <c r="H259" i="33"/>
  <c r="H91" i="33"/>
  <c r="H320" i="33"/>
  <c r="H276" i="33"/>
  <c r="H236" i="33"/>
  <c r="H192" i="33"/>
  <c r="H148" i="33"/>
  <c r="H108" i="33"/>
  <c r="H64" i="33"/>
  <c r="H20" i="33"/>
  <c r="H299" i="33"/>
  <c r="H255" i="33"/>
  <c r="H211" i="33"/>
  <c r="H171" i="33"/>
  <c r="H127" i="33"/>
  <c r="H83" i="33"/>
  <c r="H43" i="33"/>
  <c r="H318" i="33"/>
  <c r="H274" i="33"/>
  <c r="H234" i="33"/>
  <c r="H190" i="33"/>
  <c r="H146" i="33"/>
  <c r="H106" i="33"/>
  <c r="H62" i="33"/>
  <c r="H18" i="33"/>
  <c r="H297" i="33"/>
  <c r="H253" i="33"/>
  <c r="H189" i="33"/>
  <c r="H125" i="33"/>
  <c r="H53" i="33"/>
  <c r="I315" i="33"/>
  <c r="I294" i="33"/>
  <c r="I270" i="33"/>
  <c r="I249" i="33"/>
  <c r="I228" i="33"/>
  <c r="I207" i="33"/>
  <c r="I185" i="33"/>
  <c r="I164" i="33"/>
  <c r="I143" i="33"/>
  <c r="I121" i="33"/>
  <c r="I100" i="33"/>
  <c r="I79" i="33"/>
  <c r="I57" i="33"/>
  <c r="I36" i="33"/>
  <c r="I15" i="33"/>
  <c r="H284" i="33"/>
  <c r="H156" i="33"/>
  <c r="H28" i="33"/>
  <c r="H219" i="33"/>
  <c r="H175" i="33"/>
  <c r="H131" i="33"/>
  <c r="H47" i="33"/>
  <c r="H322" i="33"/>
  <c r="H282" i="33"/>
  <c r="H238" i="33"/>
  <c r="H194" i="33"/>
  <c r="H154" i="33"/>
  <c r="H110" i="33"/>
  <c r="H66" i="33"/>
  <c r="H26" i="33"/>
  <c r="H301" i="33"/>
  <c r="H257" i="33"/>
  <c r="H193" i="33"/>
  <c r="H129" i="33"/>
  <c r="I317" i="33"/>
  <c r="I295" i="33"/>
  <c r="I271" i="33"/>
  <c r="I251" i="33"/>
  <c r="I229" i="33"/>
  <c r="I208" i="33"/>
  <c r="I187" i="33"/>
  <c r="I166" i="33"/>
  <c r="I144" i="33"/>
  <c r="I123" i="33"/>
  <c r="I101" i="33"/>
  <c r="I80" i="33"/>
  <c r="I59" i="33"/>
  <c r="I37" i="33"/>
  <c r="I6" i="33"/>
  <c r="I10" i="33"/>
  <c r="I14" i="33"/>
  <c r="I18" i="33"/>
  <c r="I22" i="33"/>
  <c r="I26" i="33"/>
  <c r="I30" i="33"/>
  <c r="I34" i="33"/>
  <c r="I38" i="33"/>
  <c r="I42" i="33"/>
  <c r="I46" i="33"/>
  <c r="I50" i="33"/>
  <c r="I54" i="33"/>
  <c r="I58" i="33"/>
  <c r="I62" i="33"/>
  <c r="I66" i="33"/>
  <c r="I70" i="33"/>
  <c r="I74" i="33"/>
  <c r="I78" i="33"/>
  <c r="I82" i="33"/>
  <c r="I86" i="33"/>
  <c r="I90" i="33"/>
  <c r="I94" i="33"/>
  <c r="I98" i="33"/>
  <c r="I102" i="33"/>
  <c r="I106" i="33"/>
  <c r="I110" i="33"/>
  <c r="I114" i="33"/>
  <c r="I118" i="33"/>
  <c r="I122" i="33"/>
  <c r="I126" i="33"/>
  <c r="I130" i="33"/>
  <c r="I134" i="33"/>
  <c r="I138" i="33"/>
  <c r="I142" i="33"/>
  <c r="I146" i="33"/>
  <c r="I150" i="33"/>
  <c r="I154" i="33"/>
  <c r="I158" i="33"/>
  <c r="I162" i="33"/>
  <c r="I167" i="33"/>
  <c r="I171" i="33"/>
  <c r="I175" i="33"/>
  <c r="I178" i="33"/>
  <c r="I182" i="33"/>
  <c r="I186" i="33"/>
  <c r="I190" i="33"/>
  <c r="I194" i="33"/>
  <c r="I198" i="33"/>
  <c r="I202" i="33"/>
  <c r="I206" i="33"/>
  <c r="I210" i="33"/>
  <c r="I214" i="33"/>
  <c r="I218" i="33"/>
  <c r="I222" i="33"/>
  <c r="I226" i="33"/>
  <c r="I230" i="33"/>
  <c r="I234" i="33"/>
  <c r="I238" i="33"/>
  <c r="I242" i="33"/>
  <c r="I246" i="33"/>
  <c r="I250" i="33"/>
  <c r="I254" i="33"/>
  <c r="I258" i="33"/>
  <c r="I276" i="33"/>
  <c r="I265" i="33"/>
  <c r="I269" i="33"/>
  <c r="I273" i="33"/>
  <c r="I279" i="33"/>
  <c r="I284" i="33"/>
  <c r="I288" i="33"/>
  <c r="I292" i="33"/>
  <c r="I296" i="33"/>
  <c r="I300" i="33"/>
  <c r="I304" i="33"/>
  <c r="I308" i="33"/>
  <c r="I312" i="33"/>
  <c r="I316" i="33"/>
  <c r="I320" i="33"/>
  <c r="I275" i="33"/>
  <c r="I8" i="33"/>
  <c r="I13" i="33"/>
  <c r="I19" i="33"/>
  <c r="I24" i="33"/>
  <c r="I29" i="33"/>
  <c r="I35" i="33"/>
  <c r="I40" i="33"/>
  <c r="I45" i="33"/>
  <c r="I51" i="33"/>
  <c r="I56" i="33"/>
  <c r="I61" i="33"/>
  <c r="I67" i="33"/>
  <c r="I72" i="33"/>
  <c r="I77" i="33"/>
  <c r="I83" i="33"/>
  <c r="I88" i="33"/>
  <c r="I93" i="33"/>
  <c r="I104" i="33"/>
  <c r="I109" i="33"/>
  <c r="I115" i="33"/>
  <c r="I120" i="33"/>
  <c r="I125" i="33"/>
  <c r="I131" i="33"/>
  <c r="I136" i="33"/>
  <c r="I141" i="33"/>
  <c r="I147" i="33"/>
  <c r="I152" i="33"/>
  <c r="I157" i="33"/>
  <c r="I169" i="33"/>
  <c r="I184" i="33"/>
  <c r="I200" i="33"/>
  <c r="I221" i="33"/>
  <c r="I237" i="33"/>
  <c r="I253" i="33"/>
  <c r="I268" i="33"/>
  <c r="I287" i="33"/>
  <c r="I309" i="33"/>
  <c r="I322" i="33"/>
  <c r="I7" i="33"/>
  <c r="I12" i="33"/>
  <c r="I17" i="33"/>
  <c r="I23" i="33"/>
  <c r="I28" i="33"/>
  <c r="I33" i="33"/>
  <c r="I39" i="33"/>
  <c r="I44" i="33"/>
  <c r="I49" i="33"/>
  <c r="I55" i="33"/>
  <c r="I60" i="33"/>
  <c r="I65" i="33"/>
  <c r="I71" i="33"/>
  <c r="I76" i="33"/>
  <c r="I81" i="33"/>
  <c r="I87" i="33"/>
  <c r="I92" i="33"/>
  <c r="I97" i="33"/>
  <c r="I103" i="33"/>
  <c r="I108" i="33"/>
  <c r="I113" i="33"/>
  <c r="I119" i="33"/>
  <c r="I124" i="33"/>
  <c r="I129" i="33"/>
  <c r="I135" i="33"/>
  <c r="I140" i="33"/>
  <c r="I145" i="33"/>
  <c r="I151" i="33"/>
  <c r="I156" i="33"/>
  <c r="I161" i="33"/>
  <c r="I168" i="33"/>
  <c r="I173" i="33"/>
  <c r="I177" i="33"/>
  <c r="I183" i="33"/>
  <c r="I188" i="33"/>
  <c r="I193" i="33"/>
  <c r="I199" i="33"/>
  <c r="I204" i="33"/>
  <c r="I209" i="33"/>
  <c r="I215" i="33"/>
  <c r="I220" i="33"/>
  <c r="I225" i="33"/>
  <c r="I231" i="33"/>
  <c r="I236" i="33"/>
  <c r="I241" i="33"/>
  <c r="I247" i="33"/>
  <c r="I252" i="33"/>
  <c r="I257" i="33"/>
  <c r="I262" i="33"/>
  <c r="I267" i="33"/>
  <c r="I272" i="33"/>
  <c r="I280" i="33"/>
  <c r="I286" i="33"/>
  <c r="I291" i="33"/>
  <c r="I297" i="33"/>
  <c r="I302" i="33"/>
  <c r="I307" i="33"/>
  <c r="I313" i="33"/>
  <c r="I318" i="33"/>
  <c r="I283" i="33"/>
  <c r="I99" i="33"/>
  <c r="I163" i="33"/>
  <c r="I174" i="33"/>
  <c r="I179" i="33"/>
  <c r="I189" i="33"/>
  <c r="I195" i="33"/>
  <c r="I205" i="33"/>
  <c r="I211" i="33"/>
  <c r="I216" i="33"/>
  <c r="I227" i="33"/>
  <c r="I232" i="33"/>
  <c r="I243" i="33"/>
  <c r="I248" i="33"/>
  <c r="I259" i="33"/>
  <c r="I263" i="33"/>
  <c r="I274" i="33"/>
  <c r="I281" i="33"/>
  <c r="I293" i="33"/>
  <c r="I298" i="33"/>
  <c r="I303" i="33"/>
  <c r="I314" i="33"/>
  <c r="I319" i="33"/>
  <c r="H17" i="33"/>
  <c r="H33" i="33"/>
  <c r="H49" i="33"/>
  <c r="H65" i="33"/>
  <c r="H81" i="33"/>
  <c r="H89" i="33"/>
  <c r="H137" i="33"/>
  <c r="H201" i="33"/>
  <c r="H249" i="33"/>
  <c r="H21" i="33"/>
  <c r="H41" i="33"/>
  <c r="H61" i="33"/>
  <c r="H85" i="33"/>
  <c r="H101" i="33"/>
  <c r="H117" i="33"/>
  <c r="H133" i="33"/>
  <c r="H149" i="33"/>
  <c r="H165" i="33"/>
  <c r="H181" i="33"/>
  <c r="H197" i="33"/>
  <c r="H213" i="33"/>
  <c r="H229" i="33"/>
  <c r="H245" i="33"/>
  <c r="H261" i="33"/>
  <c r="H277" i="33"/>
  <c r="H293" i="33"/>
  <c r="H309" i="33"/>
  <c r="H6" i="33"/>
  <c r="H22" i="33"/>
  <c r="H38" i="33"/>
  <c r="H54" i="33"/>
  <c r="H70" i="33"/>
  <c r="H86" i="33"/>
  <c r="H102" i="33"/>
  <c r="H118" i="33"/>
  <c r="H134" i="33"/>
  <c r="H150" i="33"/>
  <c r="H166" i="33"/>
  <c r="H182" i="33"/>
  <c r="H198" i="33"/>
  <c r="H214" i="33"/>
  <c r="H230" i="33"/>
  <c r="H246" i="33"/>
  <c r="H262" i="33"/>
  <c r="H278" i="33"/>
  <c r="H294" i="33"/>
  <c r="H310" i="33"/>
  <c r="H7" i="33"/>
  <c r="H23" i="33"/>
  <c r="H39" i="33"/>
  <c r="H55" i="33"/>
  <c r="H71" i="33"/>
  <c r="H87" i="33"/>
  <c r="H103" i="33"/>
  <c r="H119" i="33"/>
  <c r="H135" i="33"/>
  <c r="H151" i="33"/>
  <c r="H167" i="33"/>
  <c r="H183" i="33"/>
  <c r="H199" i="33"/>
  <c r="H215" i="33"/>
  <c r="H231" i="33"/>
  <c r="H247" i="33"/>
  <c r="H263" i="33"/>
  <c r="H279" i="33"/>
  <c r="H295" i="33"/>
  <c r="H311" i="33"/>
  <c r="H8" i="33"/>
  <c r="H24" i="33"/>
  <c r="H40" i="33"/>
  <c r="H56" i="33"/>
  <c r="H72" i="33"/>
  <c r="H88" i="33"/>
  <c r="H104" i="33"/>
  <c r="H120" i="33"/>
  <c r="H136" i="33"/>
  <c r="H152" i="33"/>
  <c r="H168" i="33"/>
  <c r="H184" i="33"/>
  <c r="H200" i="33"/>
  <c r="H216" i="33"/>
  <c r="H232" i="33"/>
  <c r="H248" i="33"/>
  <c r="H264" i="33"/>
  <c r="H280" i="33"/>
  <c r="H296" i="33"/>
  <c r="H312" i="33"/>
  <c r="H25" i="33"/>
  <c r="H45" i="33"/>
  <c r="H69" i="33"/>
  <c r="H105" i="33"/>
  <c r="H121" i="33"/>
  <c r="H153" i="33"/>
  <c r="H169" i="33"/>
  <c r="H185" i="33"/>
  <c r="H217" i="33"/>
  <c r="H233" i="33"/>
  <c r="H292" i="33"/>
  <c r="H272" i="33"/>
  <c r="H228" i="33"/>
  <c r="H208" i="33"/>
  <c r="H164" i="33"/>
  <c r="H144" i="33"/>
  <c r="H100" i="33"/>
  <c r="H80" i="33"/>
  <c r="H60" i="33"/>
  <c r="H16" i="33"/>
  <c r="H315" i="33"/>
  <c r="H271" i="33"/>
  <c r="H251" i="33"/>
  <c r="H207" i="33"/>
  <c r="H187" i="33"/>
  <c r="H143" i="33"/>
  <c r="H123" i="33"/>
  <c r="H99" i="33"/>
  <c r="H59" i="33"/>
  <c r="H35" i="33"/>
  <c r="H314" i="33"/>
  <c r="H270" i="33"/>
  <c r="H250" i="33"/>
  <c r="H226" i="33"/>
  <c r="H186" i="33"/>
  <c r="H162" i="33"/>
  <c r="H122" i="33"/>
  <c r="H98" i="33"/>
  <c r="H58" i="33"/>
  <c r="H34" i="33"/>
  <c r="H313" i="33"/>
  <c r="H289" i="33"/>
  <c r="H241" i="33"/>
  <c r="H77" i="33"/>
  <c r="H308" i="33"/>
  <c r="H288" i="33"/>
  <c r="H268" i="33"/>
  <c r="H244" i="33"/>
  <c r="H224" i="33"/>
  <c r="H204" i="33"/>
  <c r="H180" i="33"/>
  <c r="H160" i="33"/>
  <c r="H140" i="33"/>
  <c r="H116" i="33"/>
  <c r="H96" i="33"/>
  <c r="H76" i="33"/>
  <c r="H52" i="33"/>
  <c r="H32" i="33"/>
  <c r="H12" i="33"/>
  <c r="H307" i="33"/>
  <c r="H287" i="33"/>
  <c r="H267" i="33"/>
  <c r="H243" i="33"/>
  <c r="L243" i="33" s="1"/>
  <c r="M243" i="33" s="1"/>
  <c r="N243" i="33" s="1"/>
  <c r="M244" i="49" s="1"/>
  <c r="H223" i="33"/>
  <c r="H203" i="33"/>
  <c r="H179" i="33"/>
  <c r="H159" i="33"/>
  <c r="H139" i="33"/>
  <c r="H115" i="33"/>
  <c r="H95" i="33"/>
  <c r="H75" i="33"/>
  <c r="H51" i="33"/>
  <c r="H31" i="33"/>
  <c r="H11" i="33"/>
  <c r="H306" i="33"/>
  <c r="H286" i="33"/>
  <c r="H266" i="33"/>
  <c r="H242" i="33"/>
  <c r="H222" i="33"/>
  <c r="H202" i="33"/>
  <c r="H178" i="33"/>
  <c r="H158" i="33"/>
  <c r="H138" i="33"/>
  <c r="H114" i="33"/>
  <c r="H94" i="33"/>
  <c r="H74" i="33"/>
  <c r="H50" i="33"/>
  <c r="H30" i="33"/>
  <c r="H10" i="33"/>
  <c r="H305" i="33"/>
  <c r="H285" i="33"/>
  <c r="H265" i="33"/>
  <c r="H237" i="33"/>
  <c r="H205" i="33"/>
  <c r="H173" i="33"/>
  <c r="H141" i="33"/>
  <c r="H109" i="33"/>
  <c r="H73" i="33"/>
  <c r="H29" i="33"/>
  <c r="I321" i="33"/>
  <c r="I310" i="33"/>
  <c r="I299" i="33"/>
  <c r="I289" i="33"/>
  <c r="I277" i="33"/>
  <c r="I264" i="33"/>
  <c r="I255" i="33"/>
  <c r="I244" i="33"/>
  <c r="I233" i="33"/>
  <c r="I223" i="33"/>
  <c r="I212" i="33"/>
  <c r="I201" i="33"/>
  <c r="I191" i="33"/>
  <c r="I180" i="33"/>
  <c r="I170" i="33"/>
  <c r="I159" i="33"/>
  <c r="I148" i="33"/>
  <c r="I137" i="33"/>
  <c r="I127" i="33"/>
  <c r="I116" i="33"/>
  <c r="I105" i="33"/>
  <c r="I95" i="33"/>
  <c r="I84" i="33"/>
  <c r="I73" i="33"/>
  <c r="I63" i="33"/>
  <c r="I52" i="33"/>
  <c r="I41" i="33"/>
  <c r="I31" i="33"/>
  <c r="I20" i="33"/>
  <c r="I9" i="33"/>
  <c r="H316" i="33"/>
  <c r="H252" i="33"/>
  <c r="H188" i="33"/>
  <c r="H124" i="33"/>
  <c r="H36" i="33"/>
  <c r="H291" i="33"/>
  <c r="H227" i="33"/>
  <c r="H163" i="33"/>
  <c r="H79" i="33"/>
  <c r="H15" i="33"/>
  <c r="H290" i="33"/>
  <c r="H206" i="33"/>
  <c r="H142" i="33"/>
  <c r="H78" i="33"/>
  <c r="H14" i="33"/>
  <c r="H269" i="33"/>
  <c r="H209" i="33"/>
  <c r="H177" i="33"/>
  <c r="H145" i="33"/>
  <c r="H113" i="33"/>
  <c r="H37" i="33"/>
  <c r="I5" i="33"/>
  <c r="I311" i="33"/>
  <c r="I301" i="33"/>
  <c r="I290" i="33"/>
  <c r="I278" i="33"/>
  <c r="I266" i="33"/>
  <c r="I256" i="33"/>
  <c r="I245" i="33"/>
  <c r="I235" i="33"/>
  <c r="I224" i="33"/>
  <c r="I213" i="33"/>
  <c r="I203" i="33"/>
  <c r="I192" i="33"/>
  <c r="I181" i="33"/>
  <c r="I172" i="33"/>
  <c r="I160" i="33"/>
  <c r="I149" i="33"/>
  <c r="I139" i="33"/>
  <c r="I128" i="33"/>
  <c r="I117" i="33"/>
  <c r="I107" i="33"/>
  <c r="I96" i="33"/>
  <c r="I85" i="33"/>
  <c r="I75" i="33"/>
  <c r="I64" i="33"/>
  <c r="I53" i="33"/>
  <c r="I43" i="33"/>
  <c r="I32" i="33"/>
  <c r="I21" i="33"/>
  <c r="I11" i="33"/>
  <c r="L58" i="33" l="1"/>
  <c r="M58" i="33" s="1"/>
  <c r="N58" i="33" s="1"/>
  <c r="M59" i="49" s="1"/>
  <c r="L150" i="33"/>
  <c r="M150" i="33" s="1"/>
  <c r="N150" i="33" s="1"/>
  <c r="M151" i="49" s="1"/>
  <c r="L86" i="33"/>
  <c r="M86" i="33" s="1"/>
  <c r="N86" i="33" s="1"/>
  <c r="M87" i="49" s="1"/>
  <c r="L132" i="33"/>
  <c r="M132" i="33" s="1"/>
  <c r="N132" i="33" s="1"/>
  <c r="M133" i="49" s="1"/>
  <c r="L186" i="33"/>
  <c r="M186" i="33" s="1"/>
  <c r="N186" i="33" s="1"/>
  <c r="M187" i="49" s="1"/>
  <c r="L205" i="33"/>
  <c r="M205" i="33" s="1"/>
  <c r="N205" i="33" s="1"/>
  <c r="M206" i="49" s="1"/>
  <c r="L9" i="33"/>
  <c r="M9" i="33" s="1"/>
  <c r="N9" i="33" s="1"/>
  <c r="M10" i="49" s="1"/>
  <c r="L136" i="33"/>
  <c r="M136" i="33" s="1"/>
  <c r="N136" i="33" s="1"/>
  <c r="M137" i="49" s="1"/>
  <c r="L99" i="33"/>
  <c r="M99" i="33" s="1"/>
  <c r="N99" i="33" s="1"/>
  <c r="M100" i="49" s="1"/>
  <c r="L138" i="33"/>
  <c r="M138" i="33" s="1"/>
  <c r="N138" i="33" s="1"/>
  <c r="M139" i="49" s="1"/>
  <c r="L248" i="33"/>
  <c r="M248" i="33" s="1"/>
  <c r="N248" i="33" s="1"/>
  <c r="M249" i="49" s="1"/>
  <c r="L196" i="33"/>
  <c r="M196" i="33" s="1"/>
  <c r="N196" i="33" s="1"/>
  <c r="M197" i="49" s="1"/>
  <c r="L84" i="33"/>
  <c r="M84" i="33" s="1"/>
  <c r="N84" i="33" s="1"/>
  <c r="M85" i="49" s="1"/>
  <c r="L57" i="33"/>
  <c r="M57" i="33" s="1"/>
  <c r="N57" i="33" s="1"/>
  <c r="M58" i="49" s="1"/>
  <c r="L173" i="33"/>
  <c r="M173" i="33" s="1"/>
  <c r="N173" i="33" s="1"/>
  <c r="M174" i="49" s="1"/>
  <c r="L104" i="33"/>
  <c r="M104" i="33" s="1"/>
  <c r="N104" i="33" s="1"/>
  <c r="M105" i="49" s="1"/>
  <c r="L303" i="33"/>
  <c r="M303" i="33" s="1"/>
  <c r="N303" i="33" s="1"/>
  <c r="M304" i="49" s="1"/>
  <c r="L240" i="33"/>
  <c r="M240" i="33" s="1"/>
  <c r="N240" i="33" s="1"/>
  <c r="M241" i="49" s="1"/>
  <c r="L172" i="33"/>
  <c r="M172" i="33" s="1"/>
  <c r="N172" i="33" s="1"/>
  <c r="M173" i="49" s="1"/>
  <c r="L178" i="33"/>
  <c r="M178" i="33" s="1"/>
  <c r="N178" i="33" s="1"/>
  <c r="M179" i="49" s="1"/>
  <c r="L133" i="33"/>
  <c r="M133" i="33" s="1"/>
  <c r="N133" i="33" s="1"/>
  <c r="M134" i="49" s="1"/>
  <c r="L30" i="33"/>
  <c r="M30" i="33" s="1"/>
  <c r="N30" i="33" s="1"/>
  <c r="M31" i="49" s="1"/>
  <c r="L286" i="33"/>
  <c r="M286" i="33" s="1"/>
  <c r="N286" i="33" s="1"/>
  <c r="M287" i="49" s="1"/>
  <c r="L307" i="33"/>
  <c r="M307" i="33" s="1"/>
  <c r="N307" i="33" s="1"/>
  <c r="M308" i="49" s="1"/>
  <c r="L16" i="33"/>
  <c r="M16" i="33" s="1"/>
  <c r="N16" i="33" s="1"/>
  <c r="M17" i="49" s="1"/>
  <c r="L49" i="33"/>
  <c r="M49" i="33" s="1"/>
  <c r="N49" i="33" s="1"/>
  <c r="M50" i="49" s="1"/>
  <c r="L19" i="33"/>
  <c r="M19" i="33" s="1"/>
  <c r="N19" i="33" s="1"/>
  <c r="M20" i="49" s="1"/>
  <c r="L219" i="33"/>
  <c r="M219" i="33" s="1"/>
  <c r="N219" i="33" s="1"/>
  <c r="M220" i="49" s="1"/>
  <c r="L22" i="33"/>
  <c r="M22" i="33" s="1"/>
  <c r="N22" i="33" s="1"/>
  <c r="M23" i="49" s="1"/>
  <c r="L287" i="33"/>
  <c r="M287" i="33" s="1"/>
  <c r="N287" i="33" s="1"/>
  <c r="M288" i="49" s="1"/>
  <c r="L195" i="33"/>
  <c r="M195" i="33" s="1"/>
  <c r="N195" i="33" s="1"/>
  <c r="M196" i="49" s="1"/>
  <c r="L117" i="33"/>
  <c r="M117" i="33" s="1"/>
  <c r="N117" i="33" s="1"/>
  <c r="M118" i="49" s="1"/>
  <c r="L245" i="33"/>
  <c r="M245" i="33" s="1"/>
  <c r="N245" i="33" s="1"/>
  <c r="M246" i="49" s="1"/>
  <c r="L142" i="33"/>
  <c r="M142" i="33" s="1"/>
  <c r="N142" i="33" s="1"/>
  <c r="M143" i="49" s="1"/>
  <c r="L212" i="33"/>
  <c r="M212" i="33" s="1"/>
  <c r="N212" i="33" s="1"/>
  <c r="M213" i="49" s="1"/>
  <c r="L279" i="33"/>
  <c r="M279" i="33" s="1"/>
  <c r="N279" i="33" s="1"/>
  <c r="M280" i="49" s="1"/>
  <c r="L214" i="33"/>
  <c r="M214" i="33" s="1"/>
  <c r="N214" i="33" s="1"/>
  <c r="M215" i="49" s="1"/>
  <c r="L81" i="33"/>
  <c r="M81" i="33" s="1"/>
  <c r="N81" i="33" s="1"/>
  <c r="M82" i="49" s="1"/>
  <c r="L17" i="33"/>
  <c r="M17" i="33" s="1"/>
  <c r="N17" i="33" s="1"/>
  <c r="M18" i="49" s="1"/>
  <c r="L163" i="33"/>
  <c r="M163" i="33" s="1"/>
  <c r="N163" i="33" s="1"/>
  <c r="M164" i="49" s="1"/>
  <c r="L115" i="33"/>
  <c r="M115" i="33" s="1"/>
  <c r="N115" i="33" s="1"/>
  <c r="M116" i="49" s="1"/>
  <c r="L140" i="33"/>
  <c r="M140" i="33" s="1"/>
  <c r="N140" i="33" s="1"/>
  <c r="M141" i="49" s="1"/>
  <c r="L308" i="33"/>
  <c r="M308" i="33" s="1"/>
  <c r="N308" i="33" s="1"/>
  <c r="M309" i="49" s="1"/>
  <c r="L313" i="33"/>
  <c r="M313" i="33" s="1"/>
  <c r="N313" i="33" s="1"/>
  <c r="M314" i="49" s="1"/>
  <c r="L161" i="33"/>
  <c r="M161" i="33" s="1"/>
  <c r="N161" i="33" s="1"/>
  <c r="M162" i="49" s="1"/>
  <c r="L97" i="33"/>
  <c r="M97" i="33" s="1"/>
  <c r="N97" i="33" s="1"/>
  <c r="M98" i="49" s="1"/>
  <c r="L79" i="33"/>
  <c r="M79" i="33" s="1"/>
  <c r="N79" i="33" s="1"/>
  <c r="M80" i="49" s="1"/>
  <c r="L170" i="33"/>
  <c r="M170" i="33" s="1"/>
  <c r="N170" i="33" s="1"/>
  <c r="M171" i="49" s="1"/>
  <c r="L242" i="33"/>
  <c r="M242" i="33" s="1"/>
  <c r="N242" i="33" s="1"/>
  <c r="M243" i="49" s="1"/>
  <c r="L267" i="33"/>
  <c r="M267" i="33" s="1"/>
  <c r="N267" i="33" s="1"/>
  <c r="M268" i="49" s="1"/>
  <c r="L204" i="33"/>
  <c r="M204" i="33" s="1"/>
  <c r="N204" i="33" s="1"/>
  <c r="M205" i="49" s="1"/>
  <c r="L98" i="33"/>
  <c r="M98" i="33" s="1"/>
  <c r="N98" i="33" s="1"/>
  <c r="M99" i="49" s="1"/>
  <c r="L226" i="33"/>
  <c r="M226" i="33" s="1"/>
  <c r="N226" i="33" s="1"/>
  <c r="M227" i="49" s="1"/>
  <c r="L153" i="33"/>
  <c r="M153" i="33" s="1"/>
  <c r="N153" i="33" s="1"/>
  <c r="M154" i="49" s="1"/>
  <c r="L45" i="33"/>
  <c r="M45" i="33" s="1"/>
  <c r="N45" i="33" s="1"/>
  <c r="M46" i="49" s="1"/>
  <c r="L88" i="33"/>
  <c r="M88" i="33" s="1"/>
  <c r="N88" i="33" s="1"/>
  <c r="M89" i="49" s="1"/>
  <c r="L24" i="33"/>
  <c r="M24" i="33" s="1"/>
  <c r="N24" i="33" s="1"/>
  <c r="M25" i="49" s="1"/>
  <c r="L93" i="33"/>
  <c r="M93" i="33" s="1"/>
  <c r="N93" i="33" s="1"/>
  <c r="M94" i="49" s="1"/>
  <c r="L260" i="33"/>
  <c r="M260" i="33" s="1"/>
  <c r="N260" i="33" s="1"/>
  <c r="M261" i="49" s="1"/>
  <c r="L46" i="33"/>
  <c r="M46" i="33" s="1"/>
  <c r="N46" i="33" s="1"/>
  <c r="M47" i="49" s="1"/>
  <c r="L177" i="33"/>
  <c r="M177" i="33" s="1"/>
  <c r="N177" i="33" s="1"/>
  <c r="M178" i="49" s="1"/>
  <c r="L78" i="33"/>
  <c r="M78" i="33" s="1"/>
  <c r="N78" i="33" s="1"/>
  <c r="M79" i="49" s="1"/>
  <c r="L222" i="33"/>
  <c r="M222" i="33" s="1"/>
  <c r="N222" i="33" s="1"/>
  <c r="M223" i="49" s="1"/>
  <c r="L306" i="33"/>
  <c r="M306" i="33" s="1"/>
  <c r="N306" i="33" s="1"/>
  <c r="M307" i="49" s="1"/>
  <c r="L229" i="33"/>
  <c r="M229" i="33" s="1"/>
  <c r="N229" i="33" s="1"/>
  <c r="M230" i="49" s="1"/>
  <c r="L89" i="33"/>
  <c r="M89" i="33" s="1"/>
  <c r="N89" i="33" s="1"/>
  <c r="M90" i="49" s="1"/>
  <c r="L211" i="33"/>
  <c r="M211" i="33" s="1"/>
  <c r="N211" i="33" s="1"/>
  <c r="M212" i="49" s="1"/>
  <c r="L322" i="33"/>
  <c r="M322" i="33" s="1"/>
  <c r="N322" i="33" s="1"/>
  <c r="M323" i="49" s="1"/>
  <c r="L224" i="33"/>
  <c r="M224" i="33" s="1"/>
  <c r="N224" i="33" s="1"/>
  <c r="M225" i="49" s="1"/>
  <c r="L266" i="33"/>
  <c r="M266" i="33" s="1"/>
  <c r="N266" i="33" s="1"/>
  <c r="M267" i="49" s="1"/>
  <c r="L227" i="33"/>
  <c r="M227" i="33" s="1"/>
  <c r="N227" i="33" s="1"/>
  <c r="M228" i="49" s="1"/>
  <c r="L304" i="33"/>
  <c r="M304" i="33" s="1"/>
  <c r="N304" i="33" s="1"/>
  <c r="M305" i="49" s="1"/>
  <c r="L254" i="33"/>
  <c r="M254" i="33" s="1"/>
  <c r="N254" i="33" s="1"/>
  <c r="M255" i="49" s="1"/>
  <c r="L126" i="33"/>
  <c r="M126" i="33" s="1"/>
  <c r="N126" i="33" s="1"/>
  <c r="M127" i="49" s="1"/>
  <c r="L155" i="33"/>
  <c r="M155" i="33" s="1"/>
  <c r="N155" i="33" s="1"/>
  <c r="M156" i="49" s="1"/>
  <c r="L302" i="33"/>
  <c r="M302" i="33" s="1"/>
  <c r="N302" i="33" s="1"/>
  <c r="M303" i="49" s="1"/>
  <c r="L44" i="33"/>
  <c r="M44" i="33" s="1"/>
  <c r="N44" i="33" s="1"/>
  <c r="M45" i="49" s="1"/>
  <c r="L47" i="33"/>
  <c r="M47" i="33" s="1"/>
  <c r="N47" i="33" s="1"/>
  <c r="M48" i="49" s="1"/>
  <c r="L121" i="33"/>
  <c r="M121" i="33" s="1"/>
  <c r="N121" i="33" s="1"/>
  <c r="M122" i="49" s="1"/>
  <c r="L27" i="33"/>
  <c r="M27" i="33" s="1"/>
  <c r="N27" i="33" s="1"/>
  <c r="M28" i="49" s="1"/>
  <c r="L130" i="33"/>
  <c r="M130" i="33" s="1"/>
  <c r="N130" i="33" s="1"/>
  <c r="M131" i="49" s="1"/>
  <c r="L275" i="33"/>
  <c r="M275" i="33" s="1"/>
  <c r="N275" i="33" s="1"/>
  <c r="M276" i="49" s="1"/>
  <c r="L176" i="33"/>
  <c r="M176" i="33" s="1"/>
  <c r="N176" i="33" s="1"/>
  <c r="M177" i="49" s="1"/>
  <c r="L317" i="33"/>
  <c r="M317" i="33" s="1"/>
  <c r="N317" i="33" s="1"/>
  <c r="M318" i="49" s="1"/>
  <c r="L128" i="33"/>
  <c r="M128" i="33" s="1"/>
  <c r="N128" i="33" s="1"/>
  <c r="M129" i="49" s="1"/>
  <c r="L25" i="33"/>
  <c r="M25" i="33" s="1"/>
  <c r="N25" i="33" s="1"/>
  <c r="M26" i="49" s="1"/>
  <c r="L157" i="33"/>
  <c r="M157" i="33" s="1"/>
  <c r="N157" i="33" s="1"/>
  <c r="M158" i="49" s="1"/>
  <c r="L298" i="33"/>
  <c r="M298" i="33" s="1"/>
  <c r="N298" i="33" s="1"/>
  <c r="M299" i="49" s="1"/>
  <c r="L174" i="33"/>
  <c r="M174" i="33" s="1"/>
  <c r="N174" i="33" s="1"/>
  <c r="M175" i="49" s="1"/>
  <c r="L200" i="33"/>
  <c r="M200" i="33" s="1"/>
  <c r="N200" i="33" s="1"/>
  <c r="M201" i="49" s="1"/>
  <c r="L261" i="33"/>
  <c r="M261" i="33" s="1"/>
  <c r="N261" i="33" s="1"/>
  <c r="M262" i="49" s="1"/>
  <c r="L82" i="33"/>
  <c r="M82" i="33" s="1"/>
  <c r="N82" i="33" s="1"/>
  <c r="M83" i="49" s="1"/>
  <c r="L75" i="33"/>
  <c r="M75" i="33" s="1"/>
  <c r="N75" i="33" s="1"/>
  <c r="M76" i="49" s="1"/>
  <c r="L255" i="33"/>
  <c r="M255" i="33" s="1"/>
  <c r="N255" i="33" s="1"/>
  <c r="M256" i="49" s="1"/>
  <c r="L80" i="33"/>
  <c r="M80" i="33" s="1"/>
  <c r="N80" i="33" s="1"/>
  <c r="M81" i="49" s="1"/>
  <c r="L154" i="33"/>
  <c r="M154" i="33" s="1"/>
  <c r="N154" i="33" s="1"/>
  <c r="M155" i="49" s="1"/>
  <c r="L125" i="33"/>
  <c r="M125" i="33" s="1"/>
  <c r="N125" i="33" s="1"/>
  <c r="M126" i="49" s="1"/>
  <c r="L236" i="33"/>
  <c r="M236" i="33" s="1"/>
  <c r="N236" i="33" s="1"/>
  <c r="M237" i="49" s="1"/>
  <c r="L256" i="33"/>
  <c r="M256" i="33" s="1"/>
  <c r="N256" i="33" s="1"/>
  <c r="M257" i="49" s="1"/>
  <c r="L305" i="33"/>
  <c r="M305" i="33" s="1"/>
  <c r="N305" i="33" s="1"/>
  <c r="M306" i="49" s="1"/>
  <c r="L59" i="33"/>
  <c r="M59" i="33" s="1"/>
  <c r="N59" i="33" s="1"/>
  <c r="M60" i="49" s="1"/>
  <c r="L100" i="33"/>
  <c r="M100" i="33" s="1"/>
  <c r="N100" i="33" s="1"/>
  <c r="M101" i="49" s="1"/>
  <c r="L217" i="33"/>
  <c r="M217" i="33" s="1"/>
  <c r="N217" i="33" s="1"/>
  <c r="M218" i="49" s="1"/>
  <c r="L197" i="33"/>
  <c r="M197" i="33" s="1"/>
  <c r="N197" i="33" s="1"/>
  <c r="M198" i="49" s="1"/>
  <c r="L61" i="33"/>
  <c r="M61" i="33" s="1"/>
  <c r="N61" i="33" s="1"/>
  <c r="M62" i="49" s="1"/>
  <c r="L259" i="33"/>
  <c r="M259" i="33" s="1"/>
  <c r="N259" i="33" s="1"/>
  <c r="M260" i="49" s="1"/>
  <c r="L225" i="33"/>
  <c r="M225" i="33" s="1"/>
  <c r="N225" i="33" s="1"/>
  <c r="M226" i="49" s="1"/>
  <c r="L33" i="33"/>
  <c r="M33" i="33" s="1"/>
  <c r="N33" i="33" s="1"/>
  <c r="M34" i="49" s="1"/>
  <c r="L210" i="33"/>
  <c r="M210" i="33" s="1"/>
  <c r="N210" i="33" s="1"/>
  <c r="M211" i="49" s="1"/>
  <c r="L18" i="33"/>
  <c r="M18" i="33" s="1"/>
  <c r="N18" i="33" s="1"/>
  <c r="M19" i="49" s="1"/>
  <c r="L193" i="33"/>
  <c r="M193" i="33" s="1"/>
  <c r="N193" i="33" s="1"/>
  <c r="M194" i="49" s="1"/>
  <c r="L238" i="33"/>
  <c r="M238" i="33" s="1"/>
  <c r="N238" i="33" s="1"/>
  <c r="M239" i="49" s="1"/>
  <c r="L42" i="33"/>
  <c r="M42" i="33" s="1"/>
  <c r="N42" i="33" s="1"/>
  <c r="M43" i="49" s="1"/>
  <c r="L285" i="33"/>
  <c r="M285" i="33" s="1"/>
  <c r="N285" i="33" s="1"/>
  <c r="M286" i="49" s="1"/>
  <c r="L218" i="33"/>
  <c r="M218" i="33" s="1"/>
  <c r="N218" i="33" s="1"/>
  <c r="M219" i="49" s="1"/>
  <c r="L48" i="33"/>
  <c r="M48" i="33" s="1"/>
  <c r="N48" i="33" s="1"/>
  <c r="M49" i="49" s="1"/>
  <c r="L111" i="33"/>
  <c r="M111" i="33" s="1"/>
  <c r="N111" i="33" s="1"/>
  <c r="M112" i="49" s="1"/>
  <c r="L43" i="33"/>
  <c r="M43" i="33" s="1"/>
  <c r="N43" i="33" s="1"/>
  <c r="M44" i="49" s="1"/>
  <c r="L301" i="33"/>
  <c r="M301" i="33" s="1"/>
  <c r="N301" i="33" s="1"/>
  <c r="M302" i="49" s="1"/>
  <c r="L64" i="33"/>
  <c r="M64" i="33" s="1"/>
  <c r="N64" i="33" s="1"/>
  <c r="M65" i="49" s="1"/>
  <c r="L107" i="33"/>
  <c r="M107" i="33" s="1"/>
  <c r="N107" i="33" s="1"/>
  <c r="M108" i="49" s="1"/>
  <c r="L235" i="33"/>
  <c r="M235" i="33" s="1"/>
  <c r="N235" i="33" s="1"/>
  <c r="M236" i="49" s="1"/>
  <c r="L15" i="33"/>
  <c r="M15" i="33" s="1"/>
  <c r="N15" i="33" s="1"/>
  <c r="M16" i="49" s="1"/>
  <c r="L191" i="33"/>
  <c r="M191" i="33" s="1"/>
  <c r="N191" i="33" s="1"/>
  <c r="M192" i="49" s="1"/>
  <c r="L321" i="33"/>
  <c r="L202" i="33"/>
  <c r="M202" i="33" s="1"/>
  <c r="N202" i="33" s="1"/>
  <c r="M203" i="49" s="1"/>
  <c r="L160" i="33"/>
  <c r="M160" i="33" s="1"/>
  <c r="N160" i="33" s="1"/>
  <c r="M161" i="49" s="1"/>
  <c r="L270" i="33"/>
  <c r="M270" i="33" s="1"/>
  <c r="N270" i="33" s="1"/>
  <c r="M271" i="49" s="1"/>
  <c r="L144" i="33"/>
  <c r="M144" i="33" s="1"/>
  <c r="N144" i="33" s="1"/>
  <c r="M145" i="49" s="1"/>
  <c r="L185" i="33"/>
  <c r="M185" i="33" s="1"/>
  <c r="N185" i="33" s="1"/>
  <c r="M186" i="49" s="1"/>
  <c r="L184" i="33"/>
  <c r="M184" i="33" s="1"/>
  <c r="N184" i="33" s="1"/>
  <c r="M185" i="49" s="1"/>
  <c r="L281" i="33"/>
  <c r="M281" i="33" s="1"/>
  <c r="N281" i="33" s="1"/>
  <c r="M282" i="49" s="1"/>
  <c r="L190" i="33"/>
  <c r="M190" i="33" s="1"/>
  <c r="N190" i="33" s="1"/>
  <c r="M191" i="49" s="1"/>
  <c r="L91" i="33"/>
  <c r="M91" i="33" s="1"/>
  <c r="N91" i="33" s="1"/>
  <c r="M92" i="49" s="1"/>
  <c r="L68" i="33"/>
  <c r="M68" i="33" s="1"/>
  <c r="N68" i="33" s="1"/>
  <c r="M69" i="49" s="1"/>
  <c r="L165" i="33"/>
  <c r="M165" i="33" s="1"/>
  <c r="N165" i="33" s="1"/>
  <c r="M166" i="49" s="1"/>
  <c r="L283" i="33"/>
  <c r="M283" i="33" s="1"/>
  <c r="N283" i="33" s="1"/>
  <c r="M284" i="49" s="1"/>
  <c r="L147" i="33"/>
  <c r="M147" i="33" s="1"/>
  <c r="N147" i="33" s="1"/>
  <c r="M148" i="49" s="1"/>
  <c r="L13" i="33"/>
  <c r="M13" i="33" s="1"/>
  <c r="N13" i="33" s="1"/>
  <c r="M14" i="49" s="1"/>
  <c r="L300" i="33"/>
  <c r="M300" i="33" s="1"/>
  <c r="N300" i="33" s="1"/>
  <c r="M301" i="49" s="1"/>
  <c r="L90" i="33"/>
  <c r="M90" i="33" s="1"/>
  <c r="N90" i="33" s="1"/>
  <c r="M91" i="49" s="1"/>
  <c r="L213" i="33"/>
  <c r="M213" i="33" s="1"/>
  <c r="N213" i="33" s="1"/>
  <c r="M214" i="49" s="1"/>
  <c r="L239" i="33"/>
  <c r="M239" i="33" s="1"/>
  <c r="N239" i="33" s="1"/>
  <c r="M240" i="49" s="1"/>
  <c r="L221" i="33"/>
  <c r="M221" i="33" s="1"/>
  <c r="N221" i="33" s="1"/>
  <c r="M222" i="49" s="1"/>
  <c r="L258" i="33"/>
  <c r="M258" i="33" s="1"/>
  <c r="N258" i="33" s="1"/>
  <c r="M259" i="49" s="1"/>
  <c r="L220" i="33"/>
  <c r="M220" i="33" s="1"/>
  <c r="N220" i="33" s="1"/>
  <c r="M221" i="49" s="1"/>
  <c r="L148" i="33"/>
  <c r="M148" i="33" s="1"/>
  <c r="N148" i="33" s="1"/>
  <c r="M149" i="49" s="1"/>
  <c r="L277" i="33"/>
  <c r="M277" i="33" s="1"/>
  <c r="N277" i="33" s="1"/>
  <c r="M278" i="49" s="1"/>
  <c r="L203" i="33"/>
  <c r="M203" i="33" s="1"/>
  <c r="N203" i="33" s="1"/>
  <c r="M204" i="49" s="1"/>
  <c r="L36" i="33"/>
  <c r="M36" i="33" s="1"/>
  <c r="N36" i="33" s="1"/>
  <c r="M37" i="49" s="1"/>
  <c r="L289" i="33"/>
  <c r="M289" i="33" s="1"/>
  <c r="N289" i="33" s="1"/>
  <c r="M290" i="49" s="1"/>
  <c r="L251" i="33"/>
  <c r="M251" i="33" s="1"/>
  <c r="N251" i="33" s="1"/>
  <c r="M252" i="49" s="1"/>
  <c r="L69" i="33"/>
  <c r="M69" i="33" s="1"/>
  <c r="N69" i="33" s="1"/>
  <c r="M70" i="49" s="1"/>
  <c r="L294" i="33"/>
  <c r="M294" i="33" s="1"/>
  <c r="N294" i="33" s="1"/>
  <c r="M295" i="49" s="1"/>
  <c r="L230" i="33"/>
  <c r="M230" i="33" s="1"/>
  <c r="N230" i="33" s="1"/>
  <c r="M231" i="49" s="1"/>
  <c r="L166" i="33"/>
  <c r="M166" i="33" s="1"/>
  <c r="N166" i="33" s="1"/>
  <c r="M167" i="49" s="1"/>
  <c r="L101" i="33"/>
  <c r="M101" i="33" s="1"/>
  <c r="N101" i="33" s="1"/>
  <c r="M102" i="49" s="1"/>
  <c r="L21" i="33"/>
  <c r="M21" i="33" s="1"/>
  <c r="N21" i="33" s="1"/>
  <c r="M22" i="49" s="1"/>
  <c r="L274" i="33"/>
  <c r="M274" i="33" s="1"/>
  <c r="N274" i="33" s="1"/>
  <c r="M275" i="49" s="1"/>
  <c r="L129" i="33"/>
  <c r="M129" i="33" s="1"/>
  <c r="N129" i="33" s="1"/>
  <c r="M130" i="49" s="1"/>
  <c r="L108" i="33"/>
  <c r="M108" i="33" s="1"/>
  <c r="N108" i="33" s="1"/>
  <c r="M109" i="49" s="1"/>
  <c r="L253" i="33"/>
  <c r="M253" i="33" s="1"/>
  <c r="N253" i="33" s="1"/>
  <c r="M254" i="49" s="1"/>
  <c r="L234" i="33"/>
  <c r="M234" i="33" s="1"/>
  <c r="N234" i="33" s="1"/>
  <c r="M235" i="49" s="1"/>
  <c r="L26" i="33"/>
  <c r="M26" i="33" s="1"/>
  <c r="N26" i="33" s="1"/>
  <c r="M27" i="49" s="1"/>
  <c r="L145" i="33"/>
  <c r="M145" i="33" s="1"/>
  <c r="N145" i="33" s="1"/>
  <c r="M146" i="49" s="1"/>
  <c r="L319" i="33"/>
  <c r="M319" i="33" s="1"/>
  <c r="N319" i="33" s="1"/>
  <c r="M320" i="49" s="1"/>
  <c r="L67" i="33"/>
  <c r="M67" i="33" s="1"/>
  <c r="N67" i="33" s="1"/>
  <c r="M68" i="49" s="1"/>
  <c r="L273" i="33"/>
  <c r="M273" i="33" s="1"/>
  <c r="N273" i="33" s="1"/>
  <c r="M274" i="49" s="1"/>
  <c r="L194" i="33"/>
  <c r="M194" i="33" s="1"/>
  <c r="N194" i="33" s="1"/>
  <c r="M195" i="49" s="1"/>
  <c r="L66" i="33"/>
  <c r="M66" i="33" s="1"/>
  <c r="N66" i="33" s="1"/>
  <c r="M67" i="49" s="1"/>
  <c r="L5" i="33"/>
  <c r="L63" i="33"/>
  <c r="M63" i="33" s="1"/>
  <c r="N63" i="33" s="1"/>
  <c r="M64" i="49" s="1"/>
  <c r="L223" i="33"/>
  <c r="M223" i="33" s="1"/>
  <c r="N223" i="33" s="1"/>
  <c r="M224" i="49" s="1"/>
  <c r="L76" i="33"/>
  <c r="M76" i="33" s="1"/>
  <c r="N76" i="33" s="1"/>
  <c r="M77" i="49" s="1"/>
  <c r="L34" i="33"/>
  <c r="M34" i="33" s="1"/>
  <c r="N34" i="33" s="1"/>
  <c r="M35" i="49" s="1"/>
  <c r="L162" i="33"/>
  <c r="M162" i="33" s="1"/>
  <c r="N162" i="33" s="1"/>
  <c r="M163" i="49" s="1"/>
  <c r="L207" i="33"/>
  <c r="M207" i="33" s="1"/>
  <c r="N207" i="33" s="1"/>
  <c r="M208" i="49" s="1"/>
  <c r="L137" i="33"/>
  <c r="M137" i="33" s="1"/>
  <c r="N137" i="33" s="1"/>
  <c r="M138" i="49" s="1"/>
  <c r="L189" i="33"/>
  <c r="M189" i="33" s="1"/>
  <c r="N189" i="33" s="1"/>
  <c r="M190" i="49" s="1"/>
  <c r="L92" i="33"/>
  <c r="M92" i="33" s="1"/>
  <c r="N92" i="33" s="1"/>
  <c r="M93" i="49" s="1"/>
  <c r="L71" i="33"/>
  <c r="M71" i="33" s="1"/>
  <c r="N71" i="33" s="1"/>
  <c r="M72" i="49" s="1"/>
  <c r="L28" i="33"/>
  <c r="M28" i="33" s="1"/>
  <c r="N28" i="33" s="1"/>
  <c r="M29" i="49" s="1"/>
  <c r="L268" i="33"/>
  <c r="M268" i="33" s="1"/>
  <c r="N268" i="33" s="1"/>
  <c r="M269" i="49" s="1"/>
  <c r="L83" i="33"/>
  <c r="M83" i="33" s="1"/>
  <c r="N83" i="33" s="1"/>
  <c r="M84" i="49" s="1"/>
  <c r="L94" i="33"/>
  <c r="M94" i="33" s="1"/>
  <c r="N94" i="33" s="1"/>
  <c r="M95" i="49" s="1"/>
  <c r="L62" i="33"/>
  <c r="M62" i="33" s="1"/>
  <c r="N62" i="33" s="1"/>
  <c r="M63" i="49" s="1"/>
  <c r="L257" i="33"/>
  <c r="M257" i="33" s="1"/>
  <c r="N257" i="33" s="1"/>
  <c r="M258" i="49" s="1"/>
  <c r="L110" i="33"/>
  <c r="M110" i="33" s="1"/>
  <c r="N110" i="33" s="1"/>
  <c r="M111" i="49" s="1"/>
  <c r="L282" i="33"/>
  <c r="M282" i="33" s="1"/>
  <c r="N282" i="33" s="1"/>
  <c r="M283" i="49" s="1"/>
  <c r="L284" i="33"/>
  <c r="M284" i="33" s="1"/>
  <c r="N284" i="33" s="1"/>
  <c r="M285" i="49" s="1"/>
  <c r="L112" i="33"/>
  <c r="M112" i="33" s="1"/>
  <c r="N112" i="33" s="1"/>
  <c r="M113" i="49" s="1"/>
  <c r="L105" i="33"/>
  <c r="M105" i="33" s="1"/>
  <c r="N105" i="33" s="1"/>
  <c r="M106" i="49" s="1"/>
  <c r="L175" i="33"/>
  <c r="M175" i="33" s="1"/>
  <c r="N175" i="33" s="1"/>
  <c r="M176" i="49" s="1"/>
  <c r="L37" i="33"/>
  <c r="M37" i="33" s="1"/>
  <c r="N37" i="33" s="1"/>
  <c r="M38" i="49" s="1"/>
  <c r="L314" i="33"/>
  <c r="M314" i="33" s="1"/>
  <c r="N314" i="33" s="1"/>
  <c r="M315" i="49" s="1"/>
  <c r="L123" i="33"/>
  <c r="M123" i="33" s="1"/>
  <c r="N123" i="33" s="1"/>
  <c r="M124" i="49" s="1"/>
  <c r="L295" i="33"/>
  <c r="M295" i="33" s="1"/>
  <c r="N295" i="33" s="1"/>
  <c r="M296" i="49" s="1"/>
  <c r="L131" i="33"/>
  <c r="M131" i="33" s="1"/>
  <c r="N131" i="33" s="1"/>
  <c r="M132" i="49" s="1"/>
  <c r="L156" i="33"/>
  <c r="M156" i="33" s="1"/>
  <c r="N156" i="33" s="1"/>
  <c r="M157" i="49" s="1"/>
  <c r="L106" i="33"/>
  <c r="M106" i="33" s="1"/>
  <c r="N106" i="33" s="1"/>
  <c r="M107" i="49" s="1"/>
  <c r="L320" i="33"/>
  <c r="M320" i="33" s="1"/>
  <c r="N320" i="33" s="1"/>
  <c r="M321" i="49" s="1"/>
  <c r="L20" i="33"/>
  <c r="M20" i="33" s="1"/>
  <c r="N20" i="33" s="1"/>
  <c r="M21" i="49" s="1"/>
  <c r="L192" i="33"/>
  <c r="M192" i="33" s="1"/>
  <c r="N192" i="33" s="1"/>
  <c r="M193" i="49" s="1"/>
  <c r="L244" i="33"/>
  <c r="M244" i="33" s="1"/>
  <c r="N244" i="33" s="1"/>
  <c r="M245" i="49" s="1"/>
  <c r="L241" i="33"/>
  <c r="M241" i="33" s="1"/>
  <c r="N241" i="33" s="1"/>
  <c r="M242" i="49" s="1"/>
  <c r="L164" i="33"/>
  <c r="M164" i="33" s="1"/>
  <c r="N164" i="33" s="1"/>
  <c r="M165" i="49" s="1"/>
  <c r="L40" i="33"/>
  <c r="M40" i="33" s="1"/>
  <c r="N40" i="33" s="1"/>
  <c r="M41" i="49" s="1"/>
  <c r="L171" i="33"/>
  <c r="M171" i="33" s="1"/>
  <c r="N171" i="33" s="1"/>
  <c r="M172" i="49" s="1"/>
  <c r="L113" i="33"/>
  <c r="M113" i="33" s="1"/>
  <c r="N113" i="33" s="1"/>
  <c r="M114" i="49" s="1"/>
  <c r="L269" i="33"/>
  <c r="M269" i="33" s="1"/>
  <c r="N269" i="33" s="1"/>
  <c r="M270" i="49" s="1"/>
  <c r="L206" i="33"/>
  <c r="M206" i="33" s="1"/>
  <c r="N206" i="33" s="1"/>
  <c r="M207" i="49" s="1"/>
  <c r="L41" i="33"/>
  <c r="M41" i="33" s="1"/>
  <c r="N41" i="33" s="1"/>
  <c r="M42" i="49" s="1"/>
  <c r="L127" i="33"/>
  <c r="M127" i="33" s="1"/>
  <c r="N127" i="33" s="1"/>
  <c r="M128" i="49" s="1"/>
  <c r="L299" i="33"/>
  <c r="M299" i="33" s="1"/>
  <c r="N299" i="33" s="1"/>
  <c r="M300" i="49" s="1"/>
  <c r="L73" i="33"/>
  <c r="M73" i="33" s="1"/>
  <c r="N73" i="33" s="1"/>
  <c r="M74" i="49" s="1"/>
  <c r="L74" i="33"/>
  <c r="M74" i="33" s="1"/>
  <c r="N74" i="33" s="1"/>
  <c r="M75" i="49" s="1"/>
  <c r="L158" i="33"/>
  <c r="M158" i="33" s="1"/>
  <c r="N158" i="33" s="1"/>
  <c r="M159" i="49" s="1"/>
  <c r="L11" i="33"/>
  <c r="M11" i="33" s="1"/>
  <c r="N11" i="33" s="1"/>
  <c r="M12" i="49" s="1"/>
  <c r="L95" i="33"/>
  <c r="M95" i="33" s="1"/>
  <c r="N95" i="33" s="1"/>
  <c r="M96" i="49" s="1"/>
  <c r="L179" i="33"/>
  <c r="M179" i="33" s="1"/>
  <c r="N179" i="33" s="1"/>
  <c r="M180" i="49" s="1"/>
  <c r="L32" i="33"/>
  <c r="M32" i="33" s="1"/>
  <c r="N32" i="33" s="1"/>
  <c r="M33" i="49" s="1"/>
  <c r="L116" i="33"/>
  <c r="M116" i="33" s="1"/>
  <c r="N116" i="33" s="1"/>
  <c r="M117" i="49" s="1"/>
  <c r="L288" i="33"/>
  <c r="M288" i="33" s="1"/>
  <c r="N288" i="33" s="1"/>
  <c r="M289" i="49" s="1"/>
  <c r="L35" i="33"/>
  <c r="M35" i="33" s="1"/>
  <c r="N35" i="33" s="1"/>
  <c r="M36" i="49" s="1"/>
  <c r="L143" i="33"/>
  <c r="M143" i="33" s="1"/>
  <c r="N143" i="33" s="1"/>
  <c r="M144" i="49" s="1"/>
  <c r="L271" i="33"/>
  <c r="M271" i="33" s="1"/>
  <c r="N271" i="33" s="1"/>
  <c r="M272" i="49" s="1"/>
  <c r="L208" i="33"/>
  <c r="M208" i="33" s="1"/>
  <c r="N208" i="33" s="1"/>
  <c r="M209" i="49" s="1"/>
  <c r="L233" i="33"/>
  <c r="M233" i="33" s="1"/>
  <c r="N233" i="33" s="1"/>
  <c r="M234" i="49" s="1"/>
  <c r="L280" i="33"/>
  <c r="M280" i="33" s="1"/>
  <c r="N280" i="33" s="1"/>
  <c r="M281" i="49" s="1"/>
  <c r="L216" i="33"/>
  <c r="M216" i="33" s="1"/>
  <c r="N216" i="33" s="1"/>
  <c r="M217" i="49" s="1"/>
  <c r="L152" i="33"/>
  <c r="M152" i="33" s="1"/>
  <c r="N152" i="33" s="1"/>
  <c r="M153" i="49" s="1"/>
  <c r="L215" i="33"/>
  <c r="M215" i="33" s="1"/>
  <c r="N215" i="33" s="1"/>
  <c r="M216" i="49" s="1"/>
  <c r="L151" i="33"/>
  <c r="M151" i="33" s="1"/>
  <c r="N151" i="33" s="1"/>
  <c r="M152" i="49" s="1"/>
  <c r="L87" i="33"/>
  <c r="M87" i="33" s="1"/>
  <c r="N87" i="33" s="1"/>
  <c r="M88" i="49" s="1"/>
  <c r="L23" i="33"/>
  <c r="M23" i="33" s="1"/>
  <c r="N23" i="33" s="1"/>
  <c r="M24" i="49" s="1"/>
  <c r="L278" i="33"/>
  <c r="M278" i="33" s="1"/>
  <c r="N278" i="33" s="1"/>
  <c r="M279" i="49" s="1"/>
  <c r="L149" i="33"/>
  <c r="M149" i="33" s="1"/>
  <c r="N149" i="33" s="1"/>
  <c r="M150" i="49" s="1"/>
  <c r="L85" i="33"/>
  <c r="M85" i="33" s="1"/>
  <c r="N85" i="33" s="1"/>
  <c r="M86" i="49" s="1"/>
  <c r="L249" i="33"/>
  <c r="M249" i="33" s="1"/>
  <c r="N249" i="33" s="1"/>
  <c r="M250" i="49" s="1"/>
  <c r="L263" i="33"/>
  <c r="M263" i="33" s="1"/>
  <c r="N263" i="33" s="1"/>
  <c r="M264" i="49" s="1"/>
  <c r="L318" i="33"/>
  <c r="M318" i="33" s="1"/>
  <c r="N318" i="33" s="1"/>
  <c r="M319" i="49" s="1"/>
  <c r="L297" i="33"/>
  <c r="M297" i="33" s="1"/>
  <c r="N297" i="33" s="1"/>
  <c r="M298" i="49" s="1"/>
  <c r="L272" i="33"/>
  <c r="M272" i="33" s="1"/>
  <c r="N272" i="33" s="1"/>
  <c r="M273" i="49" s="1"/>
  <c r="L209" i="33"/>
  <c r="M209" i="33" s="1"/>
  <c r="N209" i="33" s="1"/>
  <c r="M210" i="49" s="1"/>
  <c r="L103" i="33"/>
  <c r="M103" i="33" s="1"/>
  <c r="N103" i="33" s="1"/>
  <c r="M104" i="49" s="1"/>
  <c r="L60" i="33"/>
  <c r="M60" i="33" s="1"/>
  <c r="N60" i="33" s="1"/>
  <c r="M61" i="49" s="1"/>
  <c r="L309" i="33"/>
  <c r="M309" i="33" s="1"/>
  <c r="N309" i="33" s="1"/>
  <c r="M310" i="49" s="1"/>
  <c r="L237" i="33"/>
  <c r="M237" i="33" s="1"/>
  <c r="N237" i="33" s="1"/>
  <c r="M238" i="49" s="1"/>
  <c r="L169" i="33"/>
  <c r="M169" i="33" s="1"/>
  <c r="N169" i="33" s="1"/>
  <c r="M170" i="49" s="1"/>
  <c r="L141" i="33"/>
  <c r="M141" i="33" s="1"/>
  <c r="N141" i="33" s="1"/>
  <c r="M142" i="49" s="1"/>
  <c r="L120" i="33"/>
  <c r="M120" i="33" s="1"/>
  <c r="N120" i="33" s="1"/>
  <c r="M121" i="49" s="1"/>
  <c r="L72" i="33"/>
  <c r="M72" i="33" s="1"/>
  <c r="N72" i="33" s="1"/>
  <c r="M73" i="49" s="1"/>
  <c r="L51" i="33"/>
  <c r="M51" i="33" s="1"/>
  <c r="N51" i="33" s="1"/>
  <c r="M52" i="49" s="1"/>
  <c r="L8" i="33"/>
  <c r="M8" i="33" s="1"/>
  <c r="N8" i="33" s="1"/>
  <c r="M9" i="49" s="1"/>
  <c r="L312" i="33"/>
  <c r="M312" i="33" s="1"/>
  <c r="N312" i="33" s="1"/>
  <c r="M313" i="49" s="1"/>
  <c r="L296" i="33"/>
  <c r="M296" i="33" s="1"/>
  <c r="N296" i="33" s="1"/>
  <c r="M297" i="49" s="1"/>
  <c r="L276" i="33"/>
  <c r="M276" i="33" s="1"/>
  <c r="N276" i="33" s="1"/>
  <c r="M277" i="49" s="1"/>
  <c r="L246" i="33"/>
  <c r="M246" i="33" s="1"/>
  <c r="N246" i="33" s="1"/>
  <c r="M247" i="49" s="1"/>
  <c r="L198" i="33"/>
  <c r="M198" i="33" s="1"/>
  <c r="N198" i="33" s="1"/>
  <c r="M199" i="49" s="1"/>
  <c r="L182" i="33"/>
  <c r="M182" i="33" s="1"/>
  <c r="N182" i="33" s="1"/>
  <c r="M183" i="49" s="1"/>
  <c r="L134" i="33"/>
  <c r="M134" i="33" s="1"/>
  <c r="N134" i="33" s="1"/>
  <c r="M135" i="49" s="1"/>
  <c r="L118" i="33"/>
  <c r="M118" i="33" s="1"/>
  <c r="N118" i="33" s="1"/>
  <c r="M119" i="49" s="1"/>
  <c r="L70" i="33"/>
  <c r="M70" i="33" s="1"/>
  <c r="N70" i="33" s="1"/>
  <c r="M71" i="49" s="1"/>
  <c r="L54" i="33"/>
  <c r="M54" i="33" s="1"/>
  <c r="N54" i="33" s="1"/>
  <c r="M55" i="49" s="1"/>
  <c r="L6" i="33"/>
  <c r="M6" i="33" s="1"/>
  <c r="N6" i="33" s="1"/>
  <c r="M7" i="49" s="1"/>
  <c r="L53" i="33"/>
  <c r="M53" i="33" s="1"/>
  <c r="N53" i="33" s="1"/>
  <c r="M54" i="49" s="1"/>
  <c r="L96" i="33"/>
  <c r="M96" i="33" s="1"/>
  <c r="N96" i="33" s="1"/>
  <c r="M97" i="49" s="1"/>
  <c r="L139" i="33"/>
  <c r="M139" i="33" s="1"/>
  <c r="N139" i="33" s="1"/>
  <c r="M140" i="49" s="1"/>
  <c r="L181" i="33"/>
  <c r="M181" i="33" s="1"/>
  <c r="N181" i="33" s="1"/>
  <c r="M182" i="49" s="1"/>
  <c r="L14" i="33"/>
  <c r="M14" i="33" s="1"/>
  <c r="N14" i="33" s="1"/>
  <c r="M15" i="49" s="1"/>
  <c r="L290" i="33"/>
  <c r="M290" i="33" s="1"/>
  <c r="N290" i="33" s="1"/>
  <c r="M291" i="49" s="1"/>
  <c r="L310" i="33"/>
  <c r="M310" i="33" s="1"/>
  <c r="N310" i="33" s="1"/>
  <c r="M311" i="49" s="1"/>
  <c r="L109" i="33"/>
  <c r="M109" i="33" s="1"/>
  <c r="N109" i="33" s="1"/>
  <c r="M110" i="49" s="1"/>
  <c r="L10" i="33"/>
  <c r="M10" i="33" s="1"/>
  <c r="N10" i="33" s="1"/>
  <c r="M11" i="49" s="1"/>
  <c r="L52" i="33"/>
  <c r="M52" i="33" s="1"/>
  <c r="N52" i="33" s="1"/>
  <c r="M53" i="49" s="1"/>
  <c r="L187" i="33"/>
  <c r="M187" i="33" s="1"/>
  <c r="N187" i="33" s="1"/>
  <c r="M188" i="49" s="1"/>
  <c r="L315" i="33"/>
  <c r="M315" i="33" s="1"/>
  <c r="N315" i="33" s="1"/>
  <c r="M316" i="49" s="1"/>
  <c r="L228" i="33"/>
  <c r="M228" i="33" s="1"/>
  <c r="N228" i="33" s="1"/>
  <c r="M229" i="49" s="1"/>
  <c r="L264" i="33"/>
  <c r="M264" i="33" s="1"/>
  <c r="N264" i="33" s="1"/>
  <c r="M265" i="49" s="1"/>
  <c r="L199" i="33"/>
  <c r="M199" i="33" s="1"/>
  <c r="N199" i="33" s="1"/>
  <c r="M200" i="49" s="1"/>
  <c r="L135" i="33"/>
  <c r="M135" i="33" s="1"/>
  <c r="N135" i="33" s="1"/>
  <c r="M136" i="49" s="1"/>
  <c r="L7" i="33"/>
  <c r="M7" i="33" s="1"/>
  <c r="N7" i="33" s="1"/>
  <c r="M8" i="49" s="1"/>
  <c r="L262" i="33"/>
  <c r="M262" i="33" s="1"/>
  <c r="N262" i="33" s="1"/>
  <c r="M263" i="49" s="1"/>
  <c r="L12" i="33"/>
  <c r="M12" i="33" s="1"/>
  <c r="N12" i="33" s="1"/>
  <c r="M13" i="49" s="1"/>
  <c r="L146" i="33"/>
  <c r="M146" i="33" s="1"/>
  <c r="N146" i="33" s="1"/>
  <c r="M147" i="49" s="1"/>
  <c r="L114" i="33"/>
  <c r="M114" i="33" s="1"/>
  <c r="N114" i="33" s="1"/>
  <c r="M115" i="49" s="1"/>
  <c r="L124" i="33"/>
  <c r="M124" i="33" s="1"/>
  <c r="N124" i="33" s="1"/>
  <c r="M125" i="49" s="1"/>
  <c r="L188" i="33"/>
  <c r="M188" i="33" s="1"/>
  <c r="N188" i="33" s="1"/>
  <c r="M189" i="49" s="1"/>
  <c r="L31" i="33"/>
  <c r="M31" i="33" s="1"/>
  <c r="N31" i="33" s="1"/>
  <c r="M32" i="49" s="1"/>
  <c r="L201" i="33"/>
  <c r="M201" i="33" s="1"/>
  <c r="N201" i="33" s="1"/>
  <c r="M202" i="49" s="1"/>
  <c r="L29" i="33"/>
  <c r="M29" i="33" s="1"/>
  <c r="N29" i="33" s="1"/>
  <c r="M30" i="49" s="1"/>
  <c r="L50" i="33"/>
  <c r="M50" i="33" s="1"/>
  <c r="N50" i="33" s="1"/>
  <c r="M51" i="49" s="1"/>
  <c r="L180" i="33"/>
  <c r="M180" i="33" s="1"/>
  <c r="N180" i="33" s="1"/>
  <c r="M181" i="49" s="1"/>
  <c r="L292" i="33"/>
  <c r="M292" i="33" s="1"/>
  <c r="N292" i="33" s="1"/>
  <c r="M293" i="49" s="1"/>
  <c r="L232" i="33"/>
  <c r="M232" i="33" s="1"/>
  <c r="N232" i="33" s="1"/>
  <c r="M233" i="49" s="1"/>
  <c r="L293" i="33"/>
  <c r="M293" i="33" s="1"/>
  <c r="N293" i="33" s="1"/>
  <c r="M294" i="49" s="1"/>
  <c r="L65" i="33"/>
  <c r="M65" i="33" s="1"/>
  <c r="N65" i="33" s="1"/>
  <c r="M66" i="49" s="1"/>
  <c r="L77" i="33"/>
  <c r="M77" i="33" s="1"/>
  <c r="N77" i="33" s="1"/>
  <c r="M78" i="49" s="1"/>
  <c r="L56" i="33"/>
  <c r="M56" i="33" s="1"/>
  <c r="N56" i="33" s="1"/>
  <c r="M57" i="49" s="1"/>
  <c r="L316" i="33"/>
  <c r="M316" i="33" s="1"/>
  <c r="N316" i="33" s="1"/>
  <c r="M317" i="49" s="1"/>
  <c r="L265" i="33"/>
  <c r="M265" i="33" s="1"/>
  <c r="N265" i="33" s="1"/>
  <c r="M266" i="49" s="1"/>
  <c r="L250" i="33"/>
  <c r="M250" i="33" s="1"/>
  <c r="N250" i="33" s="1"/>
  <c r="M251" i="49" s="1"/>
  <c r="L122" i="33"/>
  <c r="M122" i="33" s="1"/>
  <c r="N122" i="33" s="1"/>
  <c r="M123" i="49" s="1"/>
  <c r="L291" i="33"/>
  <c r="M291" i="33" s="1"/>
  <c r="N291" i="33" s="1"/>
  <c r="M292" i="49" s="1"/>
  <c r="L247" i="33"/>
  <c r="M247" i="33" s="1"/>
  <c r="N247" i="33" s="1"/>
  <c r="M248" i="49" s="1"/>
  <c r="L183" i="33"/>
  <c r="M183" i="33" s="1"/>
  <c r="N183" i="33" s="1"/>
  <c r="M184" i="49" s="1"/>
  <c r="L119" i="33"/>
  <c r="M119" i="33" s="1"/>
  <c r="N119" i="33" s="1"/>
  <c r="M120" i="49" s="1"/>
  <c r="L55" i="33"/>
  <c r="M55" i="33" s="1"/>
  <c r="N55" i="33" s="1"/>
  <c r="M56" i="49" s="1"/>
  <c r="L159" i="33"/>
  <c r="M159" i="33" s="1"/>
  <c r="N159" i="33" s="1"/>
  <c r="M160" i="49" s="1"/>
  <c r="L168" i="33"/>
  <c r="M168" i="33" s="1"/>
  <c r="N168" i="33" s="1"/>
  <c r="M169" i="49" s="1"/>
  <c r="L231" i="33"/>
  <c r="M231" i="33" s="1"/>
  <c r="N231" i="33" s="1"/>
  <c r="M232" i="49" s="1"/>
  <c r="L167" i="33"/>
  <c r="M167" i="33" s="1"/>
  <c r="N167" i="33" s="1"/>
  <c r="M168" i="49" s="1"/>
  <c r="L39" i="33"/>
  <c r="M39" i="33" s="1"/>
  <c r="N39" i="33" s="1"/>
  <c r="M40" i="49" s="1"/>
  <c r="L102" i="33"/>
  <c r="M102" i="33" s="1"/>
  <c r="N102" i="33" s="1"/>
  <c r="M103" i="49" s="1"/>
  <c r="L38" i="33"/>
  <c r="M38" i="33" s="1"/>
  <c r="N38" i="33" s="1"/>
  <c r="M39" i="49" s="1"/>
  <c r="L252" i="33"/>
  <c r="M252" i="33" s="1"/>
  <c r="N252" i="33" s="1"/>
  <c r="M253" i="49" s="1"/>
  <c r="L311" i="33"/>
  <c r="M311" i="33" s="1"/>
  <c r="N311" i="33" s="1"/>
  <c r="M312" i="49" s="1"/>
  <c r="E265" i="9"/>
  <c r="E218" i="9"/>
  <c r="E249" i="9"/>
  <c r="E63" i="9" l="1"/>
  <c r="E156" i="9"/>
  <c r="E64" i="9"/>
  <c r="E178" i="9"/>
  <c r="E292" i="9"/>
  <c r="E92" i="9"/>
  <c r="E15" i="9"/>
  <c r="E138" i="9"/>
  <c r="E28" i="9"/>
  <c r="M5" i="33"/>
  <c r="E11" i="9" s="1"/>
  <c r="D16" i="48"/>
  <c r="E192" i="9"/>
  <c r="E144" i="9"/>
  <c r="E211" i="9"/>
  <c r="E246" i="9"/>
  <c r="E55" i="9"/>
  <c r="E142" i="9"/>
  <c r="E25" i="9"/>
  <c r="E179" i="9"/>
  <c r="E139" i="9"/>
  <c r="E167" i="9"/>
  <c r="E105" i="9"/>
  <c r="E309" i="9"/>
  <c r="E90" i="9"/>
  <c r="E220" i="9"/>
  <c r="E202" i="9"/>
  <c r="E184" i="9"/>
  <c r="E254" i="9"/>
  <c r="E313" i="9"/>
  <c r="E225" i="9"/>
  <c r="E110" i="9"/>
  <c r="M321" i="33"/>
  <c r="N321" i="33" s="1"/>
  <c r="E248" i="9"/>
  <c r="E148" i="9"/>
  <c r="E36" i="9"/>
  <c r="E22" i="9"/>
  <c r="E121" i="9"/>
  <c r="E87" i="9"/>
  <c r="E293" i="9"/>
  <c r="E251" i="9"/>
  <c r="E314" i="9"/>
  <c r="E176" i="9"/>
  <c r="E201" i="9"/>
  <c r="E85" i="9"/>
  <c r="E123" i="9"/>
  <c r="E52" i="9"/>
  <c r="E285" i="9"/>
  <c r="E104" i="9"/>
  <c r="E169" i="9"/>
  <c r="E319" i="9"/>
  <c r="E210" i="9"/>
  <c r="E146" i="9"/>
  <c r="E266" i="9"/>
  <c r="E182" i="9"/>
  <c r="E23" i="9"/>
  <c r="E103" i="9"/>
  <c r="E51" i="9"/>
  <c r="E161" i="9"/>
  <c r="E94" i="9"/>
  <c r="E323" i="9"/>
  <c r="E273" i="9"/>
  <c r="E99" i="9"/>
  <c r="E159" i="9"/>
  <c r="E30" i="9"/>
  <c r="E232" i="9"/>
  <c r="E235" i="9"/>
  <c r="E260" i="9"/>
  <c r="E81" i="9"/>
  <c r="E216" i="9"/>
  <c r="E150" i="9"/>
  <c r="E65" i="9"/>
  <c r="E95" i="9"/>
  <c r="E117" i="9"/>
  <c r="E230" i="9"/>
  <c r="E113" i="9"/>
  <c r="E134" i="9"/>
  <c r="E196" i="9"/>
  <c r="E31" i="9"/>
  <c r="E136" i="9"/>
  <c r="E131" i="9"/>
  <c r="E183" i="9"/>
  <c r="E67" i="9"/>
  <c r="E48" i="9"/>
  <c r="E180" i="9"/>
  <c r="E50" i="9"/>
  <c r="E84" i="9"/>
  <c r="E53" i="9"/>
  <c r="E33" i="9"/>
  <c r="E312" i="9"/>
  <c r="E228" i="9"/>
  <c r="E328" i="9"/>
  <c r="E78" i="9"/>
  <c r="E217" i="9"/>
  <c r="E242" i="9"/>
  <c r="E272" i="9"/>
  <c r="E143" i="9"/>
  <c r="E72" i="9"/>
  <c r="E281" i="9"/>
  <c r="E62" i="9"/>
  <c r="E233" i="9"/>
  <c r="E132" i="9"/>
  <c r="E261" i="9"/>
  <c r="E206" i="9"/>
  <c r="E101" i="9"/>
  <c r="E74" i="9"/>
  <c r="E27" i="9"/>
  <c r="E41" i="9"/>
  <c r="E308" i="9"/>
  <c r="E204" i="9"/>
  <c r="E19" i="9"/>
  <c r="E274" i="9"/>
  <c r="E127" i="9"/>
  <c r="E60" i="9"/>
  <c r="E310" i="9"/>
  <c r="E205" i="9"/>
  <c r="E160" i="9"/>
  <c r="E80" i="9"/>
  <c r="E54" i="9"/>
  <c r="E29" i="9"/>
  <c r="E287" i="9"/>
  <c r="E197" i="9"/>
  <c r="E283" i="9"/>
  <c r="E39" i="9"/>
  <c r="E276" i="9"/>
  <c r="E240" i="9"/>
  <c r="E307" i="9"/>
  <c r="E304" i="9"/>
  <c r="E257" i="9"/>
  <c r="E203" i="9"/>
  <c r="E177" i="9"/>
  <c r="E70" i="9"/>
  <c r="E188" i="9"/>
  <c r="E311" i="9"/>
  <c r="E190" i="9"/>
  <c r="E244" i="9"/>
  <c r="E162" i="9"/>
  <c r="E163" i="9"/>
  <c r="E88" i="9"/>
  <c r="E295" i="9"/>
  <c r="E128" i="9"/>
  <c r="E40" i="9"/>
  <c r="E198" i="9"/>
  <c r="E315" i="9"/>
  <c r="E270" i="9"/>
  <c r="E320" i="9"/>
  <c r="E199" i="9"/>
  <c r="E294" i="9"/>
  <c r="E318" i="9"/>
  <c r="E231" i="9"/>
  <c r="E56" i="9"/>
  <c r="E299" i="9"/>
  <c r="E158" i="9"/>
  <c r="E245" i="9"/>
  <c r="E280" i="9"/>
  <c r="E79" i="9"/>
  <c r="E267" i="9"/>
  <c r="E278" i="9"/>
  <c r="E195" i="9"/>
  <c r="E290" i="9"/>
  <c r="E82" i="9"/>
  <c r="E259" i="9"/>
  <c r="E35" i="9"/>
  <c r="E46" i="9"/>
  <c r="E193" i="9"/>
  <c r="E166" i="9"/>
  <c r="E236" i="9"/>
  <c r="E224" i="9"/>
  <c r="E263" i="9"/>
  <c r="E21" i="9"/>
  <c r="E125" i="9"/>
  <c r="E214" i="9"/>
  <c r="E126" i="9"/>
  <c r="E86" i="9"/>
  <c r="E118" i="9"/>
  <c r="E212" i="9"/>
  <c r="E255" i="9"/>
  <c r="E296" i="9"/>
  <c r="E223" i="9"/>
  <c r="E262" i="9"/>
  <c r="E102" i="9"/>
  <c r="E154" i="9"/>
  <c r="E73" i="9"/>
  <c r="E34" i="9"/>
  <c r="E42" i="9"/>
  <c r="E191" i="9"/>
  <c r="E49" i="9"/>
  <c r="E291" i="9"/>
  <c r="E106" i="9"/>
  <c r="E325" i="9"/>
  <c r="E96" i="9"/>
  <c r="E24" i="9"/>
  <c r="E219" i="9"/>
  <c r="E16" i="9"/>
  <c r="E58" i="9"/>
  <c r="E97" i="9"/>
  <c r="E68" i="9"/>
  <c r="E241" i="9"/>
  <c r="E226" i="9"/>
  <c r="E300" i="9"/>
  <c r="E208" i="9"/>
  <c r="E153" i="9"/>
  <c r="E109" i="9"/>
  <c r="E209" i="9"/>
  <c r="E47" i="9"/>
  <c r="E171" i="9"/>
  <c r="E227" i="9"/>
  <c r="E324" i="9"/>
  <c r="E116" i="9"/>
  <c r="E151" i="9"/>
  <c r="E238" i="9"/>
  <c r="E130" i="9"/>
  <c r="E185" i="9"/>
  <c r="E221" i="9"/>
  <c r="E268" i="9"/>
  <c r="E77" i="9"/>
  <c r="E306" i="9"/>
  <c r="E111" i="9"/>
  <c r="E32" i="9"/>
  <c r="E76" i="9"/>
  <c r="E112" i="9"/>
  <c r="E172" i="9"/>
  <c r="E264" i="9"/>
  <c r="E289" i="9"/>
  <c r="E239" i="9"/>
  <c r="E284" i="9"/>
  <c r="E229" i="9"/>
  <c r="E215" i="9"/>
  <c r="E37" i="9"/>
  <c r="E69" i="9"/>
  <c r="E213" i="9"/>
  <c r="E175" i="9"/>
  <c r="E247" i="9"/>
  <c r="E168" i="9"/>
  <c r="E45" i="9"/>
  <c r="E243" i="9"/>
  <c r="E100" i="9"/>
  <c r="E302" i="9"/>
  <c r="E322" i="9"/>
  <c r="E181" i="9"/>
  <c r="E301" i="9"/>
  <c r="E279" i="9"/>
  <c r="E129" i="9"/>
  <c r="E89" i="9"/>
  <c r="E149" i="9"/>
  <c r="E288" i="9"/>
  <c r="E200" i="9"/>
  <c r="E316" i="9"/>
  <c r="E173" i="9"/>
  <c r="E250" i="9"/>
  <c r="E133" i="9"/>
  <c r="E269" i="9"/>
  <c r="E98" i="9"/>
  <c r="E57" i="9"/>
  <c r="E187" i="9"/>
  <c r="E107" i="9"/>
  <c r="E119" i="9"/>
  <c r="E286" i="9"/>
  <c r="E271" i="9"/>
  <c r="E326" i="9"/>
  <c r="E152" i="9"/>
  <c r="E258" i="9"/>
  <c r="E114" i="9"/>
  <c r="E75" i="9"/>
  <c r="E12" i="9"/>
  <c r="E115" i="9"/>
  <c r="E145" i="9"/>
  <c r="E194" i="9"/>
  <c r="E61" i="9"/>
  <c r="E135" i="9"/>
  <c r="E26" i="9"/>
  <c r="E124" i="9"/>
  <c r="E222" i="9"/>
  <c r="E147" i="9"/>
  <c r="E43" i="9"/>
  <c r="E38" i="9"/>
  <c r="E140" i="9"/>
  <c r="E155" i="9"/>
  <c r="E252" i="9"/>
  <c r="E277" i="9"/>
  <c r="E275" i="9"/>
  <c r="E17" i="9"/>
  <c r="E66" i="9"/>
  <c r="E14" i="9"/>
  <c r="E303" i="9"/>
  <c r="E165" i="9"/>
  <c r="E13" i="9"/>
  <c r="E157" i="9"/>
  <c r="E91" i="9"/>
  <c r="E122" i="9"/>
  <c r="E282" i="9"/>
  <c r="E253" i="9"/>
  <c r="E321" i="9"/>
  <c r="E297" i="9"/>
  <c r="E120" i="9"/>
  <c r="E59" i="9"/>
  <c r="E18" i="9"/>
  <c r="E20" i="9"/>
  <c r="E234" i="9"/>
  <c r="E93" i="9"/>
  <c r="E305" i="9"/>
  <c r="E137" i="9"/>
  <c r="E170" i="9"/>
  <c r="E141" i="9"/>
  <c r="E164" i="9"/>
  <c r="E298" i="9"/>
  <c r="E83" i="9"/>
  <c r="E207" i="9"/>
  <c r="E71" i="9"/>
  <c r="E174" i="9"/>
  <c r="E256" i="9"/>
  <c r="E317" i="9"/>
  <c r="E189" i="9"/>
  <c r="E186" i="9"/>
  <c r="E44" i="9"/>
  <c r="E237" i="9"/>
  <c r="E108" i="9"/>
  <c r="C134" i="11"/>
  <c r="L134" i="11" s="1"/>
  <c r="E135" i="25"/>
  <c r="O134" i="33"/>
  <c r="C145" i="34"/>
  <c r="C65" i="11"/>
  <c r="L65" i="11" s="1"/>
  <c r="O65" i="33"/>
  <c r="C76" i="34"/>
  <c r="E66" i="25"/>
  <c r="C136" i="11"/>
  <c r="L136" i="11" s="1"/>
  <c r="C147" i="34"/>
  <c r="O136" i="33"/>
  <c r="E137" i="25"/>
  <c r="O233" i="33"/>
  <c r="E234" i="25"/>
  <c r="C244" i="34"/>
  <c r="C233" i="11"/>
  <c r="L233" i="11" s="1"/>
  <c r="O87" i="33"/>
  <c r="E88" i="25"/>
  <c r="C98" i="34"/>
  <c r="C87" i="11"/>
  <c r="L87" i="11" s="1"/>
  <c r="E101" i="25"/>
  <c r="C100" i="11"/>
  <c r="L100" i="11" s="1"/>
  <c r="C111" i="34"/>
  <c r="O100" i="33"/>
  <c r="C160" i="34"/>
  <c r="C149" i="11"/>
  <c r="L149" i="11" s="1"/>
  <c r="E150" i="25"/>
  <c r="O149" i="33"/>
  <c r="O294" i="33"/>
  <c r="E295" i="25"/>
  <c r="C294" i="11"/>
  <c r="L294" i="11" s="1"/>
  <c r="C305" i="34"/>
  <c r="C137" i="11"/>
  <c r="L137" i="11" s="1"/>
  <c r="C148" i="34"/>
  <c r="O137" i="33"/>
  <c r="E138" i="25"/>
  <c r="O252" i="33"/>
  <c r="C263" i="34"/>
  <c r="C252" i="11"/>
  <c r="L252" i="11" s="1"/>
  <c r="E253" i="25"/>
  <c r="C142" i="11"/>
  <c r="L142" i="11" s="1"/>
  <c r="O142" i="33"/>
  <c r="E143" i="25"/>
  <c r="C153" i="34"/>
  <c r="C151" i="11"/>
  <c r="L151" i="11" s="1"/>
  <c r="O151" i="33"/>
  <c r="C162" i="34"/>
  <c r="E152" i="25"/>
  <c r="E76" i="25"/>
  <c r="O75" i="33"/>
  <c r="C75" i="11"/>
  <c r="L75" i="11" s="1"/>
  <c r="C86" i="34"/>
  <c r="C259" i="34"/>
  <c r="E249" i="25"/>
  <c r="C248" i="11"/>
  <c r="L248" i="11" s="1"/>
  <c r="O248" i="33"/>
  <c r="E226" i="25"/>
  <c r="O225" i="33"/>
  <c r="C236" i="34"/>
  <c r="C225" i="11"/>
  <c r="L225" i="11" s="1"/>
  <c r="C120" i="11"/>
  <c r="L120" i="11" s="1"/>
  <c r="E121" i="25"/>
  <c r="O120" i="33"/>
  <c r="C131" i="34"/>
  <c r="C126" i="11"/>
  <c r="L126" i="11" s="1"/>
  <c r="O126" i="33"/>
  <c r="E127" i="25"/>
  <c r="C137" i="34"/>
  <c r="C36" i="11"/>
  <c r="L36" i="11" s="1"/>
  <c r="C47" i="34"/>
  <c r="E37" i="25"/>
  <c r="O36" i="33"/>
  <c r="O133" i="33"/>
  <c r="C144" i="34"/>
  <c r="C133" i="11"/>
  <c r="L133" i="11" s="1"/>
  <c r="E134" i="25"/>
  <c r="O50" i="33"/>
  <c r="E51" i="25"/>
  <c r="C50" i="11"/>
  <c r="L50" i="11" s="1"/>
  <c r="C61" i="34"/>
  <c r="E282" i="25"/>
  <c r="C292" i="34"/>
  <c r="C281" i="11"/>
  <c r="L281" i="11" s="1"/>
  <c r="O281" i="33"/>
  <c r="E304" i="25"/>
  <c r="C303" i="11"/>
  <c r="L303" i="11" s="1"/>
  <c r="O303" i="33"/>
  <c r="C314" i="34"/>
  <c r="C85" i="11"/>
  <c r="L85" i="11" s="1"/>
  <c r="C96" i="34"/>
  <c r="O85" i="33"/>
  <c r="E86" i="25"/>
  <c r="C306" i="34"/>
  <c r="C295" i="11"/>
  <c r="L295" i="11" s="1"/>
  <c r="O295" i="33"/>
  <c r="E296" i="25"/>
  <c r="C35" i="11"/>
  <c r="L35" i="11" s="1"/>
  <c r="O35" i="33"/>
  <c r="E36" i="25"/>
  <c r="C46" i="34"/>
  <c r="O237" i="33"/>
  <c r="C248" i="34"/>
  <c r="C237" i="11"/>
  <c r="L237" i="11" s="1"/>
  <c r="E238" i="25"/>
  <c r="O117" i="33"/>
  <c r="C128" i="34"/>
  <c r="E118" i="25"/>
  <c r="C117" i="11"/>
  <c r="L117" i="11" s="1"/>
  <c r="C278" i="11"/>
  <c r="L278" i="11" s="1"/>
  <c r="E279" i="25"/>
  <c r="C289" i="34"/>
  <c r="O278" i="33"/>
  <c r="C202" i="34"/>
  <c r="C191" i="11"/>
  <c r="L191" i="11" s="1"/>
  <c r="O191" i="33"/>
  <c r="E192" i="25"/>
  <c r="O302" i="33"/>
  <c r="C302" i="11"/>
  <c r="L302" i="11" s="1"/>
  <c r="E303" i="25"/>
  <c r="C313" i="34"/>
  <c r="C188" i="34"/>
  <c r="E178" i="25"/>
  <c r="O177" i="33"/>
  <c r="C177" i="11"/>
  <c r="L177" i="11" s="1"/>
  <c r="E89" i="25"/>
  <c r="O88" i="33"/>
  <c r="C88" i="11"/>
  <c r="L88" i="11" s="1"/>
  <c r="C99" i="34"/>
  <c r="C283" i="11"/>
  <c r="L283" i="11" s="1"/>
  <c r="C294" i="34"/>
  <c r="O283" i="33"/>
  <c r="E284" i="25"/>
  <c r="E247" i="25"/>
  <c r="C246" i="11"/>
  <c r="L246" i="11" s="1"/>
  <c r="C257" i="34"/>
  <c r="O246" i="33"/>
  <c r="C318" i="34"/>
  <c r="O307" i="33"/>
  <c r="E308" i="25"/>
  <c r="C307" i="11"/>
  <c r="L307" i="11" s="1"/>
  <c r="C49" i="11"/>
  <c r="L49" i="11" s="1"/>
  <c r="C60" i="34"/>
  <c r="E50" i="25"/>
  <c r="O49" i="33"/>
  <c r="C299" i="11"/>
  <c r="L299" i="11" s="1"/>
  <c r="O299" i="33"/>
  <c r="C310" i="34"/>
  <c r="E300" i="25"/>
  <c r="O80" i="33"/>
  <c r="C80" i="11"/>
  <c r="L80" i="11" s="1"/>
  <c r="C91" i="34"/>
  <c r="E81" i="25"/>
  <c r="E278" i="25"/>
  <c r="O277" i="33"/>
  <c r="C288" i="34"/>
  <c r="C277" i="11"/>
  <c r="L277" i="11" s="1"/>
  <c r="C247" i="34"/>
  <c r="O236" i="33"/>
  <c r="E237" i="25"/>
  <c r="C236" i="11"/>
  <c r="L236" i="11" s="1"/>
  <c r="O124" i="33"/>
  <c r="C135" i="34"/>
  <c r="C124" i="11"/>
  <c r="L124" i="11" s="1"/>
  <c r="E125" i="25"/>
  <c r="C284" i="34"/>
  <c r="O273" i="33"/>
  <c r="E274" i="25"/>
  <c r="C273" i="11"/>
  <c r="L273" i="11" s="1"/>
  <c r="C83" i="34"/>
  <c r="O72" i="33"/>
  <c r="C72" i="11"/>
  <c r="L72" i="11" s="1"/>
  <c r="E73" i="25"/>
  <c r="O64" i="33"/>
  <c r="C75" i="34"/>
  <c r="E65" i="25"/>
  <c r="C64" i="11"/>
  <c r="L64" i="11" s="1"/>
  <c r="C205" i="11"/>
  <c r="L205" i="11" s="1"/>
  <c r="O205" i="33"/>
  <c r="C216" i="34"/>
  <c r="E206" i="25"/>
  <c r="E18" i="25"/>
  <c r="O17" i="33"/>
  <c r="C28" i="34"/>
  <c r="C17" i="11"/>
  <c r="L17" i="11" s="1"/>
  <c r="C304" i="34"/>
  <c r="E294" i="25"/>
  <c r="C293" i="11"/>
  <c r="L293" i="11" s="1"/>
  <c r="O293" i="33"/>
  <c r="C31" i="34"/>
  <c r="O20" i="33"/>
  <c r="C20" i="11"/>
  <c r="L20" i="11" s="1"/>
  <c r="E21" i="25"/>
  <c r="C271" i="11"/>
  <c r="L271" i="11" s="1"/>
  <c r="C282" i="34"/>
  <c r="O271" i="33"/>
  <c r="E272" i="25"/>
  <c r="E117" i="25"/>
  <c r="C127" i="34"/>
  <c r="O116" i="33"/>
  <c r="C116" i="11"/>
  <c r="L116" i="11" s="1"/>
  <c r="E109" i="25"/>
  <c r="O108" i="33"/>
  <c r="C108" i="11"/>
  <c r="L108" i="11" s="1"/>
  <c r="C119" i="34"/>
  <c r="C315" i="34"/>
  <c r="E305" i="25"/>
  <c r="O304" i="33"/>
  <c r="C304" i="11"/>
  <c r="L304" i="11" s="1"/>
  <c r="C306" i="11"/>
  <c r="L306" i="11" s="1"/>
  <c r="O306" i="33"/>
  <c r="C317" i="34"/>
  <c r="E307" i="25"/>
  <c r="E123" i="25"/>
  <c r="C133" i="34"/>
  <c r="O122" i="33"/>
  <c r="C122" i="11"/>
  <c r="L122" i="11" s="1"/>
  <c r="C33" i="11"/>
  <c r="L33" i="11" s="1"/>
  <c r="E34" i="25"/>
  <c r="O33" i="33"/>
  <c r="C44" i="34"/>
  <c r="E205" i="25"/>
  <c r="O204" i="33"/>
  <c r="C204" i="11"/>
  <c r="L204" i="11" s="1"/>
  <c r="C215" i="34"/>
  <c r="O179" i="33"/>
  <c r="C179" i="11"/>
  <c r="L179" i="11" s="1"/>
  <c r="C190" i="34"/>
  <c r="E180" i="25"/>
  <c r="O319" i="33"/>
  <c r="C330" i="34"/>
  <c r="E320" i="25"/>
  <c r="C319" i="11"/>
  <c r="L319" i="11" s="1"/>
  <c r="O30" i="33"/>
  <c r="C41" i="34"/>
  <c r="C30" i="11"/>
  <c r="L30" i="11" s="1"/>
  <c r="E31" i="25"/>
  <c r="C134" i="34"/>
  <c r="E124" i="25"/>
  <c r="C123" i="11"/>
  <c r="L123" i="11" s="1"/>
  <c r="O123" i="33"/>
  <c r="C41" i="11"/>
  <c r="L41" i="11" s="1"/>
  <c r="O41" i="33"/>
  <c r="C52" i="34"/>
  <c r="E42" i="25"/>
  <c r="E80" i="25"/>
  <c r="O79" i="33"/>
  <c r="C79" i="11"/>
  <c r="L79" i="11" s="1"/>
  <c r="C90" i="34"/>
  <c r="C68" i="34"/>
  <c r="C57" i="11"/>
  <c r="L57" i="11" s="1"/>
  <c r="O57" i="33"/>
  <c r="E58" i="25"/>
  <c r="C84" i="11"/>
  <c r="L84" i="11" s="1"/>
  <c r="O84" i="33"/>
  <c r="C95" i="34"/>
  <c r="E85" i="25"/>
  <c r="C97" i="11"/>
  <c r="L97" i="11" s="1"/>
  <c r="O97" i="33"/>
  <c r="C108" i="34"/>
  <c r="E98" i="25"/>
  <c r="O81" i="33"/>
  <c r="E82" i="25"/>
  <c r="C81" i="11"/>
  <c r="L81" i="11" s="1"/>
  <c r="C92" i="34"/>
  <c r="O276" i="33"/>
  <c r="C287" i="34"/>
  <c r="E277" i="25"/>
  <c r="C276" i="11"/>
  <c r="L276" i="11" s="1"/>
  <c r="O266" i="33"/>
  <c r="C277" i="34"/>
  <c r="E267" i="25"/>
  <c r="C266" i="11"/>
  <c r="L266" i="11" s="1"/>
  <c r="E185" i="25"/>
  <c r="O184" i="33"/>
  <c r="C195" i="34"/>
  <c r="C184" i="11"/>
  <c r="L184" i="11" s="1"/>
  <c r="E35" i="25"/>
  <c r="C34" i="11"/>
  <c r="L34" i="11" s="1"/>
  <c r="C45" i="34"/>
  <c r="O34" i="33"/>
  <c r="O215" i="33"/>
  <c r="E216" i="25"/>
  <c r="C215" i="11"/>
  <c r="L215" i="11" s="1"/>
  <c r="C226" i="34"/>
  <c r="C179" i="34"/>
  <c r="C168" i="11"/>
  <c r="L168" i="11" s="1"/>
  <c r="O168" i="33"/>
  <c r="E169" i="25"/>
  <c r="O270" i="33"/>
  <c r="C281" i="34"/>
  <c r="E271" i="25"/>
  <c r="C270" i="11"/>
  <c r="L270" i="11" s="1"/>
  <c r="C251" i="34"/>
  <c r="E241" i="25"/>
  <c r="C240" i="11"/>
  <c r="L240" i="11" s="1"/>
  <c r="O240" i="33"/>
  <c r="O93" i="33"/>
  <c r="E94" i="25"/>
  <c r="C93" i="11"/>
  <c r="L93" i="11" s="1"/>
  <c r="C104" i="34"/>
  <c r="C203" i="34"/>
  <c r="E193" i="25"/>
  <c r="O192" i="33"/>
  <c r="C192" i="11"/>
  <c r="L192" i="11" s="1"/>
  <c r="C274" i="11"/>
  <c r="L274" i="11" s="1"/>
  <c r="E275" i="25"/>
  <c r="O274" i="33"/>
  <c r="C285" i="34"/>
  <c r="E113" i="25"/>
  <c r="O112" i="33"/>
  <c r="C112" i="11"/>
  <c r="L112" i="11" s="1"/>
  <c r="C123" i="34"/>
  <c r="C84" i="34"/>
  <c r="E74" i="25"/>
  <c r="O73" i="33"/>
  <c r="C73" i="11"/>
  <c r="L73" i="11" s="1"/>
  <c r="C83" i="11"/>
  <c r="L83" i="11" s="1"/>
  <c r="E84" i="25"/>
  <c r="C94" i="34"/>
  <c r="O83" i="33"/>
  <c r="C269" i="11"/>
  <c r="L269" i="11" s="1"/>
  <c r="O269" i="33"/>
  <c r="E270" i="25"/>
  <c r="C280" i="34"/>
  <c r="C163" i="11"/>
  <c r="L163" i="11" s="1"/>
  <c r="O163" i="33"/>
  <c r="E164" i="25"/>
  <c r="C174" i="34"/>
  <c r="C154" i="34"/>
  <c r="O143" i="33"/>
  <c r="C143" i="11"/>
  <c r="L143" i="11" s="1"/>
  <c r="E144" i="25"/>
  <c r="O131" i="33"/>
  <c r="C131" i="11"/>
  <c r="L131" i="11" s="1"/>
  <c r="E132" i="25"/>
  <c r="C142" i="34"/>
  <c r="C309" i="11"/>
  <c r="L309" i="11" s="1"/>
  <c r="O309" i="33"/>
  <c r="C320" i="34"/>
  <c r="E310" i="25"/>
  <c r="E59" i="25"/>
  <c r="O58" i="33"/>
  <c r="C58" i="11"/>
  <c r="L58" i="11" s="1"/>
  <c r="C69" i="34"/>
  <c r="C209" i="11"/>
  <c r="L209" i="11" s="1"/>
  <c r="C220" i="34"/>
  <c r="E210" i="25"/>
  <c r="O209" i="33"/>
  <c r="C282" i="11"/>
  <c r="L282" i="11" s="1"/>
  <c r="O282" i="33"/>
  <c r="C293" i="34"/>
  <c r="E283" i="25"/>
  <c r="C90" i="11"/>
  <c r="L90" i="11" s="1"/>
  <c r="O90" i="33"/>
  <c r="C101" i="34"/>
  <c r="E91" i="25"/>
  <c r="O272" i="33"/>
  <c r="E273" i="25"/>
  <c r="C272" i="11"/>
  <c r="L272" i="11" s="1"/>
  <c r="C283" i="34"/>
  <c r="C172" i="34"/>
  <c r="E162" i="25"/>
  <c r="O161" i="33"/>
  <c r="C161" i="11"/>
  <c r="L161" i="11" s="1"/>
  <c r="C89" i="34"/>
  <c r="C78" i="11"/>
  <c r="L78" i="11" s="1"/>
  <c r="O78" i="33"/>
  <c r="E79" i="25"/>
  <c r="C229" i="11"/>
  <c r="L229" i="11" s="1"/>
  <c r="C240" i="34"/>
  <c r="O229" i="33"/>
  <c r="E230" i="25"/>
  <c r="O219" i="33"/>
  <c r="E220" i="25"/>
  <c r="C230" i="34"/>
  <c r="C219" i="11"/>
  <c r="L219" i="11" s="1"/>
  <c r="E239" i="25"/>
  <c r="O238" i="33"/>
  <c r="C249" i="34"/>
  <c r="C238" i="11"/>
  <c r="L238" i="11" s="1"/>
  <c r="O102" i="33"/>
  <c r="C113" i="34"/>
  <c r="E103" i="25"/>
  <c r="C102" i="11"/>
  <c r="L102" i="11" s="1"/>
  <c r="C273" i="34"/>
  <c r="E263" i="25"/>
  <c r="O262" i="33"/>
  <c r="C262" i="11"/>
  <c r="L262" i="11" s="1"/>
  <c r="O13" i="33"/>
  <c r="C24" i="34"/>
  <c r="E14" i="25"/>
  <c r="C13" i="11"/>
  <c r="L13" i="11" s="1"/>
  <c r="C165" i="34"/>
  <c r="O154" i="33"/>
  <c r="C154" i="11"/>
  <c r="L154" i="11" s="1"/>
  <c r="E155" i="25"/>
  <c r="C183" i="34"/>
  <c r="O172" i="33"/>
  <c r="E173" i="25"/>
  <c r="C172" i="11"/>
  <c r="L172" i="11" s="1"/>
  <c r="E318" i="25"/>
  <c r="O317" i="33"/>
  <c r="C328" i="34"/>
  <c r="C317" i="11"/>
  <c r="L317" i="11" s="1"/>
  <c r="C326" i="34"/>
  <c r="C315" i="11"/>
  <c r="L315" i="11" s="1"/>
  <c r="O315" i="33"/>
  <c r="E316" i="25"/>
  <c r="E55" i="25"/>
  <c r="O54" i="33"/>
  <c r="C65" i="34"/>
  <c r="C54" i="11"/>
  <c r="L54" i="11" s="1"/>
  <c r="E265" i="25"/>
  <c r="C275" i="34"/>
  <c r="O264" i="33"/>
  <c r="C264" i="11"/>
  <c r="L264" i="11" s="1"/>
  <c r="E190" i="25"/>
  <c r="C189" i="11"/>
  <c r="L189" i="11" s="1"/>
  <c r="O189" i="33"/>
  <c r="C200" i="34"/>
  <c r="C33" i="34"/>
  <c r="E23" i="25"/>
  <c r="C22" i="11"/>
  <c r="L22" i="11" s="1"/>
  <c r="O22" i="33"/>
  <c r="E141" i="25"/>
  <c r="C140" i="11"/>
  <c r="L140" i="11" s="1"/>
  <c r="O140" i="33"/>
  <c r="C151" i="34"/>
  <c r="E212" i="25"/>
  <c r="O211" i="33"/>
  <c r="C222" i="34"/>
  <c r="C211" i="11"/>
  <c r="L211" i="11" s="1"/>
  <c r="C105" i="34"/>
  <c r="O94" i="33"/>
  <c r="C94" i="11"/>
  <c r="L94" i="11" s="1"/>
  <c r="E95" i="25"/>
  <c r="C302" i="34"/>
  <c r="O291" i="33"/>
  <c r="C291" i="11"/>
  <c r="L291" i="11" s="1"/>
  <c r="E292" i="25"/>
  <c r="C56" i="34"/>
  <c r="C45" i="11"/>
  <c r="L45" i="11" s="1"/>
  <c r="O45" i="33"/>
  <c r="E46" i="25"/>
  <c r="C211" i="34"/>
  <c r="O200" i="33"/>
  <c r="E201" i="25"/>
  <c r="C200" i="11"/>
  <c r="L200" i="11" s="1"/>
  <c r="O301" i="33"/>
  <c r="C312" i="34"/>
  <c r="C301" i="11"/>
  <c r="L301" i="11" s="1"/>
  <c r="E302" i="25"/>
  <c r="E19" i="25"/>
  <c r="C18" i="11"/>
  <c r="L18" i="11" s="1"/>
  <c r="O18" i="33"/>
  <c r="C29" i="34"/>
  <c r="O314" i="33"/>
  <c r="C314" i="11"/>
  <c r="L314" i="11" s="1"/>
  <c r="C325" i="34"/>
  <c r="E315" i="25"/>
  <c r="C295" i="34"/>
  <c r="E285" i="25"/>
  <c r="C284" i="11"/>
  <c r="L284" i="11" s="1"/>
  <c r="O284" i="33"/>
  <c r="E196" i="25"/>
  <c r="O195" i="33"/>
  <c r="C206" i="34"/>
  <c r="C195" i="11"/>
  <c r="L195" i="11" s="1"/>
  <c r="O95" i="33"/>
  <c r="C106" i="34"/>
  <c r="E96" i="25"/>
  <c r="C95" i="11"/>
  <c r="L95" i="11" s="1"/>
  <c r="C82" i="34"/>
  <c r="C71" i="11"/>
  <c r="L71" i="11" s="1"/>
  <c r="O71" i="33"/>
  <c r="E72" i="25"/>
  <c r="O60" i="33"/>
  <c r="C60" i="11"/>
  <c r="L60" i="11" s="1"/>
  <c r="E61" i="25"/>
  <c r="C71" i="34"/>
  <c r="O310" i="33"/>
  <c r="E311" i="25"/>
  <c r="C321" i="34"/>
  <c r="C310" i="11"/>
  <c r="L310" i="11" s="1"/>
  <c r="O6" i="33"/>
  <c r="C17" i="34"/>
  <c r="E7" i="25"/>
  <c r="C6" i="11"/>
  <c r="L6" i="11" s="1"/>
  <c r="O99" i="33"/>
  <c r="C110" i="34"/>
  <c r="E100" i="25"/>
  <c r="C99" i="11"/>
  <c r="L99" i="11" s="1"/>
  <c r="O182" i="33"/>
  <c r="C182" i="11"/>
  <c r="L182" i="11" s="1"/>
  <c r="C193" i="34"/>
  <c r="E183" i="25"/>
  <c r="O201" i="33"/>
  <c r="E202" i="25"/>
  <c r="C212" i="34"/>
  <c r="C201" i="11"/>
  <c r="L201" i="11" s="1"/>
  <c r="C42" i="11"/>
  <c r="L42" i="11" s="1"/>
  <c r="O42" i="33"/>
  <c r="C53" i="34"/>
  <c r="E43" i="25"/>
  <c r="O105" i="33"/>
  <c r="C116" i="34"/>
  <c r="E106" i="25"/>
  <c r="C105" i="11"/>
  <c r="L105" i="11" s="1"/>
  <c r="E110" i="25"/>
  <c r="C120" i="34"/>
  <c r="O109" i="33"/>
  <c r="C109" i="11"/>
  <c r="L109" i="11" s="1"/>
  <c r="E281" i="25"/>
  <c r="O280" i="33"/>
  <c r="C280" i="11"/>
  <c r="L280" i="11" s="1"/>
  <c r="C291" i="34"/>
  <c r="E140" i="25"/>
  <c r="O139" i="33"/>
  <c r="C150" i="34"/>
  <c r="C139" i="11"/>
  <c r="L139" i="11" s="1"/>
  <c r="O253" i="33"/>
  <c r="C253" i="11"/>
  <c r="L253" i="11" s="1"/>
  <c r="C264" i="34"/>
  <c r="E254" i="25"/>
  <c r="E242" i="25"/>
  <c r="O241" i="33"/>
  <c r="C241" i="11"/>
  <c r="L241" i="11" s="1"/>
  <c r="C252" i="34"/>
  <c r="E186" i="25"/>
  <c r="C196" i="34"/>
  <c r="O185" i="33"/>
  <c r="C185" i="11"/>
  <c r="L185" i="11" s="1"/>
  <c r="C279" i="34"/>
  <c r="O268" i="33"/>
  <c r="C268" i="11"/>
  <c r="L268" i="11" s="1"/>
  <c r="E269" i="25"/>
  <c r="O214" i="33"/>
  <c r="C214" i="11"/>
  <c r="L214" i="11" s="1"/>
  <c r="E215" i="25"/>
  <c r="C225" i="34"/>
  <c r="O150" i="33"/>
  <c r="C150" i="11"/>
  <c r="L150" i="11" s="1"/>
  <c r="C161" i="34"/>
  <c r="E151" i="25"/>
  <c r="C217" i="11"/>
  <c r="L217" i="11" s="1"/>
  <c r="O217" i="33"/>
  <c r="E218" i="25"/>
  <c r="C228" i="34"/>
  <c r="C199" i="34"/>
  <c r="O188" i="33"/>
  <c r="C188" i="11"/>
  <c r="L188" i="11" s="1"/>
  <c r="E189" i="25"/>
  <c r="C68" i="11"/>
  <c r="L68" i="11" s="1"/>
  <c r="C79" i="34"/>
  <c r="E69" i="25"/>
  <c r="O68" i="33"/>
  <c r="C185" i="34"/>
  <c r="E175" i="25"/>
  <c r="O174" i="33"/>
  <c r="C174" i="11"/>
  <c r="L174" i="11" s="1"/>
  <c r="C276" i="34"/>
  <c r="O265" i="33"/>
  <c r="E266" i="25"/>
  <c r="C265" i="11"/>
  <c r="L265" i="11" s="1"/>
  <c r="C40" i="34"/>
  <c r="C29" i="11"/>
  <c r="L29" i="11" s="1"/>
  <c r="O29" i="33"/>
  <c r="E30" i="25"/>
  <c r="O221" i="33"/>
  <c r="C221" i="11"/>
  <c r="L221" i="11" s="1"/>
  <c r="E222" i="25"/>
  <c r="C232" i="34"/>
  <c r="O26" i="33"/>
  <c r="C26" i="11"/>
  <c r="L26" i="11" s="1"/>
  <c r="E27" i="25"/>
  <c r="C37" i="34"/>
  <c r="C267" i="34"/>
  <c r="C256" i="11"/>
  <c r="L256" i="11" s="1"/>
  <c r="O256" i="33"/>
  <c r="E257" i="25"/>
  <c r="E17" i="25"/>
  <c r="C16" i="11"/>
  <c r="L16" i="11" s="1"/>
  <c r="O16" i="33"/>
  <c r="C27" i="34"/>
  <c r="C244" i="11"/>
  <c r="L244" i="11" s="1"/>
  <c r="O244" i="33"/>
  <c r="E245" i="25"/>
  <c r="C255" i="34"/>
  <c r="O31" i="33"/>
  <c r="C42" i="34"/>
  <c r="E32" i="25"/>
  <c r="C31" i="11"/>
  <c r="L31" i="11" s="1"/>
  <c r="C164" i="11"/>
  <c r="L164" i="11" s="1"/>
  <c r="E165" i="25"/>
  <c r="C175" i="34"/>
  <c r="O164" i="33"/>
  <c r="E139" i="25"/>
  <c r="C138" i="11"/>
  <c r="L138" i="11" s="1"/>
  <c r="O138" i="33"/>
  <c r="C149" i="34"/>
  <c r="C40" i="11"/>
  <c r="L40" i="11" s="1"/>
  <c r="O40" i="33"/>
  <c r="E41" i="25"/>
  <c r="C51" i="34"/>
  <c r="E97" i="25"/>
  <c r="O96" i="33"/>
  <c r="C96" i="11"/>
  <c r="L96" i="11" s="1"/>
  <c r="C107" i="34"/>
  <c r="C67" i="34"/>
  <c r="O56" i="33"/>
  <c r="E57" i="25"/>
  <c r="C56" i="11"/>
  <c r="L56" i="11" s="1"/>
  <c r="O21" i="33"/>
  <c r="E22" i="25"/>
  <c r="C32" i="34"/>
  <c r="C21" i="11"/>
  <c r="L21" i="11" s="1"/>
  <c r="C322" i="34"/>
  <c r="O311" i="33"/>
  <c r="E312" i="25"/>
  <c r="C311" i="11"/>
  <c r="L311" i="11" s="1"/>
  <c r="E115" i="25"/>
  <c r="C125" i="34"/>
  <c r="O114" i="33"/>
  <c r="C114" i="11"/>
  <c r="L114" i="11" s="1"/>
  <c r="E44" i="25"/>
  <c r="O43" i="33"/>
  <c r="C54" i="34"/>
  <c r="C43" i="11"/>
  <c r="L43" i="11" s="1"/>
  <c r="E214" i="25"/>
  <c r="C224" i="34"/>
  <c r="O213" i="33"/>
  <c r="C213" i="11"/>
  <c r="L213" i="11" s="1"/>
  <c r="E9" i="25"/>
  <c r="C19" i="34"/>
  <c r="O8" i="33"/>
  <c r="C8" i="11"/>
  <c r="L8" i="11" s="1"/>
  <c r="E54" i="25"/>
  <c r="C64" i="34"/>
  <c r="O53" i="33"/>
  <c r="C53" i="11"/>
  <c r="L53" i="11" s="1"/>
  <c r="C9" i="11"/>
  <c r="L9" i="11" s="1"/>
  <c r="C20" i="34"/>
  <c r="O9" i="33"/>
  <c r="E10" i="25"/>
  <c r="E149" i="25"/>
  <c r="C159" i="34"/>
  <c r="O148" i="33"/>
  <c r="C148" i="11"/>
  <c r="L148" i="11" s="1"/>
  <c r="O55" i="33"/>
  <c r="C55" i="11"/>
  <c r="L55" i="11" s="1"/>
  <c r="E56" i="25"/>
  <c r="C66" i="34"/>
  <c r="C12" i="11"/>
  <c r="L12" i="11" s="1"/>
  <c r="E13" i="25"/>
  <c r="O12" i="33"/>
  <c r="C23" i="34"/>
  <c r="E63" i="25"/>
  <c r="C62" i="11"/>
  <c r="L62" i="11" s="1"/>
  <c r="C73" i="34"/>
  <c r="O62" i="33"/>
  <c r="C167" i="34"/>
  <c r="C156" i="11"/>
  <c r="L156" i="11" s="1"/>
  <c r="E157" i="25"/>
  <c r="O156" i="33"/>
  <c r="C324" i="34"/>
  <c r="C313" i="11"/>
  <c r="L313" i="11" s="1"/>
  <c r="O313" i="33"/>
  <c r="E314" i="25"/>
  <c r="C140" i="34"/>
  <c r="O129" i="33"/>
  <c r="C129" i="11"/>
  <c r="L129" i="11" s="1"/>
  <c r="E130" i="25"/>
  <c r="C70" i="11"/>
  <c r="L70" i="11" s="1"/>
  <c r="C81" i="34"/>
  <c r="O70" i="33"/>
  <c r="E71" i="25"/>
  <c r="E188" i="25"/>
  <c r="C198" i="34"/>
  <c r="C187" i="11"/>
  <c r="L187" i="11" s="1"/>
  <c r="O187" i="33"/>
  <c r="C305" i="11"/>
  <c r="L305" i="11" s="1"/>
  <c r="O305" i="33"/>
  <c r="E306" i="25"/>
  <c r="C316" i="34"/>
  <c r="O14" i="33"/>
  <c r="E15" i="25"/>
  <c r="C14" i="11"/>
  <c r="L14" i="11" s="1"/>
  <c r="C25" i="34"/>
  <c r="E11" i="25"/>
  <c r="O10" i="33"/>
  <c r="C21" i="34"/>
  <c r="C10" i="11"/>
  <c r="L10" i="11" s="1"/>
  <c r="O98" i="33"/>
  <c r="E99" i="25"/>
  <c r="C98" i="11"/>
  <c r="L98" i="11" s="1"/>
  <c r="C109" i="34"/>
  <c r="C194" i="34"/>
  <c r="O183" i="33"/>
  <c r="E184" i="25"/>
  <c r="C183" i="11"/>
  <c r="L183" i="11" s="1"/>
  <c r="O224" i="33"/>
  <c r="C224" i="11"/>
  <c r="L224" i="11" s="1"/>
  <c r="C235" i="34"/>
  <c r="E225" i="25"/>
  <c r="E229" i="25"/>
  <c r="O228" i="33"/>
  <c r="C228" i="11"/>
  <c r="L228" i="11" s="1"/>
  <c r="C239" i="34"/>
  <c r="E298" i="25"/>
  <c r="O297" i="33"/>
  <c r="C297" i="11"/>
  <c r="L297" i="11" s="1"/>
  <c r="C308" i="34"/>
  <c r="O320" i="33"/>
  <c r="E321" i="25"/>
  <c r="C320" i="11"/>
  <c r="L320" i="11" s="1"/>
  <c r="C331" i="34"/>
  <c r="O115" i="33"/>
  <c r="C126" i="34"/>
  <c r="C115" i="11"/>
  <c r="L115" i="11" s="1"/>
  <c r="E116" i="25"/>
  <c r="C138" i="34"/>
  <c r="O127" i="33"/>
  <c r="E128" i="25"/>
  <c r="C127" i="11"/>
  <c r="L127" i="11" s="1"/>
  <c r="C329" i="34"/>
  <c r="O318" i="33"/>
  <c r="C318" i="11"/>
  <c r="L318" i="11" s="1"/>
  <c r="E319" i="25"/>
  <c r="C158" i="11"/>
  <c r="L158" i="11" s="1"/>
  <c r="E159" i="25"/>
  <c r="O158" i="33"/>
  <c r="C169" i="34"/>
  <c r="C230" i="11"/>
  <c r="L230" i="11" s="1"/>
  <c r="O230" i="33"/>
  <c r="E231" i="25"/>
  <c r="C241" i="34"/>
  <c r="E148" i="25"/>
  <c r="O147" i="33"/>
  <c r="C158" i="34"/>
  <c r="C147" i="11"/>
  <c r="L147" i="11" s="1"/>
  <c r="C118" i="34"/>
  <c r="O107" i="33"/>
  <c r="E108" i="25"/>
  <c r="C107" i="11"/>
  <c r="L107" i="11" s="1"/>
  <c r="O155" i="33"/>
  <c r="E156" i="25"/>
  <c r="C155" i="11"/>
  <c r="L155" i="11" s="1"/>
  <c r="C166" i="34"/>
  <c r="O59" i="33"/>
  <c r="C70" i="34"/>
  <c r="C59" i="11"/>
  <c r="L59" i="11" s="1"/>
  <c r="E60" i="25"/>
  <c r="E142" i="25"/>
  <c r="O141" i="33"/>
  <c r="C141" i="11"/>
  <c r="L141" i="11" s="1"/>
  <c r="C152" i="34"/>
  <c r="C157" i="11"/>
  <c r="L157" i="11" s="1"/>
  <c r="E158" i="25"/>
  <c r="O157" i="33"/>
  <c r="C168" i="34"/>
  <c r="O121" i="33"/>
  <c r="C132" i="34"/>
  <c r="E122" i="25"/>
  <c r="C121" i="11"/>
  <c r="L121" i="11" s="1"/>
  <c r="C121" i="34"/>
  <c r="O110" i="33"/>
  <c r="E111" i="25"/>
  <c r="C110" i="11"/>
  <c r="L110" i="11" s="1"/>
  <c r="O258" i="33"/>
  <c r="C258" i="11"/>
  <c r="L258" i="11" s="1"/>
  <c r="E259" i="25"/>
  <c r="C269" i="34"/>
  <c r="O145" i="33"/>
  <c r="E146" i="25"/>
  <c r="C145" i="11"/>
  <c r="L145" i="11" s="1"/>
  <c r="C156" i="34"/>
  <c r="C176" i="11"/>
  <c r="L176" i="11" s="1"/>
  <c r="C187" i="34"/>
  <c r="O176" i="33"/>
  <c r="E177" i="25"/>
  <c r="O37" i="33"/>
  <c r="C37" i="11"/>
  <c r="L37" i="11" s="1"/>
  <c r="E38" i="25"/>
  <c r="C48" i="34"/>
  <c r="O263" i="33"/>
  <c r="C274" i="34"/>
  <c r="C263" i="11"/>
  <c r="L263" i="11" s="1"/>
  <c r="E264" i="25"/>
  <c r="C201" i="34"/>
  <c r="C190" i="11"/>
  <c r="L190" i="11" s="1"/>
  <c r="O190" i="33"/>
  <c r="E191" i="25"/>
  <c r="E232" i="25"/>
  <c r="C231" i="11"/>
  <c r="L231" i="11" s="1"/>
  <c r="C242" i="34"/>
  <c r="O231" i="33"/>
  <c r="O74" i="33"/>
  <c r="E75" i="25"/>
  <c r="C85" i="34"/>
  <c r="C74" i="11"/>
  <c r="L74" i="11" s="1"/>
  <c r="O63" i="33"/>
  <c r="C74" i="34"/>
  <c r="E64" i="25"/>
  <c r="C63" i="11"/>
  <c r="L63" i="11" s="1"/>
  <c r="C88" i="34"/>
  <c r="O77" i="33"/>
  <c r="C77" i="11"/>
  <c r="L77" i="11" s="1"/>
  <c r="E78" i="25"/>
  <c r="E286" i="25"/>
  <c r="C296" i="34"/>
  <c r="O285" i="33"/>
  <c r="C285" i="11"/>
  <c r="L285" i="11" s="1"/>
  <c r="O308" i="33"/>
  <c r="C319" i="34"/>
  <c r="E309" i="25"/>
  <c r="C308" i="11"/>
  <c r="L308" i="11" s="1"/>
  <c r="C46" i="11"/>
  <c r="L46" i="11" s="1"/>
  <c r="C57" i="34"/>
  <c r="O46" i="33"/>
  <c r="E47" i="25"/>
  <c r="E25" i="25"/>
  <c r="C35" i="34"/>
  <c r="O24" i="33"/>
  <c r="C24" i="11"/>
  <c r="L24" i="11" s="1"/>
  <c r="O86" i="33"/>
  <c r="E87" i="25"/>
  <c r="C97" i="34"/>
  <c r="C86" i="11"/>
  <c r="L86" i="11" s="1"/>
  <c r="C157" i="34"/>
  <c r="O146" i="33"/>
  <c r="E147" i="25"/>
  <c r="C146" i="11"/>
  <c r="L146" i="11" s="1"/>
  <c r="O316" i="33"/>
  <c r="C327" i="34"/>
  <c r="E317" i="25"/>
  <c r="C316" i="11"/>
  <c r="L316" i="11" s="1"/>
  <c r="C32" i="11"/>
  <c r="L32" i="11" s="1"/>
  <c r="O32" i="33"/>
  <c r="E33" i="25"/>
  <c r="C43" i="34"/>
  <c r="C203" i="11"/>
  <c r="L203" i="11" s="1"/>
  <c r="O203" i="33"/>
  <c r="E204" i="25"/>
  <c r="C214" i="34"/>
  <c r="E255" i="25"/>
  <c r="C265" i="34"/>
  <c r="O254" i="33"/>
  <c r="C254" i="11"/>
  <c r="L254" i="11" s="1"/>
  <c r="C59" i="34"/>
  <c r="E49" i="25"/>
  <c r="C48" i="11"/>
  <c r="L48" i="11" s="1"/>
  <c r="O48" i="33"/>
  <c r="E26" i="25"/>
  <c r="C25" i="11"/>
  <c r="L25" i="11" s="1"/>
  <c r="C36" i="34"/>
  <c r="O25" i="33"/>
  <c r="E228" i="25"/>
  <c r="O227" i="33"/>
  <c r="C227" i="11"/>
  <c r="L227" i="11" s="1"/>
  <c r="C238" i="34"/>
  <c r="E52" i="25"/>
  <c r="O51" i="33"/>
  <c r="C62" i="34"/>
  <c r="C51" i="11"/>
  <c r="L51" i="11" s="1"/>
  <c r="O162" i="33"/>
  <c r="C173" i="34"/>
  <c r="E163" i="25"/>
  <c r="C162" i="11"/>
  <c r="L162" i="11" s="1"/>
  <c r="O197" i="33"/>
  <c r="C197" i="11"/>
  <c r="L197" i="11" s="1"/>
  <c r="E198" i="25"/>
  <c r="C208" i="34"/>
  <c r="E131" i="25"/>
  <c r="C141" i="34"/>
  <c r="C130" i="11"/>
  <c r="L130" i="11" s="1"/>
  <c r="O130" i="33"/>
  <c r="C181" i="11"/>
  <c r="L181" i="11" s="1"/>
  <c r="O181" i="33"/>
  <c r="C192" i="34"/>
  <c r="E182" i="25"/>
  <c r="E171" i="25"/>
  <c r="C170" i="11"/>
  <c r="L170" i="11" s="1"/>
  <c r="C181" i="34"/>
  <c r="O170" i="33"/>
  <c r="C242" i="11"/>
  <c r="L242" i="11" s="1"/>
  <c r="E243" i="25"/>
  <c r="O242" i="33"/>
  <c r="C253" i="34"/>
  <c r="C143" i="34"/>
  <c r="O132" i="33"/>
  <c r="C132" i="11"/>
  <c r="L132" i="11" s="1"/>
  <c r="E133" i="25"/>
  <c r="C119" i="11"/>
  <c r="L119" i="11" s="1"/>
  <c r="O119" i="33"/>
  <c r="C130" i="34"/>
  <c r="E120" i="25"/>
  <c r="O226" i="33"/>
  <c r="C226" i="11"/>
  <c r="L226" i="11" s="1"/>
  <c r="E227" i="25"/>
  <c r="C237" i="34"/>
  <c r="C49" i="34"/>
  <c r="O38" i="33"/>
  <c r="E39" i="25"/>
  <c r="C38" i="11"/>
  <c r="L38" i="11" s="1"/>
  <c r="O322" i="33"/>
  <c r="E323" i="25"/>
  <c r="C322" i="11"/>
  <c r="L322" i="11" s="1"/>
  <c r="C333" i="34"/>
  <c r="E48" i="25"/>
  <c r="O47" i="33"/>
  <c r="C47" i="11"/>
  <c r="L47" i="11" s="1"/>
  <c r="C58" i="34"/>
  <c r="O171" i="33"/>
  <c r="C182" i="34"/>
  <c r="C171" i="11"/>
  <c r="L171" i="11" s="1"/>
  <c r="E172" i="25"/>
  <c r="C50" i="34"/>
  <c r="O39" i="33"/>
  <c r="E40" i="25"/>
  <c r="C39" i="11"/>
  <c r="L39" i="11" s="1"/>
  <c r="E293" i="25"/>
  <c r="O292" i="33"/>
  <c r="C303" i="34"/>
  <c r="C292" i="11"/>
  <c r="L292" i="11" s="1"/>
  <c r="C30" i="34"/>
  <c r="O19" i="33"/>
  <c r="C19" i="11"/>
  <c r="L19" i="11" s="1"/>
  <c r="E20" i="25"/>
  <c r="E313" i="25"/>
  <c r="C312" i="11"/>
  <c r="L312" i="11" s="1"/>
  <c r="C323" i="34"/>
  <c r="O312" i="33"/>
  <c r="O91" i="33"/>
  <c r="C91" i="11"/>
  <c r="L91" i="11" s="1"/>
  <c r="C102" i="34"/>
  <c r="E92" i="25"/>
  <c r="C208" i="11"/>
  <c r="L208" i="11" s="1"/>
  <c r="C219" i="34"/>
  <c r="E209" i="25"/>
  <c r="O208" i="33"/>
  <c r="E176" i="25"/>
  <c r="C186" i="34"/>
  <c r="O175" i="33"/>
  <c r="C175" i="11"/>
  <c r="L175" i="11" s="1"/>
  <c r="C300" i="34"/>
  <c r="E290" i="25"/>
  <c r="O289" i="33"/>
  <c r="C289" i="11"/>
  <c r="L289" i="11" s="1"/>
  <c r="O128" i="33"/>
  <c r="C139" i="34"/>
  <c r="C128" i="11"/>
  <c r="L128" i="11" s="1"/>
  <c r="E129" i="25"/>
  <c r="C125" i="11"/>
  <c r="L125" i="11" s="1"/>
  <c r="O125" i="33"/>
  <c r="E126" i="25"/>
  <c r="C136" i="34"/>
  <c r="E200" i="25"/>
  <c r="C210" i="34"/>
  <c r="O199" i="33"/>
  <c r="C199" i="11"/>
  <c r="L199" i="11" s="1"/>
  <c r="C23" i="11"/>
  <c r="L23" i="11" s="1"/>
  <c r="O23" i="33"/>
  <c r="E24" i="25"/>
  <c r="C34" i="34"/>
  <c r="E136" i="25"/>
  <c r="O135" i="33"/>
  <c r="C135" i="11"/>
  <c r="L135" i="11" s="1"/>
  <c r="C146" i="34"/>
  <c r="C243" i="34"/>
  <c r="E233" i="25"/>
  <c r="C232" i="11"/>
  <c r="L232" i="11" s="1"/>
  <c r="O232" i="33"/>
  <c r="E102" i="25"/>
  <c r="C101" i="11"/>
  <c r="L101" i="11" s="1"/>
  <c r="O101" i="33"/>
  <c r="C112" i="34"/>
  <c r="E112" i="25"/>
  <c r="O111" i="33"/>
  <c r="C111" i="11"/>
  <c r="L111" i="11" s="1"/>
  <c r="C122" i="34"/>
  <c r="O196" i="33"/>
  <c r="C207" i="34"/>
  <c r="C196" i="11"/>
  <c r="L196" i="11" s="1"/>
  <c r="E197" i="25"/>
  <c r="C223" i="11"/>
  <c r="L223" i="11" s="1"/>
  <c r="C234" i="34"/>
  <c r="E224" i="25"/>
  <c r="O223" i="33"/>
  <c r="C202" i="11"/>
  <c r="L202" i="11" s="1"/>
  <c r="C213" i="34"/>
  <c r="O202" i="33"/>
  <c r="E203" i="25"/>
  <c r="O152" i="33"/>
  <c r="C152" i="11"/>
  <c r="L152" i="11" s="1"/>
  <c r="E153" i="25"/>
  <c r="C163" i="34"/>
  <c r="O239" i="33"/>
  <c r="E240" i="25"/>
  <c r="C250" i="34"/>
  <c r="C239" i="11"/>
  <c r="L239" i="11" s="1"/>
  <c r="E223" i="25"/>
  <c r="O222" i="33"/>
  <c r="C222" i="11"/>
  <c r="L222" i="11" s="1"/>
  <c r="C233" i="34"/>
  <c r="C198" i="11"/>
  <c r="L198" i="11" s="1"/>
  <c r="E199" i="25"/>
  <c r="C209" i="34"/>
  <c r="O198" i="33"/>
  <c r="C124" i="34"/>
  <c r="O113" i="33"/>
  <c r="C113" i="11"/>
  <c r="L113" i="11" s="1"/>
  <c r="E114" i="25"/>
  <c r="C286" i="34"/>
  <c r="O275" i="33"/>
  <c r="E276" i="25"/>
  <c r="C275" i="11"/>
  <c r="L275" i="11" s="1"/>
  <c r="O66" i="33"/>
  <c r="C77" i="34"/>
  <c r="E67" i="25"/>
  <c r="C66" i="11"/>
  <c r="L66" i="11" s="1"/>
  <c r="O255" i="33"/>
  <c r="C266" i="34"/>
  <c r="E256" i="25"/>
  <c r="C255" i="11"/>
  <c r="L255" i="11" s="1"/>
  <c r="E248" i="25"/>
  <c r="O247" i="33"/>
  <c r="C258" i="34"/>
  <c r="C247" i="11"/>
  <c r="L247" i="11" s="1"/>
  <c r="C217" i="34"/>
  <c r="C206" i="11"/>
  <c r="L206" i="11" s="1"/>
  <c r="E207" i="25"/>
  <c r="O206" i="33"/>
  <c r="O27" i="33"/>
  <c r="C38" i="34"/>
  <c r="E28" i="25"/>
  <c r="C27" i="11"/>
  <c r="L27" i="11" s="1"/>
  <c r="O245" i="33"/>
  <c r="C256" i="34"/>
  <c r="E246" i="25"/>
  <c r="C245" i="11"/>
  <c r="L245" i="11" s="1"/>
  <c r="E280" i="25"/>
  <c r="C290" i="34"/>
  <c r="O279" i="33"/>
  <c r="C279" i="11"/>
  <c r="L279" i="11" s="1"/>
  <c r="E211" i="25"/>
  <c r="O210" i="33"/>
  <c r="C210" i="11"/>
  <c r="L210" i="11" s="1"/>
  <c r="C221" i="34"/>
  <c r="E70" i="25"/>
  <c r="C80" i="34"/>
  <c r="C69" i="11"/>
  <c r="L69" i="11" s="1"/>
  <c r="O69" i="33"/>
  <c r="C22" i="34"/>
  <c r="O11" i="33"/>
  <c r="E12" i="25"/>
  <c r="C11" i="11"/>
  <c r="L11" i="11" s="1"/>
  <c r="C272" i="34"/>
  <c r="C261" i="11"/>
  <c r="L261" i="11" s="1"/>
  <c r="O261" i="33"/>
  <c r="E262" i="25"/>
  <c r="E235" i="25"/>
  <c r="C234" i="11"/>
  <c r="L234" i="11" s="1"/>
  <c r="C245" i="34"/>
  <c r="O234" i="33"/>
  <c r="C207" i="11"/>
  <c r="L207" i="11" s="1"/>
  <c r="O207" i="33"/>
  <c r="E208" i="25"/>
  <c r="C218" i="34"/>
  <c r="E258" i="25"/>
  <c r="O257" i="33"/>
  <c r="C257" i="11"/>
  <c r="L257" i="11" s="1"/>
  <c r="C268" i="34"/>
  <c r="C89" i="11"/>
  <c r="L89" i="11" s="1"/>
  <c r="O89" i="33"/>
  <c r="C100" i="34"/>
  <c r="E90" i="25"/>
  <c r="O298" i="33"/>
  <c r="C298" i="11"/>
  <c r="L298" i="11" s="1"/>
  <c r="E299" i="25"/>
  <c r="C309" i="34"/>
  <c r="C173" i="11"/>
  <c r="L173" i="11" s="1"/>
  <c r="O173" i="33"/>
  <c r="C184" i="34"/>
  <c r="E174" i="25"/>
  <c r="E195" i="25"/>
  <c r="C194" i="11"/>
  <c r="L194" i="11" s="1"/>
  <c r="O194" i="33"/>
  <c r="C205" i="34"/>
  <c r="C260" i="11"/>
  <c r="L260" i="11" s="1"/>
  <c r="C271" i="34"/>
  <c r="E261" i="25"/>
  <c r="O260" i="33"/>
  <c r="C204" i="34"/>
  <c r="O193" i="33"/>
  <c r="E194" i="25"/>
  <c r="C193" i="11"/>
  <c r="L193" i="11" s="1"/>
  <c r="O76" i="33"/>
  <c r="E77" i="25"/>
  <c r="C87" i="34"/>
  <c r="C76" i="11"/>
  <c r="L76" i="11" s="1"/>
  <c r="O61" i="33"/>
  <c r="E62" i="25"/>
  <c r="C61" i="11"/>
  <c r="L61" i="11" s="1"/>
  <c r="C72" i="34"/>
  <c r="E268" i="25"/>
  <c r="C267" i="11"/>
  <c r="L267" i="11" s="1"/>
  <c r="O267" i="33"/>
  <c r="C278" i="34"/>
  <c r="C300" i="11"/>
  <c r="L300" i="11" s="1"/>
  <c r="C311" i="34"/>
  <c r="E301" i="25"/>
  <c r="O300" i="33"/>
  <c r="E16" i="25"/>
  <c r="O15" i="33"/>
  <c r="C26" i="34"/>
  <c r="C15" i="11"/>
  <c r="L15" i="11" s="1"/>
  <c r="E154" i="25"/>
  <c r="C153" i="11"/>
  <c r="L153" i="11" s="1"/>
  <c r="O153" i="33"/>
  <c r="C164" i="34"/>
  <c r="O249" i="33"/>
  <c r="C260" i="34"/>
  <c r="E250" i="25"/>
  <c r="C249" i="11"/>
  <c r="L249" i="11" s="1"/>
  <c r="E252" i="25"/>
  <c r="C262" i="34"/>
  <c r="C251" i="11"/>
  <c r="L251" i="11" s="1"/>
  <c r="O251" i="33"/>
  <c r="C307" i="34"/>
  <c r="O296" i="33"/>
  <c r="C296" i="11"/>
  <c r="L296" i="11" s="1"/>
  <c r="E297" i="25"/>
  <c r="O118" i="33"/>
  <c r="E119" i="25"/>
  <c r="C129" i="34"/>
  <c r="C118" i="11"/>
  <c r="L118" i="11" s="1"/>
  <c r="C169" i="11"/>
  <c r="L169" i="11" s="1"/>
  <c r="C180" i="34"/>
  <c r="E170" i="25"/>
  <c r="O169" i="33"/>
  <c r="C178" i="11"/>
  <c r="L178" i="11" s="1"/>
  <c r="O178" i="33"/>
  <c r="E179" i="25"/>
  <c r="C189" i="34"/>
  <c r="O288" i="33"/>
  <c r="C299" i="34"/>
  <c r="E289" i="25"/>
  <c r="C288" i="11"/>
  <c r="L288" i="11" s="1"/>
  <c r="E168" i="25"/>
  <c r="O167" i="33"/>
  <c r="C167" i="11"/>
  <c r="L167" i="11" s="1"/>
  <c r="C178" i="34"/>
  <c r="E291" i="25"/>
  <c r="C301" i="34"/>
  <c r="O290" i="33"/>
  <c r="C290" i="11"/>
  <c r="L290" i="11" s="1"/>
  <c r="C250" i="11"/>
  <c r="L250" i="11" s="1"/>
  <c r="O250" i="33"/>
  <c r="E251" i="25"/>
  <c r="C261" i="34"/>
  <c r="C227" i="34"/>
  <c r="E217" i="25"/>
  <c r="C216" i="11"/>
  <c r="L216" i="11" s="1"/>
  <c r="O216" i="33"/>
  <c r="C114" i="34"/>
  <c r="C103" i="11"/>
  <c r="L103" i="11" s="1"/>
  <c r="E104" i="25"/>
  <c r="O103" i="33"/>
  <c r="C176" i="34"/>
  <c r="O165" i="33"/>
  <c r="C165" i="11"/>
  <c r="L165" i="11" s="1"/>
  <c r="E166" i="25"/>
  <c r="O235" i="33"/>
  <c r="E236" i="25"/>
  <c r="C246" i="34"/>
  <c r="C235" i="11"/>
  <c r="L235" i="11" s="1"/>
  <c r="C191" i="34"/>
  <c r="E181" i="25"/>
  <c r="C180" i="11"/>
  <c r="L180" i="11" s="1"/>
  <c r="O180" i="33"/>
  <c r="C160" i="11"/>
  <c r="L160" i="11" s="1"/>
  <c r="E161" i="25"/>
  <c r="C171" i="34"/>
  <c r="O160" i="33"/>
  <c r="C78" i="34"/>
  <c r="C67" i="11"/>
  <c r="L67" i="11" s="1"/>
  <c r="O67" i="33"/>
  <c r="E68" i="25"/>
  <c r="O287" i="33"/>
  <c r="C287" i="11"/>
  <c r="L287" i="11" s="1"/>
  <c r="C298" i="34"/>
  <c r="E288" i="25"/>
  <c r="O159" i="33"/>
  <c r="C159" i="11"/>
  <c r="L159" i="11" s="1"/>
  <c r="C170" i="34"/>
  <c r="E160" i="25"/>
  <c r="E107" i="25"/>
  <c r="O106" i="33"/>
  <c r="C117" i="34"/>
  <c r="C106" i="11"/>
  <c r="L106" i="11" s="1"/>
  <c r="O7" i="33"/>
  <c r="E8" i="25"/>
  <c r="C18" i="34"/>
  <c r="C7" i="11"/>
  <c r="L7" i="11" s="1"/>
  <c r="C155" i="34"/>
  <c r="C144" i="11"/>
  <c r="L144" i="11" s="1"/>
  <c r="E145" i="25"/>
  <c r="O144" i="33"/>
  <c r="C197" i="34"/>
  <c r="O186" i="33"/>
  <c r="E187" i="25"/>
  <c r="C186" i="11"/>
  <c r="L186" i="11" s="1"/>
  <c r="C166" i="11"/>
  <c r="L166" i="11" s="1"/>
  <c r="O166" i="33"/>
  <c r="E167" i="25"/>
  <c r="C177" i="34"/>
  <c r="C229" i="34"/>
  <c r="O218" i="33"/>
  <c r="E219" i="25"/>
  <c r="C218" i="11"/>
  <c r="L218" i="11" s="1"/>
  <c r="O28" i="33"/>
  <c r="C28" i="11"/>
  <c r="L28" i="11" s="1"/>
  <c r="C39" i="34"/>
  <c r="E29" i="25"/>
  <c r="O220" i="33"/>
  <c r="C231" i="34"/>
  <c r="E221" i="25"/>
  <c r="C220" i="11"/>
  <c r="L220" i="11" s="1"/>
  <c r="C243" i="11"/>
  <c r="L243" i="11" s="1"/>
  <c r="E244" i="25"/>
  <c r="C254" i="34"/>
  <c r="O243" i="33"/>
  <c r="E105" i="25"/>
  <c r="O104" i="33"/>
  <c r="C104" i="11"/>
  <c r="L104" i="11" s="1"/>
  <c r="C115" i="34"/>
  <c r="E287" i="25"/>
  <c r="C286" i="11"/>
  <c r="L286" i="11" s="1"/>
  <c r="C297" i="34"/>
  <c r="O286" i="33"/>
  <c r="C63" i="34"/>
  <c r="E53" i="25"/>
  <c r="O52" i="33"/>
  <c r="C52" i="11"/>
  <c r="L52" i="11" s="1"/>
  <c r="C212" i="11"/>
  <c r="L212" i="11" s="1"/>
  <c r="O212" i="33"/>
  <c r="C223" i="34"/>
  <c r="E213" i="25"/>
  <c r="E83" i="25"/>
  <c r="O82" i="33"/>
  <c r="C93" i="34"/>
  <c r="C82" i="11"/>
  <c r="L82" i="11" s="1"/>
  <c r="C44" i="11"/>
  <c r="L44" i="11" s="1"/>
  <c r="E45" i="25"/>
  <c r="O44" i="33"/>
  <c r="C55" i="34"/>
  <c r="E260" i="25"/>
  <c r="C270" i="34"/>
  <c r="O259" i="33"/>
  <c r="C259" i="11"/>
  <c r="L259" i="11" s="1"/>
  <c r="O92" i="33"/>
  <c r="E93" i="25"/>
  <c r="C92" i="11"/>
  <c r="L92" i="11" s="1"/>
  <c r="C103" i="34"/>
  <c r="C332" i="34" l="1"/>
  <c r="M322" i="49"/>
  <c r="N5" i="33"/>
  <c r="M6" i="49" s="1"/>
  <c r="F16" i="48"/>
  <c r="C321" i="11"/>
  <c r="M323" i="33"/>
  <c r="C6" i="9" s="1"/>
  <c r="C7" i="9" s="1"/>
  <c r="E322" i="25"/>
  <c r="O321" i="33"/>
  <c r="D321" i="37" s="1"/>
  <c r="E327" i="9"/>
  <c r="E329" i="9" s="1"/>
  <c r="M259" i="11"/>
  <c r="H259" i="11"/>
  <c r="I259" i="11" s="1"/>
  <c r="M82" i="11"/>
  <c r="H82" i="11"/>
  <c r="I82" i="11" s="1"/>
  <c r="D82" i="37"/>
  <c r="D212" i="37"/>
  <c r="M52" i="11"/>
  <c r="H52" i="11"/>
  <c r="I52" i="11" s="1"/>
  <c r="D286" i="37"/>
  <c r="H286" i="11"/>
  <c r="I286" i="11" s="1"/>
  <c r="M286" i="11"/>
  <c r="D104" i="37"/>
  <c r="D243" i="37"/>
  <c r="M220" i="11"/>
  <c r="H220" i="11"/>
  <c r="I220" i="11" s="1"/>
  <c r="M28" i="11"/>
  <c r="H28" i="11"/>
  <c r="I28" i="11" s="1"/>
  <c r="H218" i="11"/>
  <c r="I218" i="11" s="1"/>
  <c r="M218" i="11"/>
  <c r="D218" i="37"/>
  <c r="D166" i="37"/>
  <c r="H186" i="11"/>
  <c r="I186" i="11" s="1"/>
  <c r="M186" i="11"/>
  <c r="D186" i="37"/>
  <c r="D144" i="37"/>
  <c r="M144" i="11"/>
  <c r="H144" i="11"/>
  <c r="I144" i="11" s="1"/>
  <c r="H7" i="11"/>
  <c r="I7" i="11" s="1"/>
  <c r="M106" i="11"/>
  <c r="H106" i="11"/>
  <c r="I106" i="11" s="1"/>
  <c r="D106" i="37"/>
  <c r="M159" i="11"/>
  <c r="H159" i="11"/>
  <c r="I159" i="11" s="1"/>
  <c r="H287" i="11"/>
  <c r="I287" i="11" s="1"/>
  <c r="M287" i="11"/>
  <c r="H67" i="11"/>
  <c r="I67" i="11" s="1"/>
  <c r="M67" i="11"/>
  <c r="D160" i="37"/>
  <c r="D180" i="37"/>
  <c r="M235" i="11"/>
  <c r="H235" i="11"/>
  <c r="I235" i="11" s="1"/>
  <c r="D165" i="37"/>
  <c r="D103" i="37"/>
  <c r="M103" i="11"/>
  <c r="H103" i="11"/>
  <c r="I103" i="11" s="1"/>
  <c r="D216" i="37"/>
  <c r="D250" i="37"/>
  <c r="M290" i="11"/>
  <c r="H290" i="11"/>
  <c r="I290" i="11" s="1"/>
  <c r="D167" i="37"/>
  <c r="M288" i="11"/>
  <c r="H288" i="11"/>
  <c r="I288" i="11" s="1"/>
  <c r="D178" i="37"/>
  <c r="D169" i="37"/>
  <c r="M118" i="11"/>
  <c r="H118" i="11"/>
  <c r="I118" i="11" s="1"/>
  <c r="D296" i="37"/>
  <c r="D251" i="37"/>
  <c r="H249" i="11"/>
  <c r="I249" i="11" s="1"/>
  <c r="M249" i="11"/>
  <c r="M153" i="11"/>
  <c r="H153" i="11"/>
  <c r="I153" i="11" s="1"/>
  <c r="H15" i="11"/>
  <c r="I15" i="11" s="1"/>
  <c r="M15" i="11"/>
  <c r="D15" i="37"/>
  <c r="D300" i="37"/>
  <c r="M267" i="11"/>
  <c r="H267" i="11"/>
  <c r="I267" i="11" s="1"/>
  <c r="M76" i="11"/>
  <c r="H76" i="11"/>
  <c r="I76" i="11" s="1"/>
  <c r="H193" i="11"/>
  <c r="I193" i="11" s="1"/>
  <c r="M193" i="11"/>
  <c r="D193" i="37"/>
  <c r="D260" i="37"/>
  <c r="H194" i="11"/>
  <c r="I194" i="11" s="1"/>
  <c r="M194" i="11"/>
  <c r="D173" i="37"/>
  <c r="M298" i="11"/>
  <c r="H298" i="11"/>
  <c r="I298" i="11" s="1"/>
  <c r="D89" i="37"/>
  <c r="D257" i="37"/>
  <c r="D207" i="37"/>
  <c r="D234" i="37"/>
  <c r="M234" i="11"/>
  <c r="H234" i="11"/>
  <c r="I234" i="11" s="1"/>
  <c r="H261" i="11"/>
  <c r="I261" i="11" s="1"/>
  <c r="M261" i="11"/>
  <c r="H11" i="11"/>
  <c r="I11" i="11" s="1"/>
  <c r="M11" i="11"/>
  <c r="D11" i="37"/>
  <c r="D69" i="37"/>
  <c r="D210" i="37"/>
  <c r="H279" i="11"/>
  <c r="I279" i="11" s="1"/>
  <c r="M279" i="11"/>
  <c r="H245" i="11"/>
  <c r="I245" i="11" s="1"/>
  <c r="M245" i="11"/>
  <c r="H27" i="11"/>
  <c r="I27" i="11" s="1"/>
  <c r="M27" i="11"/>
  <c r="D206" i="37"/>
  <c r="H206" i="11"/>
  <c r="I206" i="11" s="1"/>
  <c r="M206" i="11"/>
  <c r="M247" i="11"/>
  <c r="H247" i="11"/>
  <c r="I247" i="11" s="1"/>
  <c r="D247" i="37"/>
  <c r="H255" i="11"/>
  <c r="I255" i="11" s="1"/>
  <c r="M255" i="11"/>
  <c r="M66" i="11"/>
  <c r="H66" i="11"/>
  <c r="I66" i="11" s="1"/>
  <c r="H275" i="11"/>
  <c r="I275" i="11" s="1"/>
  <c r="M275" i="11"/>
  <c r="D275" i="37"/>
  <c r="D113" i="37"/>
  <c r="D198" i="37"/>
  <c r="D222" i="37"/>
  <c r="H239" i="11"/>
  <c r="I239" i="11" s="1"/>
  <c r="M239" i="11"/>
  <c r="M152" i="11"/>
  <c r="H152" i="11"/>
  <c r="I152" i="11" s="1"/>
  <c r="D223" i="37"/>
  <c r="D111" i="37"/>
  <c r="M101" i="11"/>
  <c r="H101" i="11"/>
  <c r="I101" i="11" s="1"/>
  <c r="D232" i="37"/>
  <c r="D135" i="37"/>
  <c r="D23" i="37"/>
  <c r="M199" i="11"/>
  <c r="H199" i="11"/>
  <c r="I199" i="11" s="1"/>
  <c r="M125" i="11"/>
  <c r="H125" i="11"/>
  <c r="I125" i="11" s="1"/>
  <c r="M128" i="11"/>
  <c r="H128" i="11"/>
  <c r="I128" i="11" s="1"/>
  <c r="D128" i="37"/>
  <c r="D289" i="37"/>
  <c r="D175" i="37"/>
  <c r="H208" i="11"/>
  <c r="I208" i="11" s="1"/>
  <c r="M208" i="11"/>
  <c r="D91" i="37"/>
  <c r="H19" i="11"/>
  <c r="I19" i="11" s="1"/>
  <c r="M19" i="11"/>
  <c r="M171" i="11"/>
  <c r="H171" i="11"/>
  <c r="I171" i="11" s="1"/>
  <c r="D171" i="37"/>
  <c r="M47" i="11"/>
  <c r="H47" i="11"/>
  <c r="I47" i="11" s="1"/>
  <c r="H322" i="11"/>
  <c r="I322" i="11" s="1"/>
  <c r="M322" i="11"/>
  <c r="D322" i="37"/>
  <c r="D226" i="37"/>
  <c r="M119" i="11"/>
  <c r="H119" i="11"/>
  <c r="I119" i="11" s="1"/>
  <c r="H132" i="11"/>
  <c r="I132" i="11" s="1"/>
  <c r="M132" i="11"/>
  <c r="D242" i="37"/>
  <c r="H242" i="11"/>
  <c r="I242" i="11" s="1"/>
  <c r="M242" i="11"/>
  <c r="M181" i="11"/>
  <c r="H181" i="11"/>
  <c r="I181" i="11" s="1"/>
  <c r="H130" i="11"/>
  <c r="I130" i="11" s="1"/>
  <c r="M130" i="11"/>
  <c r="D197" i="37"/>
  <c r="D162" i="37"/>
  <c r="H227" i="11"/>
  <c r="I227" i="11" s="1"/>
  <c r="M227" i="11"/>
  <c r="M48" i="11"/>
  <c r="H48" i="11"/>
  <c r="I48" i="11" s="1"/>
  <c r="D254" i="37"/>
  <c r="H203" i="11"/>
  <c r="I203" i="11" s="1"/>
  <c r="M203" i="11"/>
  <c r="M32" i="11"/>
  <c r="H32" i="11"/>
  <c r="I32" i="11" s="1"/>
  <c r="D316" i="37"/>
  <c r="D86" i="37"/>
  <c r="D24" i="37"/>
  <c r="D46" i="37"/>
  <c r="M46" i="11"/>
  <c r="H46" i="11"/>
  <c r="I46" i="11" s="1"/>
  <c r="D308" i="37"/>
  <c r="D285" i="37"/>
  <c r="H77" i="11"/>
  <c r="I77" i="11" s="1"/>
  <c r="M77" i="11"/>
  <c r="D63" i="37"/>
  <c r="D74" i="37"/>
  <c r="D190" i="37"/>
  <c r="M263" i="11"/>
  <c r="H263" i="11"/>
  <c r="I263" i="11" s="1"/>
  <c r="D263" i="37"/>
  <c r="D37" i="37"/>
  <c r="D176" i="37"/>
  <c r="H176" i="11"/>
  <c r="I176" i="11" s="1"/>
  <c r="M176" i="11"/>
  <c r="H145" i="11"/>
  <c r="I145" i="11" s="1"/>
  <c r="M145" i="11"/>
  <c r="D145" i="37"/>
  <c r="D258" i="37"/>
  <c r="D121" i="37"/>
  <c r="D157" i="37"/>
  <c r="H157" i="11"/>
  <c r="I157" i="11" s="1"/>
  <c r="M157" i="11"/>
  <c r="H141" i="11"/>
  <c r="I141" i="11" s="1"/>
  <c r="M141" i="11"/>
  <c r="M59" i="11"/>
  <c r="H59" i="11"/>
  <c r="I59" i="11" s="1"/>
  <c r="D59" i="37"/>
  <c r="H155" i="11"/>
  <c r="I155" i="11" s="1"/>
  <c r="M155" i="11"/>
  <c r="D155" i="37"/>
  <c r="H230" i="11"/>
  <c r="I230" i="11" s="1"/>
  <c r="M230" i="11"/>
  <c r="D158" i="37"/>
  <c r="M158" i="11"/>
  <c r="H158" i="11"/>
  <c r="I158" i="11" s="1"/>
  <c r="H318" i="11"/>
  <c r="I318" i="11" s="1"/>
  <c r="M318" i="11"/>
  <c r="H115" i="11"/>
  <c r="I115" i="11" s="1"/>
  <c r="M115" i="11"/>
  <c r="D115" i="37"/>
  <c r="H320" i="11"/>
  <c r="I320" i="11" s="1"/>
  <c r="M320" i="11"/>
  <c r="D320" i="37"/>
  <c r="M297" i="11"/>
  <c r="H297" i="11"/>
  <c r="I297" i="11" s="1"/>
  <c r="M228" i="11"/>
  <c r="H228" i="11"/>
  <c r="I228" i="11" s="1"/>
  <c r="D224" i="37"/>
  <c r="M98" i="11"/>
  <c r="H98" i="11"/>
  <c r="I98" i="11" s="1"/>
  <c r="D98" i="37"/>
  <c r="H14" i="11"/>
  <c r="I14" i="11" s="1"/>
  <c r="M14" i="11"/>
  <c r="D14" i="37"/>
  <c r="H305" i="11"/>
  <c r="I305" i="11" s="1"/>
  <c r="M305" i="11"/>
  <c r="H187" i="11"/>
  <c r="I187" i="11" s="1"/>
  <c r="M187" i="11"/>
  <c r="D70" i="37"/>
  <c r="H70" i="11"/>
  <c r="I70" i="11" s="1"/>
  <c r="M70" i="11"/>
  <c r="H129" i="11"/>
  <c r="I129" i="11" s="1"/>
  <c r="M129" i="11"/>
  <c r="D313" i="37"/>
  <c r="D12" i="37"/>
  <c r="M12" i="11"/>
  <c r="H12" i="11"/>
  <c r="I12" i="11" s="1"/>
  <c r="D55" i="37"/>
  <c r="D148" i="37"/>
  <c r="D9" i="37"/>
  <c r="M9" i="11"/>
  <c r="H9" i="11"/>
  <c r="I9" i="11" s="1"/>
  <c r="D53" i="37"/>
  <c r="D8" i="37"/>
  <c r="D213" i="37"/>
  <c r="D114" i="37"/>
  <c r="D21" i="37"/>
  <c r="H96" i="11"/>
  <c r="I96" i="11" s="1"/>
  <c r="M96" i="11"/>
  <c r="M40" i="11"/>
  <c r="H40" i="11"/>
  <c r="I40" i="11" s="1"/>
  <c r="D138" i="37"/>
  <c r="M164" i="11"/>
  <c r="H164" i="11"/>
  <c r="I164" i="11" s="1"/>
  <c r="D31" i="37"/>
  <c r="M244" i="11"/>
  <c r="H244" i="11"/>
  <c r="I244" i="11" s="1"/>
  <c r="D16" i="37"/>
  <c r="D256" i="37"/>
  <c r="D26" i="37"/>
  <c r="D221" i="37"/>
  <c r="D29" i="37"/>
  <c r="D174" i="37"/>
  <c r="H68" i="11"/>
  <c r="I68" i="11" s="1"/>
  <c r="M68" i="11"/>
  <c r="H188" i="11"/>
  <c r="I188" i="11" s="1"/>
  <c r="M188" i="11"/>
  <c r="H217" i="11"/>
  <c r="I217" i="11" s="1"/>
  <c r="M217" i="11"/>
  <c r="D150" i="37"/>
  <c r="D214" i="37"/>
  <c r="M268" i="11"/>
  <c r="H268" i="11"/>
  <c r="I268" i="11" s="1"/>
  <c r="D185" i="37"/>
  <c r="M241" i="11"/>
  <c r="H241" i="11"/>
  <c r="I241" i="11" s="1"/>
  <c r="D253" i="37"/>
  <c r="H280" i="11"/>
  <c r="I280" i="11" s="1"/>
  <c r="M280" i="11"/>
  <c r="D109" i="37"/>
  <c r="D105" i="37"/>
  <c r="M42" i="11"/>
  <c r="H42" i="11"/>
  <c r="I42" i="11" s="1"/>
  <c r="D201" i="37"/>
  <c r="D182" i="37"/>
  <c r="D99" i="37"/>
  <c r="D6" i="37"/>
  <c r="D310" i="37"/>
  <c r="D60" i="37"/>
  <c r="D71" i="37"/>
  <c r="D95" i="37"/>
  <c r="H284" i="11"/>
  <c r="I284" i="11" s="1"/>
  <c r="M284" i="11"/>
  <c r="D314" i="37"/>
  <c r="D18" i="37"/>
  <c r="H301" i="11"/>
  <c r="I301" i="11" s="1"/>
  <c r="M301" i="11"/>
  <c r="D301" i="37"/>
  <c r="D45" i="37"/>
  <c r="H291" i="11"/>
  <c r="I291" i="11" s="1"/>
  <c r="M291" i="11"/>
  <c r="M94" i="11"/>
  <c r="H94" i="11"/>
  <c r="I94" i="11" s="1"/>
  <c r="D140" i="37"/>
  <c r="M22" i="11"/>
  <c r="H22" i="11"/>
  <c r="I22" i="11" s="1"/>
  <c r="D189" i="37"/>
  <c r="D264" i="37"/>
  <c r="D315" i="37"/>
  <c r="H154" i="11"/>
  <c r="I154" i="11" s="1"/>
  <c r="M154" i="11"/>
  <c r="D13" i="37"/>
  <c r="D262" i="37"/>
  <c r="D102" i="37"/>
  <c r="D219" i="37"/>
  <c r="D229" i="37"/>
  <c r="H229" i="11"/>
  <c r="I229" i="11" s="1"/>
  <c r="M229" i="11"/>
  <c r="D78" i="37"/>
  <c r="D161" i="37"/>
  <c r="H272" i="11"/>
  <c r="I272" i="11" s="1"/>
  <c r="M272" i="11"/>
  <c r="D272" i="37"/>
  <c r="M90" i="11"/>
  <c r="H90" i="11"/>
  <c r="I90" i="11" s="1"/>
  <c r="H282" i="11"/>
  <c r="I282" i="11" s="1"/>
  <c r="M282" i="11"/>
  <c r="H209" i="11"/>
  <c r="I209" i="11" s="1"/>
  <c r="M209" i="11"/>
  <c r="H58" i="11"/>
  <c r="I58" i="11" s="1"/>
  <c r="M58" i="11"/>
  <c r="M309" i="11"/>
  <c r="H309" i="11"/>
  <c r="I309" i="11" s="1"/>
  <c r="D131" i="37"/>
  <c r="H143" i="11"/>
  <c r="I143" i="11" s="1"/>
  <c r="M143" i="11"/>
  <c r="M163" i="11"/>
  <c r="H163" i="11"/>
  <c r="I163" i="11" s="1"/>
  <c r="M269" i="11"/>
  <c r="H269" i="11"/>
  <c r="I269" i="11" s="1"/>
  <c r="M83" i="11"/>
  <c r="H83" i="11"/>
  <c r="I83" i="11" s="1"/>
  <c r="D73" i="37"/>
  <c r="M112" i="11"/>
  <c r="H112" i="11"/>
  <c r="I112" i="11" s="1"/>
  <c r="D274" i="37"/>
  <c r="H274" i="11"/>
  <c r="I274" i="11" s="1"/>
  <c r="M274" i="11"/>
  <c r="D192" i="37"/>
  <c r="M93" i="11"/>
  <c r="H93" i="11"/>
  <c r="I93" i="11" s="1"/>
  <c r="D93" i="37"/>
  <c r="M240" i="11"/>
  <c r="H240" i="11"/>
  <c r="I240" i="11" s="1"/>
  <c r="D270" i="37"/>
  <c r="D168" i="37"/>
  <c r="M215" i="11"/>
  <c r="H215" i="11"/>
  <c r="I215" i="11" s="1"/>
  <c r="D215" i="37"/>
  <c r="D266" i="37"/>
  <c r="D276" i="37"/>
  <c r="H81" i="11"/>
  <c r="I81" i="11" s="1"/>
  <c r="M81" i="11"/>
  <c r="D81" i="37"/>
  <c r="M97" i="11"/>
  <c r="H97" i="11"/>
  <c r="I97" i="11" s="1"/>
  <c r="M84" i="11"/>
  <c r="H84" i="11"/>
  <c r="I84" i="11" s="1"/>
  <c r="D57" i="37"/>
  <c r="H79" i="11"/>
  <c r="I79" i="11" s="1"/>
  <c r="M79" i="11"/>
  <c r="H41" i="11"/>
  <c r="I41" i="11" s="1"/>
  <c r="M41" i="11"/>
  <c r="H123" i="11"/>
  <c r="I123" i="11" s="1"/>
  <c r="M123" i="11"/>
  <c r="M30" i="11"/>
  <c r="H30" i="11"/>
  <c r="I30" i="11" s="1"/>
  <c r="D30" i="37"/>
  <c r="D319" i="37"/>
  <c r="D179" i="37"/>
  <c r="M204" i="11"/>
  <c r="H204" i="11"/>
  <c r="I204" i="11" s="1"/>
  <c r="D33" i="37"/>
  <c r="H33" i="11"/>
  <c r="I33" i="11" s="1"/>
  <c r="M33" i="11"/>
  <c r="D122" i="37"/>
  <c r="H306" i="11"/>
  <c r="I306" i="11" s="1"/>
  <c r="M306" i="11"/>
  <c r="D304" i="37"/>
  <c r="H108" i="11"/>
  <c r="I108" i="11" s="1"/>
  <c r="M108" i="11"/>
  <c r="D116" i="37"/>
  <c r="D271" i="37"/>
  <c r="H271" i="11"/>
  <c r="I271" i="11" s="1"/>
  <c r="M271" i="11"/>
  <c r="M20" i="11"/>
  <c r="H20" i="11"/>
  <c r="I20" i="11" s="1"/>
  <c r="M293" i="11"/>
  <c r="H293" i="11"/>
  <c r="I293" i="11" s="1"/>
  <c r="H205" i="11"/>
  <c r="I205" i="11" s="1"/>
  <c r="M205" i="11"/>
  <c r="D64" i="37"/>
  <c r="H72" i="11"/>
  <c r="I72" i="11" s="1"/>
  <c r="M72" i="11"/>
  <c r="M124" i="11"/>
  <c r="H124" i="11"/>
  <c r="I124" i="11" s="1"/>
  <c r="D124" i="37"/>
  <c r="D80" i="37"/>
  <c r="H299" i="11"/>
  <c r="I299" i="11" s="1"/>
  <c r="M299" i="11"/>
  <c r="H49" i="11"/>
  <c r="I49" i="11" s="1"/>
  <c r="M49" i="11"/>
  <c r="D283" i="37"/>
  <c r="H283" i="11"/>
  <c r="I283" i="11" s="1"/>
  <c r="M283" i="11"/>
  <c r="H88" i="11"/>
  <c r="I88" i="11" s="1"/>
  <c r="M88" i="11"/>
  <c r="D177" i="37"/>
  <c r="D302" i="37"/>
  <c r="D191" i="37"/>
  <c r="H278" i="11"/>
  <c r="I278" i="11" s="1"/>
  <c r="M278" i="11"/>
  <c r="D117" i="37"/>
  <c r="H237" i="11"/>
  <c r="I237" i="11" s="1"/>
  <c r="M237" i="11"/>
  <c r="D237" i="37"/>
  <c r="M35" i="11"/>
  <c r="H35" i="11"/>
  <c r="I35" i="11" s="1"/>
  <c r="D295" i="37"/>
  <c r="D85" i="37"/>
  <c r="H85" i="11"/>
  <c r="I85" i="11" s="1"/>
  <c r="M85" i="11"/>
  <c r="D303" i="37"/>
  <c r="M281" i="11"/>
  <c r="H281" i="11"/>
  <c r="I281" i="11" s="1"/>
  <c r="M50" i="11"/>
  <c r="H50" i="11"/>
  <c r="I50" i="11" s="1"/>
  <c r="D50" i="37"/>
  <c r="M133" i="11"/>
  <c r="H133" i="11"/>
  <c r="I133" i="11" s="1"/>
  <c r="D133" i="37"/>
  <c r="H36" i="11"/>
  <c r="I36" i="11" s="1"/>
  <c r="M36" i="11"/>
  <c r="M126" i="11"/>
  <c r="H126" i="11"/>
  <c r="I126" i="11" s="1"/>
  <c r="D120" i="37"/>
  <c r="H120" i="11"/>
  <c r="I120" i="11" s="1"/>
  <c r="M120" i="11"/>
  <c r="H248" i="11"/>
  <c r="I248" i="11" s="1"/>
  <c r="M248" i="11"/>
  <c r="H75" i="11"/>
  <c r="I75" i="11" s="1"/>
  <c r="M75" i="11"/>
  <c r="D151" i="37"/>
  <c r="D142" i="37"/>
  <c r="D149" i="37"/>
  <c r="H149" i="11"/>
  <c r="I149" i="11" s="1"/>
  <c r="M149" i="11"/>
  <c r="D100" i="37"/>
  <c r="H100" i="11"/>
  <c r="I100" i="11" s="1"/>
  <c r="M100" i="11"/>
  <c r="H87" i="11"/>
  <c r="I87" i="11" s="1"/>
  <c r="M87" i="11"/>
  <c r="H233" i="11"/>
  <c r="I233" i="11" s="1"/>
  <c r="M233" i="11"/>
  <c r="D65" i="37"/>
  <c r="H92" i="11"/>
  <c r="I92" i="11" s="1"/>
  <c r="M92" i="11"/>
  <c r="D92" i="37"/>
  <c r="D259" i="37"/>
  <c r="D44" i="37"/>
  <c r="M44" i="11"/>
  <c r="H44" i="11"/>
  <c r="I44" i="11" s="1"/>
  <c r="H212" i="11"/>
  <c r="I212" i="11" s="1"/>
  <c r="M212" i="11"/>
  <c r="D52" i="37"/>
  <c r="H104" i="11"/>
  <c r="I104" i="11" s="1"/>
  <c r="M104" i="11"/>
  <c r="H243" i="11"/>
  <c r="I243" i="11" s="1"/>
  <c r="M243" i="11"/>
  <c r="D220" i="37"/>
  <c r="D28" i="37"/>
  <c r="H166" i="11"/>
  <c r="I166" i="11" s="1"/>
  <c r="M166" i="11"/>
  <c r="D7" i="37"/>
  <c r="D159" i="37"/>
  <c r="D287" i="37"/>
  <c r="D67" i="37"/>
  <c r="M160" i="11"/>
  <c r="H160" i="11"/>
  <c r="I160" i="11" s="1"/>
  <c r="M180" i="11"/>
  <c r="H180" i="11"/>
  <c r="I180" i="11" s="1"/>
  <c r="D235" i="37"/>
  <c r="H165" i="11"/>
  <c r="I165" i="11" s="1"/>
  <c r="M165" i="11"/>
  <c r="M216" i="11"/>
  <c r="H216" i="11"/>
  <c r="I216" i="11" s="1"/>
  <c r="M250" i="11"/>
  <c r="H250" i="11"/>
  <c r="I250" i="11" s="1"/>
  <c r="D290" i="37"/>
  <c r="M167" i="11"/>
  <c r="H167" i="11"/>
  <c r="I167" i="11" s="1"/>
  <c r="D288" i="37"/>
  <c r="M178" i="11"/>
  <c r="H178" i="11"/>
  <c r="I178" i="11" s="1"/>
  <c r="M169" i="11"/>
  <c r="H169" i="11"/>
  <c r="I169" i="11" s="1"/>
  <c r="D118" i="37"/>
  <c r="H296" i="11"/>
  <c r="I296" i="11" s="1"/>
  <c r="M296" i="11"/>
  <c r="M251" i="11"/>
  <c r="H251" i="11"/>
  <c r="I251" i="11" s="1"/>
  <c r="D249" i="37"/>
  <c r="D153" i="37"/>
  <c r="H300" i="11"/>
  <c r="I300" i="11" s="1"/>
  <c r="M300" i="11"/>
  <c r="D267" i="37"/>
  <c r="H61" i="11"/>
  <c r="I61" i="11" s="1"/>
  <c r="M61" i="11"/>
  <c r="D61" i="37"/>
  <c r="D76" i="37"/>
  <c r="H260" i="11"/>
  <c r="I260" i="11" s="1"/>
  <c r="M260" i="11"/>
  <c r="D194" i="37"/>
  <c r="H173" i="11"/>
  <c r="I173" i="11" s="1"/>
  <c r="M173" i="11"/>
  <c r="D298" i="37"/>
  <c r="M89" i="11"/>
  <c r="H89" i="11"/>
  <c r="I89" i="11" s="1"/>
  <c r="H257" i="11"/>
  <c r="I257" i="11" s="1"/>
  <c r="M257" i="11"/>
  <c r="H207" i="11"/>
  <c r="I207" i="11" s="1"/>
  <c r="M207" i="11"/>
  <c r="D261" i="37"/>
  <c r="M69" i="11"/>
  <c r="H69" i="11"/>
  <c r="I69" i="11" s="1"/>
  <c r="H210" i="11"/>
  <c r="I210" i="11" s="1"/>
  <c r="M210" i="11"/>
  <c r="D279" i="37"/>
  <c r="D245" i="37"/>
  <c r="D27" i="37"/>
  <c r="D255" i="37"/>
  <c r="D66" i="37"/>
  <c r="H113" i="11"/>
  <c r="I113" i="11" s="1"/>
  <c r="M113" i="11"/>
  <c r="M198" i="11"/>
  <c r="H198" i="11"/>
  <c r="I198" i="11" s="1"/>
  <c r="M222" i="11"/>
  <c r="H222" i="11"/>
  <c r="I222" i="11" s="1"/>
  <c r="D239" i="37"/>
  <c r="D152" i="37"/>
  <c r="D202" i="37"/>
  <c r="H202" i="11"/>
  <c r="I202" i="11" s="1"/>
  <c r="M202" i="11"/>
  <c r="H223" i="11"/>
  <c r="I223" i="11" s="1"/>
  <c r="M223" i="11"/>
  <c r="H196" i="11"/>
  <c r="I196" i="11" s="1"/>
  <c r="M196" i="11"/>
  <c r="D196" i="37"/>
  <c r="M111" i="11"/>
  <c r="H111" i="11"/>
  <c r="I111" i="11" s="1"/>
  <c r="D101" i="37"/>
  <c r="M232" i="11"/>
  <c r="H232" i="11"/>
  <c r="I232" i="11" s="1"/>
  <c r="H135" i="11"/>
  <c r="I135" i="11" s="1"/>
  <c r="M135" i="11"/>
  <c r="M23" i="11"/>
  <c r="H23" i="11"/>
  <c r="I23" i="11" s="1"/>
  <c r="D199" i="37"/>
  <c r="D125" i="37"/>
  <c r="H289" i="11"/>
  <c r="I289" i="11" s="1"/>
  <c r="M289" i="11"/>
  <c r="H175" i="11"/>
  <c r="I175" i="11" s="1"/>
  <c r="M175" i="11"/>
  <c r="D208" i="37"/>
  <c r="H91" i="11"/>
  <c r="I91" i="11" s="1"/>
  <c r="M91" i="11"/>
  <c r="D312" i="37"/>
  <c r="M312" i="11"/>
  <c r="H312" i="11"/>
  <c r="I312" i="11" s="1"/>
  <c r="D19" i="37"/>
  <c r="M292" i="11"/>
  <c r="H292" i="11"/>
  <c r="I292" i="11" s="1"/>
  <c r="D292" i="37"/>
  <c r="H39" i="11"/>
  <c r="I39" i="11" s="1"/>
  <c r="M39" i="11"/>
  <c r="D39" i="37"/>
  <c r="D47" i="37"/>
  <c r="M38" i="11"/>
  <c r="H38" i="11"/>
  <c r="I38" i="11" s="1"/>
  <c r="D38" i="37"/>
  <c r="M226" i="11"/>
  <c r="H226" i="11"/>
  <c r="I226" i="11" s="1"/>
  <c r="D119" i="37"/>
  <c r="D132" i="37"/>
  <c r="D170" i="37"/>
  <c r="M170" i="11"/>
  <c r="H170" i="11"/>
  <c r="I170" i="11" s="1"/>
  <c r="D181" i="37"/>
  <c r="D130" i="37"/>
  <c r="H197" i="11"/>
  <c r="I197" i="11" s="1"/>
  <c r="M197" i="11"/>
  <c r="M162" i="11"/>
  <c r="H162" i="11"/>
  <c r="I162" i="11" s="1"/>
  <c r="M51" i="11"/>
  <c r="H51" i="11"/>
  <c r="I51" i="11" s="1"/>
  <c r="D51" i="37"/>
  <c r="D227" i="37"/>
  <c r="D25" i="37"/>
  <c r="M25" i="11"/>
  <c r="H25" i="11"/>
  <c r="I25" i="11" s="1"/>
  <c r="D48" i="37"/>
  <c r="H254" i="11"/>
  <c r="I254" i="11" s="1"/>
  <c r="M254" i="11"/>
  <c r="D203" i="37"/>
  <c r="D32" i="37"/>
  <c r="M316" i="11"/>
  <c r="H316" i="11"/>
  <c r="I316" i="11" s="1"/>
  <c r="H146" i="11"/>
  <c r="I146" i="11" s="1"/>
  <c r="M146" i="11"/>
  <c r="D146" i="37"/>
  <c r="H86" i="11"/>
  <c r="I86" i="11" s="1"/>
  <c r="M86" i="11"/>
  <c r="H24" i="11"/>
  <c r="I24" i="11" s="1"/>
  <c r="M24" i="11"/>
  <c r="M308" i="11"/>
  <c r="H308" i="11"/>
  <c r="I308" i="11" s="1"/>
  <c r="M285" i="11"/>
  <c r="H285" i="11"/>
  <c r="I285" i="11" s="1"/>
  <c r="D77" i="37"/>
  <c r="H63" i="11"/>
  <c r="I63" i="11" s="1"/>
  <c r="M63" i="11"/>
  <c r="M74" i="11"/>
  <c r="H74" i="11"/>
  <c r="I74" i="11" s="1"/>
  <c r="D231" i="37"/>
  <c r="H231" i="11"/>
  <c r="I231" i="11" s="1"/>
  <c r="M231" i="11"/>
  <c r="M190" i="11"/>
  <c r="H190" i="11"/>
  <c r="I190" i="11" s="1"/>
  <c r="H37" i="11"/>
  <c r="I37" i="11" s="1"/>
  <c r="M37" i="11"/>
  <c r="H258" i="11"/>
  <c r="I258" i="11" s="1"/>
  <c r="M258" i="11"/>
  <c r="M110" i="11"/>
  <c r="H110" i="11"/>
  <c r="I110" i="11" s="1"/>
  <c r="D110" i="37"/>
  <c r="H121" i="11"/>
  <c r="I121" i="11" s="1"/>
  <c r="M121" i="11"/>
  <c r="D141" i="37"/>
  <c r="M107" i="11"/>
  <c r="H107" i="11"/>
  <c r="I107" i="11" s="1"/>
  <c r="D107" i="37"/>
  <c r="M147" i="11"/>
  <c r="H147" i="11"/>
  <c r="I147" i="11" s="1"/>
  <c r="D147" i="37"/>
  <c r="D230" i="37"/>
  <c r="D318" i="37"/>
  <c r="H127" i="11"/>
  <c r="I127" i="11" s="1"/>
  <c r="M127" i="11"/>
  <c r="D127" i="37"/>
  <c r="D297" i="37"/>
  <c r="D228" i="37"/>
  <c r="H224" i="11"/>
  <c r="I224" i="11" s="1"/>
  <c r="M224" i="11"/>
  <c r="H183" i="11"/>
  <c r="I183" i="11" s="1"/>
  <c r="M183" i="11"/>
  <c r="D183" i="37"/>
  <c r="H10" i="11"/>
  <c r="I10" i="11" s="1"/>
  <c r="M10" i="11"/>
  <c r="D10" i="37"/>
  <c r="D305" i="37"/>
  <c r="D187" i="37"/>
  <c r="D129" i="37"/>
  <c r="H313" i="11"/>
  <c r="I313" i="11" s="1"/>
  <c r="M313" i="11"/>
  <c r="D156" i="37"/>
  <c r="H156" i="11"/>
  <c r="I156" i="11" s="1"/>
  <c r="M156" i="11"/>
  <c r="D62" i="37"/>
  <c r="M62" i="11"/>
  <c r="H62" i="11"/>
  <c r="I62" i="11" s="1"/>
  <c r="M55" i="11"/>
  <c r="H55" i="11"/>
  <c r="I55" i="11" s="1"/>
  <c r="H148" i="11"/>
  <c r="I148" i="11" s="1"/>
  <c r="M148" i="11"/>
  <c r="H53" i="11"/>
  <c r="I53" i="11" s="1"/>
  <c r="M53" i="11"/>
  <c r="H8" i="11"/>
  <c r="I8" i="11" s="1"/>
  <c r="M8" i="11"/>
  <c r="M213" i="11"/>
  <c r="H213" i="11"/>
  <c r="I213" i="11" s="1"/>
  <c r="H43" i="11"/>
  <c r="I43" i="11" s="1"/>
  <c r="M43" i="11"/>
  <c r="D43" i="37"/>
  <c r="M114" i="11"/>
  <c r="H114" i="11"/>
  <c r="I114" i="11" s="1"/>
  <c r="H311" i="11"/>
  <c r="I311" i="11" s="1"/>
  <c r="M311" i="11"/>
  <c r="D311" i="37"/>
  <c r="M21" i="11"/>
  <c r="H21" i="11"/>
  <c r="I21" i="11" s="1"/>
  <c r="H56" i="11"/>
  <c r="I56" i="11" s="1"/>
  <c r="M56" i="11"/>
  <c r="D56" i="37"/>
  <c r="D96" i="37"/>
  <c r="D40" i="37"/>
  <c r="H138" i="11"/>
  <c r="I138" i="11" s="1"/>
  <c r="M138" i="11"/>
  <c r="D164" i="37"/>
  <c r="H31" i="11"/>
  <c r="I31" i="11" s="1"/>
  <c r="M31" i="11"/>
  <c r="D244" i="37"/>
  <c r="M16" i="11"/>
  <c r="H16" i="11"/>
  <c r="I16" i="11" s="1"/>
  <c r="H256" i="11"/>
  <c r="I256" i="11" s="1"/>
  <c r="M256" i="11"/>
  <c r="H26" i="11"/>
  <c r="I26" i="11" s="1"/>
  <c r="M26" i="11"/>
  <c r="M221" i="11"/>
  <c r="H221" i="11"/>
  <c r="I221" i="11" s="1"/>
  <c r="M29" i="11"/>
  <c r="H29" i="11"/>
  <c r="I29" i="11" s="1"/>
  <c r="H265" i="11"/>
  <c r="I265" i="11" s="1"/>
  <c r="M265" i="11"/>
  <c r="D265" i="37"/>
  <c r="H174" i="11"/>
  <c r="I174" i="11" s="1"/>
  <c r="M174" i="11"/>
  <c r="D68" i="37"/>
  <c r="D188" i="37"/>
  <c r="D217" i="37"/>
  <c r="M150" i="11"/>
  <c r="H150" i="11"/>
  <c r="I150" i="11" s="1"/>
  <c r="H214" i="11"/>
  <c r="I214" i="11" s="1"/>
  <c r="M214" i="11"/>
  <c r="D268" i="37"/>
  <c r="M185" i="11"/>
  <c r="H185" i="11"/>
  <c r="I185" i="11" s="1"/>
  <c r="D241" i="37"/>
  <c r="H253" i="11"/>
  <c r="I253" i="11" s="1"/>
  <c r="M253" i="11"/>
  <c r="M139" i="11"/>
  <c r="H139" i="11"/>
  <c r="I139" i="11" s="1"/>
  <c r="D139" i="37"/>
  <c r="D280" i="37"/>
  <c r="H109" i="11"/>
  <c r="I109" i="11" s="1"/>
  <c r="M109" i="11"/>
  <c r="M105" i="11"/>
  <c r="H105" i="11"/>
  <c r="I105" i="11" s="1"/>
  <c r="D42" i="37"/>
  <c r="M201" i="11"/>
  <c r="H201" i="11"/>
  <c r="I201" i="11" s="1"/>
  <c r="H182" i="11"/>
  <c r="I182" i="11" s="1"/>
  <c r="M182" i="11"/>
  <c r="H99" i="11"/>
  <c r="I99" i="11" s="1"/>
  <c r="M99" i="11"/>
  <c r="H6" i="11"/>
  <c r="I6" i="11" s="1"/>
  <c r="M6" i="11"/>
  <c r="M310" i="11"/>
  <c r="H310" i="11"/>
  <c r="I310" i="11" s="1"/>
  <c r="H60" i="11"/>
  <c r="I60" i="11" s="1"/>
  <c r="M60" i="11"/>
  <c r="M71" i="11"/>
  <c r="H71" i="11"/>
  <c r="I71" i="11" s="1"/>
  <c r="H95" i="11"/>
  <c r="I95" i="11" s="1"/>
  <c r="M95" i="11"/>
  <c r="M195" i="11"/>
  <c r="H195" i="11"/>
  <c r="I195" i="11" s="1"/>
  <c r="D195" i="37"/>
  <c r="D284" i="37"/>
  <c r="H314" i="11"/>
  <c r="I314" i="11" s="1"/>
  <c r="M314" i="11"/>
  <c r="M18" i="11"/>
  <c r="H18" i="11"/>
  <c r="I18" i="11" s="1"/>
  <c r="M200" i="11"/>
  <c r="H200" i="11"/>
  <c r="I200" i="11" s="1"/>
  <c r="D200" i="37"/>
  <c r="M45" i="11"/>
  <c r="H45" i="11"/>
  <c r="I45" i="11" s="1"/>
  <c r="D291" i="37"/>
  <c r="D94" i="37"/>
  <c r="H211" i="11"/>
  <c r="I211" i="11" s="1"/>
  <c r="M211" i="11"/>
  <c r="D211" i="37"/>
  <c r="H140" i="11"/>
  <c r="I140" i="11" s="1"/>
  <c r="M140" i="11"/>
  <c r="D22" i="37"/>
  <c r="H189" i="11"/>
  <c r="I189" i="11" s="1"/>
  <c r="M189" i="11"/>
  <c r="H264" i="11"/>
  <c r="I264" i="11" s="1"/>
  <c r="M264" i="11"/>
  <c r="H54" i="11"/>
  <c r="I54" i="11" s="1"/>
  <c r="M54" i="11"/>
  <c r="D54" i="37"/>
  <c r="M315" i="11"/>
  <c r="H315" i="11"/>
  <c r="I315" i="11" s="1"/>
  <c r="H317" i="11"/>
  <c r="I317" i="11" s="1"/>
  <c r="M317" i="11"/>
  <c r="D317" i="37"/>
  <c r="M172" i="11"/>
  <c r="H172" i="11"/>
  <c r="I172" i="11" s="1"/>
  <c r="D172" i="37"/>
  <c r="D154" i="37"/>
  <c r="M13" i="11"/>
  <c r="H13" i="11"/>
  <c r="I13" i="11" s="1"/>
  <c r="M262" i="11"/>
  <c r="H262" i="11"/>
  <c r="I262" i="11" s="1"/>
  <c r="H102" i="11"/>
  <c r="I102" i="11" s="1"/>
  <c r="M102" i="11"/>
  <c r="H238" i="11"/>
  <c r="I238" i="11" s="1"/>
  <c r="M238" i="11"/>
  <c r="D238" i="37"/>
  <c r="M219" i="11"/>
  <c r="H219" i="11"/>
  <c r="I219" i="11" s="1"/>
  <c r="M78" i="11"/>
  <c r="H78" i="11"/>
  <c r="I78" i="11" s="1"/>
  <c r="H161" i="11"/>
  <c r="I161" i="11" s="1"/>
  <c r="M161" i="11"/>
  <c r="D90" i="37"/>
  <c r="D282" i="37"/>
  <c r="D209" i="37"/>
  <c r="D58" i="37"/>
  <c r="D309" i="37"/>
  <c r="H131" i="11"/>
  <c r="I131" i="11" s="1"/>
  <c r="M131" i="11"/>
  <c r="D143" i="37"/>
  <c r="D163" i="37"/>
  <c r="D269" i="37"/>
  <c r="D83" i="37"/>
  <c r="H73" i="11"/>
  <c r="I73" i="11" s="1"/>
  <c r="M73" i="11"/>
  <c r="D112" i="37"/>
  <c r="M192" i="11"/>
  <c r="H192" i="11"/>
  <c r="I192" i="11" s="1"/>
  <c r="D240" i="37"/>
  <c r="M270" i="11"/>
  <c r="H270" i="11"/>
  <c r="I270" i="11" s="1"/>
  <c r="H168" i="11"/>
  <c r="I168" i="11" s="1"/>
  <c r="M168" i="11"/>
  <c r="D34" i="37"/>
  <c r="M34" i="11"/>
  <c r="H34" i="11"/>
  <c r="I34" i="11" s="1"/>
  <c r="M184" i="11"/>
  <c r="H184" i="11"/>
  <c r="I184" i="11" s="1"/>
  <c r="D184" i="37"/>
  <c r="H266" i="11"/>
  <c r="I266" i="11" s="1"/>
  <c r="M266" i="11"/>
  <c r="H276" i="11"/>
  <c r="I276" i="11" s="1"/>
  <c r="M276" i="11"/>
  <c r="D97" i="37"/>
  <c r="D84" i="37"/>
  <c r="M57" i="11"/>
  <c r="H57" i="11"/>
  <c r="I57" i="11" s="1"/>
  <c r="D79" i="37"/>
  <c r="D41" i="37"/>
  <c r="D123" i="37"/>
  <c r="M319" i="11"/>
  <c r="H319" i="11"/>
  <c r="I319" i="11" s="1"/>
  <c r="M179" i="11"/>
  <c r="H179" i="11"/>
  <c r="I179" i="11" s="1"/>
  <c r="D204" i="37"/>
  <c r="H122" i="11"/>
  <c r="I122" i="11" s="1"/>
  <c r="M122" i="11"/>
  <c r="D306" i="37"/>
  <c r="H304" i="11"/>
  <c r="I304" i="11" s="1"/>
  <c r="M304" i="11"/>
  <c r="D108" i="37"/>
  <c r="M116" i="11"/>
  <c r="H116" i="11"/>
  <c r="I116" i="11" s="1"/>
  <c r="D20" i="37"/>
  <c r="D293" i="37"/>
  <c r="M17" i="11"/>
  <c r="H17" i="11"/>
  <c r="I17" i="11" s="1"/>
  <c r="D17" i="37"/>
  <c r="D205" i="37"/>
  <c r="M64" i="11"/>
  <c r="H64" i="11"/>
  <c r="I64" i="11" s="1"/>
  <c r="D72" i="37"/>
  <c r="M273" i="11"/>
  <c r="H273" i="11"/>
  <c r="I273" i="11" s="1"/>
  <c r="D273" i="37"/>
  <c r="M236" i="11"/>
  <c r="H236" i="11"/>
  <c r="I236" i="11" s="1"/>
  <c r="D236" i="37"/>
  <c r="H277" i="11"/>
  <c r="I277" i="11" s="1"/>
  <c r="M277" i="11"/>
  <c r="D277" i="37"/>
  <c r="M80" i="11"/>
  <c r="H80" i="11"/>
  <c r="I80" i="11" s="1"/>
  <c r="D299" i="37"/>
  <c r="D49" i="37"/>
  <c r="M307" i="11"/>
  <c r="H307" i="11"/>
  <c r="I307" i="11" s="1"/>
  <c r="D307" i="37"/>
  <c r="D246" i="37"/>
  <c r="M246" i="11"/>
  <c r="H246" i="11"/>
  <c r="I246" i="11" s="1"/>
  <c r="D88" i="37"/>
  <c r="H177" i="11"/>
  <c r="I177" i="11" s="1"/>
  <c r="M177" i="11"/>
  <c r="M302" i="11"/>
  <c r="H302" i="11"/>
  <c r="I302" i="11" s="1"/>
  <c r="H191" i="11"/>
  <c r="I191" i="11" s="1"/>
  <c r="M191" i="11"/>
  <c r="D278" i="37"/>
  <c r="M117" i="11"/>
  <c r="H117" i="11"/>
  <c r="I117" i="11" s="1"/>
  <c r="D35" i="37"/>
  <c r="H295" i="11"/>
  <c r="I295" i="11" s="1"/>
  <c r="M295" i="11"/>
  <c r="M303" i="11"/>
  <c r="H303" i="11"/>
  <c r="I303" i="11" s="1"/>
  <c r="D281" i="37"/>
  <c r="D36" i="37"/>
  <c r="D126" i="37"/>
  <c r="H225" i="11"/>
  <c r="I225" i="11" s="1"/>
  <c r="M225" i="11"/>
  <c r="D225" i="37"/>
  <c r="D248" i="37"/>
  <c r="D75" i="37"/>
  <c r="M151" i="11"/>
  <c r="H151" i="11"/>
  <c r="I151" i="11" s="1"/>
  <c r="H142" i="11"/>
  <c r="I142" i="11" s="1"/>
  <c r="M142" i="11"/>
  <c r="H252" i="11"/>
  <c r="I252" i="11" s="1"/>
  <c r="M252" i="11"/>
  <c r="D252" i="37"/>
  <c r="D137" i="37"/>
  <c r="H137" i="11"/>
  <c r="I137" i="11" s="1"/>
  <c r="M137" i="11"/>
  <c r="M294" i="11"/>
  <c r="H294" i="11"/>
  <c r="I294" i="11" s="1"/>
  <c r="D294" i="37"/>
  <c r="D87" i="37"/>
  <c r="D233" i="37"/>
  <c r="D136" i="37"/>
  <c r="H136" i="11"/>
  <c r="I136" i="11" s="1"/>
  <c r="M136" i="11"/>
  <c r="H65" i="11"/>
  <c r="I65" i="11" s="1"/>
  <c r="M65" i="11"/>
  <c r="D134" i="37"/>
  <c r="H134" i="11"/>
  <c r="I134" i="11" s="1"/>
  <c r="M134" i="11"/>
  <c r="H321" i="11" l="1"/>
  <c r="I321" i="11" s="1"/>
  <c r="L321" i="11"/>
  <c r="M321" i="11" s="1"/>
  <c r="N323" i="33"/>
  <c r="O323" i="33" s="1"/>
  <c r="P294" i="33" s="1"/>
  <c r="C16" i="34"/>
  <c r="C334" i="34" s="1"/>
  <c r="O5" i="33"/>
  <c r="C5" i="11"/>
  <c r="L5" i="11" s="1"/>
  <c r="E6" i="25"/>
  <c r="E324" i="25" s="1"/>
  <c r="M7" i="11"/>
  <c r="M324" i="49" l="1"/>
  <c r="P141" i="33"/>
  <c r="P13" i="33"/>
  <c r="P138" i="33"/>
  <c r="P173" i="33"/>
  <c r="P243" i="33"/>
  <c r="P248" i="33"/>
  <c r="P192" i="33"/>
  <c r="P211" i="33"/>
  <c r="P320" i="33"/>
  <c r="P209" i="33"/>
  <c r="P149" i="33"/>
  <c r="P247" i="33"/>
  <c r="P130" i="33"/>
  <c r="P30" i="33"/>
  <c r="P32" i="33"/>
  <c r="P218" i="33"/>
  <c r="P222" i="33"/>
  <c r="P142" i="33"/>
  <c r="P197" i="33"/>
  <c r="P137" i="33"/>
  <c r="P235" i="33"/>
  <c r="P160" i="33"/>
  <c r="P21" i="33"/>
  <c r="P259" i="33"/>
  <c r="P34" i="33"/>
  <c r="P196" i="33"/>
  <c r="P154" i="33"/>
  <c r="P115" i="33"/>
  <c r="P257" i="33"/>
  <c r="P103" i="33"/>
  <c r="P24" i="33"/>
  <c r="P99" i="33"/>
  <c r="P57" i="33"/>
  <c r="P298" i="33"/>
  <c r="P228" i="33"/>
  <c r="P41" i="33"/>
  <c r="P60" i="33"/>
  <c r="P311" i="33"/>
  <c r="P95" i="33"/>
  <c r="P114" i="33"/>
  <c r="P187" i="33"/>
  <c r="P40" i="33"/>
  <c r="P69" i="33"/>
  <c r="P193" i="33"/>
  <c r="P190" i="33"/>
  <c r="P140" i="33"/>
  <c r="P237" i="33"/>
  <c r="P255" i="33"/>
  <c r="P244" i="33"/>
  <c r="P126" i="33"/>
  <c r="P215" i="33"/>
  <c r="P42" i="33"/>
  <c r="P61" i="33"/>
  <c r="P85" i="33"/>
  <c r="P36" i="33"/>
  <c r="P165" i="33"/>
  <c r="P82" i="33"/>
  <c r="P251" i="33"/>
  <c r="P111" i="33"/>
  <c r="P53" i="33"/>
  <c r="P315" i="33"/>
  <c r="P321" i="33"/>
  <c r="P76" i="33"/>
  <c r="P51" i="33"/>
  <c r="P268" i="33"/>
  <c r="P281" i="33"/>
  <c r="P29" i="33"/>
  <c r="P304" i="33"/>
  <c r="P84" i="33"/>
  <c r="P81" i="33"/>
  <c r="P322" i="33"/>
  <c r="P38" i="33"/>
  <c r="P258" i="33"/>
  <c r="P155" i="33"/>
  <c r="P178" i="33"/>
  <c r="P223" i="33"/>
  <c r="P180" i="33"/>
  <c r="P89" i="33"/>
  <c r="P171" i="33"/>
  <c r="P70" i="33"/>
  <c r="P310" i="33"/>
  <c r="P274" i="33"/>
  <c r="P177" i="33"/>
  <c r="P52" i="33"/>
  <c r="P292" i="33"/>
  <c r="P127" i="33"/>
  <c r="P200" i="33"/>
  <c r="P307" i="33"/>
  <c r="P46" i="33"/>
  <c r="P314" i="33"/>
  <c r="P27" i="33"/>
  <c r="P163" i="33"/>
  <c r="P74" i="33"/>
  <c r="P239" i="33"/>
  <c r="P8" i="33"/>
  <c r="P153" i="33"/>
  <c r="P236" i="33"/>
  <c r="P291" i="33"/>
  <c r="P55" i="33"/>
  <c r="P212" i="33"/>
  <c r="P300" i="33"/>
  <c r="P210" i="33"/>
  <c r="P186" i="33"/>
  <c r="P167" i="33"/>
  <c r="P206" i="33"/>
  <c r="P135" i="33"/>
  <c r="P157" i="33"/>
  <c r="P213" i="33"/>
  <c r="P18" i="33"/>
  <c r="P73" i="33"/>
  <c r="P319" i="33"/>
  <c r="P295" i="33"/>
  <c r="P288" i="33"/>
  <c r="P312" i="33"/>
  <c r="P231" i="33"/>
  <c r="P56" i="33"/>
  <c r="P317" i="33"/>
  <c r="P306" i="33"/>
  <c r="P233" i="33"/>
  <c r="P26" i="33"/>
  <c r="P264" i="33"/>
  <c r="P120" i="33"/>
  <c r="P68" i="33"/>
  <c r="P79" i="33"/>
  <c r="P98" i="33"/>
  <c r="P66" i="33"/>
  <c r="P88" i="33"/>
  <c r="P283" i="33"/>
  <c r="P267" i="33"/>
  <c r="P139" i="33"/>
  <c r="P117" i="33"/>
  <c r="P245" i="33"/>
  <c r="P129" i="33"/>
  <c r="P286" i="33"/>
  <c r="P169" i="33"/>
  <c r="P234" i="33"/>
  <c r="P232" i="33"/>
  <c r="P144" i="33"/>
  <c r="P250" i="33"/>
  <c r="P260" i="33"/>
  <c r="P113" i="33"/>
  <c r="D323" i="37"/>
  <c r="E25" i="37" s="1"/>
  <c r="F25" i="37" s="1"/>
  <c r="I25" i="37" s="1"/>
  <c r="G36" i="34" s="1"/>
  <c r="H36" i="34" s="1"/>
  <c r="P176" i="33"/>
  <c r="P12" i="33"/>
  <c r="P174" i="33"/>
  <c r="P301" i="33"/>
  <c r="P229" i="33"/>
  <c r="P266" i="33"/>
  <c r="P64" i="33"/>
  <c r="P50" i="33"/>
  <c r="P290" i="33"/>
  <c r="P261" i="33"/>
  <c r="P39" i="33"/>
  <c r="P110" i="33"/>
  <c r="P156" i="33"/>
  <c r="P284" i="33"/>
  <c r="P143" i="33"/>
  <c r="P20" i="33"/>
  <c r="P252" i="33"/>
  <c r="P148" i="33"/>
  <c r="P185" i="33"/>
  <c r="P272" i="33"/>
  <c r="P124" i="33"/>
  <c r="P47" i="33"/>
  <c r="P22" i="33"/>
  <c r="P278" i="33"/>
  <c r="P37" i="33"/>
  <c r="P302" i="33"/>
  <c r="P96" i="33"/>
  <c r="P91" i="33"/>
  <c r="P262" i="33"/>
  <c r="P220" i="33"/>
  <c r="P227" i="33"/>
  <c r="P205" i="33"/>
  <c r="P80" i="33"/>
  <c r="P226" i="33"/>
  <c r="P188" i="33"/>
  <c r="P7" i="33"/>
  <c r="D5" i="34"/>
  <c r="P58" i="33"/>
  <c r="P293" i="33"/>
  <c r="P308" i="33"/>
  <c r="P253" i="33"/>
  <c r="P65" i="33"/>
  <c r="P297" i="33"/>
  <c r="P299" i="33"/>
  <c r="P242" i="33"/>
  <c r="P168" i="33"/>
  <c r="P100" i="33"/>
  <c r="P199" i="33"/>
  <c r="P10" i="33"/>
  <c r="P72" i="33"/>
  <c r="P150" i="33"/>
  <c r="P43" i="33"/>
  <c r="P249" i="33"/>
  <c r="P309" i="33"/>
  <c r="P263" i="33"/>
  <c r="E4" i="9"/>
  <c r="D4" i="9" s="1"/>
  <c r="P25" i="33"/>
  <c r="P318" i="33"/>
  <c r="P62" i="33"/>
  <c r="P241" i="33"/>
  <c r="P238" i="33"/>
  <c r="P97" i="33"/>
  <c r="P17" i="33"/>
  <c r="P75" i="33"/>
  <c r="P254" i="33"/>
  <c r="P31" i="33"/>
  <c r="P182" i="33"/>
  <c r="P161" i="33"/>
  <c r="P33" i="33"/>
  <c r="P279" i="33"/>
  <c r="P119" i="33"/>
  <c r="P195" i="33"/>
  <c r="P240" i="33"/>
  <c r="P277" i="33"/>
  <c r="P128" i="33"/>
  <c r="P224" i="33"/>
  <c r="P276" i="33"/>
  <c r="P92" i="33"/>
  <c r="P230" i="33"/>
  <c r="P54" i="33"/>
  <c r="P87" i="33"/>
  <c r="P14" i="33"/>
  <c r="P219" i="33"/>
  <c r="P303" i="33"/>
  <c r="P67" i="33"/>
  <c r="P125" i="33"/>
  <c r="P77" i="33"/>
  <c r="P184" i="33"/>
  <c r="P246" i="33"/>
  <c r="P105" i="33"/>
  <c r="P107" i="33"/>
  <c r="P63" i="33"/>
  <c r="P152" i="33"/>
  <c r="P59" i="33"/>
  <c r="P108" i="33"/>
  <c r="P166" i="33"/>
  <c r="P296" i="33"/>
  <c r="P207" i="33"/>
  <c r="P275" i="33"/>
  <c r="P104" i="33"/>
  <c r="P106" i="33"/>
  <c r="P216" i="33"/>
  <c r="P15" i="33"/>
  <c r="P11" i="33"/>
  <c r="P198" i="33"/>
  <c r="P23" i="33"/>
  <c r="P285" i="33"/>
  <c r="P158" i="33"/>
  <c r="P9" i="33"/>
  <c r="P256" i="33"/>
  <c r="P71" i="33"/>
  <c r="P189" i="33"/>
  <c r="P78" i="33"/>
  <c r="P93" i="33"/>
  <c r="P271" i="33"/>
  <c r="P191" i="33"/>
  <c r="P133" i="33"/>
  <c r="P287" i="33"/>
  <c r="P194" i="33"/>
  <c r="P208" i="33"/>
  <c r="P132" i="33"/>
  <c r="P48" i="33"/>
  <c r="P147" i="33"/>
  <c r="P305" i="33"/>
  <c r="P164" i="33"/>
  <c r="P280" i="33"/>
  <c r="P172" i="33"/>
  <c r="P269" i="33"/>
  <c r="P204" i="33"/>
  <c r="P49" i="33"/>
  <c r="P225" i="33"/>
  <c r="P134" i="33"/>
  <c r="P313" i="33"/>
  <c r="P16" i="33"/>
  <c r="P109" i="33"/>
  <c r="P45" i="33"/>
  <c r="P131" i="33"/>
  <c r="P122" i="33"/>
  <c r="P44" i="33"/>
  <c r="P101" i="33"/>
  <c r="P265" i="33"/>
  <c r="P94" i="33"/>
  <c r="P83" i="33"/>
  <c r="P123" i="33"/>
  <c r="P35" i="33"/>
  <c r="P86" i="33"/>
  <c r="P121" i="33"/>
  <c r="P6" i="33"/>
  <c r="P179" i="33"/>
  <c r="P118" i="33"/>
  <c r="P181" i="33"/>
  <c r="P217" i="33"/>
  <c r="P112" i="33"/>
  <c r="P175" i="33"/>
  <c r="P145" i="33"/>
  <c r="P214" i="33"/>
  <c r="P116" i="33"/>
  <c r="P151" i="33"/>
  <c r="P159" i="33"/>
  <c r="P202" i="33"/>
  <c r="P170" i="33"/>
  <c r="P183" i="33"/>
  <c r="P282" i="33"/>
  <c r="P273" i="33"/>
  <c r="P136" i="33"/>
  <c r="P201" i="33"/>
  <c r="P146" i="33"/>
  <c r="P90" i="33"/>
  <c r="P270" i="33"/>
  <c r="P203" i="33"/>
  <c r="P316" i="33"/>
  <c r="P19" i="33"/>
  <c r="P28" i="33"/>
  <c r="G36" i="40"/>
  <c r="G38" i="40" s="1"/>
  <c r="P221" i="33"/>
  <c r="P162" i="33"/>
  <c r="P102" i="33"/>
  <c r="P289" i="33"/>
  <c r="D8" i="34"/>
  <c r="D6" i="34"/>
  <c r="F15" i="34"/>
  <c r="C323" i="11"/>
  <c r="H5" i="11"/>
  <c r="P5" i="33"/>
  <c r="D5" i="37"/>
  <c r="N5" i="49" l="1"/>
  <c r="N105" i="49" s="1"/>
  <c r="O105" i="49" s="1"/>
  <c r="M105" i="25" s="1"/>
  <c r="N54" i="49"/>
  <c r="O54" i="49" s="1"/>
  <c r="M54" i="25" s="1"/>
  <c r="N262" i="49"/>
  <c r="O262" i="49" s="1"/>
  <c r="M262" i="25" s="1"/>
  <c r="N169" i="49"/>
  <c r="O169" i="49" s="1"/>
  <c r="M169" i="25" s="1"/>
  <c r="N174" i="49"/>
  <c r="O174" i="49" s="1"/>
  <c r="M174" i="25" s="1"/>
  <c r="N179" i="49"/>
  <c r="O179" i="49" s="1"/>
  <c r="M179" i="25" s="1"/>
  <c r="N30" i="49"/>
  <c r="O30" i="49" s="1"/>
  <c r="M30" i="25" s="1"/>
  <c r="N101" i="49"/>
  <c r="O101" i="49" s="1"/>
  <c r="M101" i="25" s="1"/>
  <c r="N295" i="49"/>
  <c r="O295" i="49" s="1"/>
  <c r="M295" i="25" s="1"/>
  <c r="N34" i="49"/>
  <c r="O34" i="49" s="1"/>
  <c r="M34" i="25" s="1"/>
  <c r="N10" i="49"/>
  <c r="O10" i="49" s="1"/>
  <c r="M10" i="25" s="1"/>
  <c r="N214" i="49"/>
  <c r="O214" i="49" s="1"/>
  <c r="M214" i="25" s="1"/>
  <c r="N134" i="49"/>
  <c r="O134" i="49" s="1"/>
  <c r="M134" i="25" s="1"/>
  <c r="N26" i="49"/>
  <c r="O26" i="49" s="1"/>
  <c r="M26" i="25" s="1"/>
  <c r="N79" i="49"/>
  <c r="O79" i="49" s="1"/>
  <c r="M79" i="25" s="1"/>
  <c r="N181" i="49"/>
  <c r="O181" i="49" s="1"/>
  <c r="M181" i="25" s="1"/>
  <c r="N132" i="49"/>
  <c r="O132" i="49" s="1"/>
  <c r="M132" i="25" s="1"/>
  <c r="N204" i="49"/>
  <c r="O204" i="49" s="1"/>
  <c r="M204" i="25" s="1"/>
  <c r="N298" i="49"/>
  <c r="O298" i="49" s="1"/>
  <c r="M298" i="25" s="1"/>
  <c r="N137" i="49"/>
  <c r="O137" i="49" s="1"/>
  <c r="M137" i="25" s="1"/>
  <c r="N240" i="49"/>
  <c r="O240" i="49" s="1"/>
  <c r="M240" i="25" s="1"/>
  <c r="N183" i="49"/>
  <c r="O183" i="49" s="1"/>
  <c r="M183" i="25" s="1"/>
  <c r="N103" i="49"/>
  <c r="O103" i="49" s="1"/>
  <c r="M103" i="25" s="1"/>
  <c r="N159" i="49"/>
  <c r="O159" i="49" s="1"/>
  <c r="M159" i="25" s="1"/>
  <c r="N250" i="49"/>
  <c r="O250" i="49" s="1"/>
  <c r="M250" i="25" s="1"/>
  <c r="N116" i="49"/>
  <c r="O116" i="49" s="1"/>
  <c r="M116" i="25" s="1"/>
  <c r="N196" i="49"/>
  <c r="O196" i="49" s="1"/>
  <c r="M196" i="25" s="1"/>
  <c r="N291" i="49"/>
  <c r="O291" i="49" s="1"/>
  <c r="M291" i="25" s="1"/>
  <c r="N155" i="49"/>
  <c r="O155" i="49" s="1"/>
  <c r="M155" i="25" s="1"/>
  <c r="N231" i="49"/>
  <c r="O231" i="49" s="1"/>
  <c r="M231" i="25" s="1"/>
  <c r="N91" i="49"/>
  <c r="O91" i="49" s="1"/>
  <c r="M91" i="25" s="1"/>
  <c r="N125" i="49"/>
  <c r="O125" i="49" s="1"/>
  <c r="M125" i="25" s="1"/>
  <c r="N7" i="49"/>
  <c r="O7" i="49" s="1"/>
  <c r="M7" i="25" s="1"/>
  <c r="N104" i="49"/>
  <c r="O104" i="49" s="1"/>
  <c r="M104" i="25" s="1"/>
  <c r="N62" i="49"/>
  <c r="O62" i="49" s="1"/>
  <c r="M62" i="25" s="1"/>
  <c r="N252" i="49"/>
  <c r="O252" i="49" s="1"/>
  <c r="M252" i="25" s="1"/>
  <c r="N233" i="49"/>
  <c r="O233" i="49" s="1"/>
  <c r="M233" i="25" s="1"/>
  <c r="N311" i="49"/>
  <c r="O311" i="49" s="1"/>
  <c r="M311" i="25" s="1"/>
  <c r="N19" i="49"/>
  <c r="O19" i="49" s="1"/>
  <c r="M19" i="25" s="1"/>
  <c r="N211" i="49"/>
  <c r="O211" i="49" s="1"/>
  <c r="M211" i="25" s="1"/>
  <c r="N66" i="49"/>
  <c r="O66" i="49" s="1"/>
  <c r="M66" i="25" s="1"/>
  <c r="N241" i="49"/>
  <c r="O241" i="49" s="1"/>
  <c r="M241" i="25" s="1"/>
  <c r="N281" i="49"/>
  <c r="O281" i="49" s="1"/>
  <c r="M281" i="25" s="1"/>
  <c r="N81" i="49"/>
  <c r="O81" i="49" s="1"/>
  <c r="M81" i="25" s="1"/>
  <c r="N194" i="49"/>
  <c r="O194" i="49" s="1"/>
  <c r="M194" i="25" s="1"/>
  <c r="N74" i="49"/>
  <c r="O74" i="49" s="1"/>
  <c r="M74" i="25" s="1"/>
  <c r="N130" i="49"/>
  <c r="O130" i="49" s="1"/>
  <c r="M130" i="25" s="1"/>
  <c r="N146" i="49"/>
  <c r="O146" i="49" s="1"/>
  <c r="M146" i="25" s="1"/>
  <c r="N261" i="49"/>
  <c r="O261" i="49" s="1"/>
  <c r="M261" i="25" s="1"/>
  <c r="N16" i="49"/>
  <c r="O16" i="49" s="1"/>
  <c r="M16" i="25" s="1"/>
  <c r="N118" i="49"/>
  <c r="O118" i="49" s="1"/>
  <c r="M118" i="25" s="1"/>
  <c r="N225" i="49"/>
  <c r="O225" i="49" s="1"/>
  <c r="M225" i="25" s="1"/>
  <c r="N38" i="49"/>
  <c r="O38" i="49" s="1"/>
  <c r="M38" i="25" s="1"/>
  <c r="N188" i="49"/>
  <c r="O188" i="49" s="1"/>
  <c r="M188" i="25" s="1"/>
  <c r="N246" i="49"/>
  <c r="O246" i="49" s="1"/>
  <c r="M246" i="25" s="1"/>
  <c r="N95" i="49"/>
  <c r="O95" i="49" s="1"/>
  <c r="M95" i="25" s="1"/>
  <c r="N296" i="49"/>
  <c r="O296" i="49" s="1"/>
  <c r="M296" i="25" s="1"/>
  <c r="N120" i="49"/>
  <c r="O120" i="49" s="1"/>
  <c r="M120" i="25" s="1"/>
  <c r="N228" i="49"/>
  <c r="O228" i="49" s="1"/>
  <c r="M228" i="25" s="1"/>
  <c r="N12" i="49"/>
  <c r="O12" i="49" s="1"/>
  <c r="M12" i="25" s="1"/>
  <c r="N77" i="49"/>
  <c r="O77" i="49" s="1"/>
  <c r="M77" i="25" s="1"/>
  <c r="N100" i="49"/>
  <c r="O100" i="49" s="1"/>
  <c r="M100" i="25" s="1"/>
  <c r="N98" i="49"/>
  <c r="O98" i="49" s="1"/>
  <c r="M98" i="25" s="1"/>
  <c r="N122" i="49"/>
  <c r="O122" i="49" s="1"/>
  <c r="M122" i="25" s="1"/>
  <c r="N280" i="49"/>
  <c r="O280" i="49" s="1"/>
  <c r="M280" i="25" s="1"/>
  <c r="N9" i="49"/>
  <c r="O9" i="49" s="1"/>
  <c r="M9" i="25" s="1"/>
  <c r="N99" i="49"/>
  <c r="O99" i="49" s="1"/>
  <c r="M99" i="25" s="1"/>
  <c r="N198" i="49"/>
  <c r="O198" i="49" s="1"/>
  <c r="M198" i="25" s="1"/>
  <c r="N32" i="49"/>
  <c r="O32" i="49" s="1"/>
  <c r="M32" i="25" s="1"/>
  <c r="N301" i="49"/>
  <c r="O301" i="49" s="1"/>
  <c r="M301" i="25" s="1"/>
  <c r="N269" i="49"/>
  <c r="O269" i="49" s="1"/>
  <c r="M269" i="25" s="1"/>
  <c r="N256" i="49"/>
  <c r="O256" i="49" s="1"/>
  <c r="M256" i="25" s="1"/>
  <c r="N193" i="49"/>
  <c r="O193" i="49" s="1"/>
  <c r="M193" i="25" s="1"/>
  <c r="N201" i="49"/>
  <c r="O201" i="49" s="1"/>
  <c r="M201" i="25" s="1"/>
  <c r="N113" i="49"/>
  <c r="O113" i="49" s="1"/>
  <c r="M113" i="25" s="1"/>
  <c r="N149" i="49"/>
  <c r="O149" i="49" s="1"/>
  <c r="M149" i="25" s="1"/>
  <c r="N55" i="49"/>
  <c r="O55" i="49" s="1"/>
  <c r="M55" i="25" s="1"/>
  <c r="N97" i="49"/>
  <c r="O97" i="49" s="1"/>
  <c r="M97" i="25" s="1"/>
  <c r="N8" i="49"/>
  <c r="O8" i="49" s="1"/>
  <c r="M8" i="25" s="1"/>
  <c r="N21" i="49"/>
  <c r="O21" i="49" s="1"/>
  <c r="M21" i="25" s="1"/>
  <c r="N297" i="49"/>
  <c r="O297" i="49" s="1"/>
  <c r="M297" i="25" s="1"/>
  <c r="N287" i="49"/>
  <c r="O287" i="49" s="1"/>
  <c r="M287" i="25" s="1"/>
  <c r="N253" i="49"/>
  <c r="O253" i="49" s="1"/>
  <c r="M253" i="25" s="1"/>
  <c r="N189" i="49"/>
  <c r="O189" i="49" s="1"/>
  <c r="M189" i="25" s="1"/>
  <c r="N129" i="49"/>
  <c r="O129" i="49" s="1"/>
  <c r="M129" i="25" s="1"/>
  <c r="N110" i="49"/>
  <c r="O110" i="49" s="1"/>
  <c r="M110" i="25" s="1"/>
  <c r="N128" i="49"/>
  <c r="O128" i="49" s="1"/>
  <c r="M128" i="25" s="1"/>
  <c r="N143" i="49"/>
  <c r="O143" i="49" s="1"/>
  <c r="M143" i="25" s="1"/>
  <c r="N65" i="49"/>
  <c r="O65" i="49" s="1"/>
  <c r="M65" i="25" s="1"/>
  <c r="N33" i="49"/>
  <c r="O33" i="49" s="1"/>
  <c r="M33" i="25" s="1"/>
  <c r="N40" i="49"/>
  <c r="O40" i="49" s="1"/>
  <c r="M40" i="25" s="1"/>
  <c r="N249" i="49"/>
  <c r="O249" i="49" s="1"/>
  <c r="M249" i="25" s="1"/>
  <c r="N316" i="49"/>
  <c r="O316" i="49" s="1"/>
  <c r="M316" i="25" s="1"/>
  <c r="N184" i="49"/>
  <c r="O184" i="49" s="1"/>
  <c r="M184" i="25" s="1"/>
  <c r="N263" i="49"/>
  <c r="O263" i="49" s="1"/>
  <c r="M263" i="25" s="1"/>
  <c r="N294" i="49"/>
  <c r="O294" i="49" s="1"/>
  <c r="M294" i="25" s="1"/>
  <c r="N278" i="49"/>
  <c r="O278" i="49" s="1"/>
  <c r="M278" i="25" s="1"/>
  <c r="N123" i="49"/>
  <c r="O123" i="49" s="1"/>
  <c r="M123" i="25" s="1"/>
  <c r="N171" i="49"/>
  <c r="O171" i="49" s="1"/>
  <c r="M171" i="25" s="1"/>
  <c r="N39" i="49"/>
  <c r="O39" i="49" s="1"/>
  <c r="M39" i="25" s="1"/>
  <c r="N15" i="49"/>
  <c r="O15" i="49" s="1"/>
  <c r="M15" i="25" s="1"/>
  <c r="N313" i="49"/>
  <c r="O313" i="49" s="1"/>
  <c r="M313" i="25" s="1"/>
  <c r="N165" i="49"/>
  <c r="O165" i="49" s="1"/>
  <c r="M165" i="25" s="1"/>
  <c r="N86" i="49"/>
  <c r="O86" i="49" s="1"/>
  <c r="M86" i="25" s="1"/>
  <c r="N197" i="49"/>
  <c r="O197" i="49" s="1"/>
  <c r="M197" i="25" s="1"/>
  <c r="N76" i="49"/>
  <c r="O76" i="49" s="1"/>
  <c r="M76" i="25" s="1"/>
  <c r="N299" i="49"/>
  <c r="O299" i="49" s="1"/>
  <c r="M299" i="25" s="1"/>
  <c r="N185" i="49"/>
  <c r="O185" i="49" s="1"/>
  <c r="M185" i="25" s="1"/>
  <c r="N127" i="49"/>
  <c r="O127" i="49" s="1"/>
  <c r="M127" i="25" s="1"/>
  <c r="N71" i="49"/>
  <c r="O71" i="49" s="1"/>
  <c r="M71" i="25" s="1"/>
  <c r="N219" i="49"/>
  <c r="O219" i="49" s="1"/>
  <c r="M219" i="25" s="1"/>
  <c r="N85" i="49"/>
  <c r="O85" i="49" s="1"/>
  <c r="M85" i="25" s="1"/>
  <c r="N75" i="49"/>
  <c r="O75" i="49" s="1"/>
  <c r="M75" i="25" s="1"/>
  <c r="N319" i="49"/>
  <c r="O319" i="49" s="1"/>
  <c r="M319" i="25" s="1"/>
  <c r="N310" i="49"/>
  <c r="O310" i="49" s="1"/>
  <c r="M310" i="25" s="1"/>
  <c r="N222" i="49"/>
  <c r="O222" i="49" s="1"/>
  <c r="M222" i="25" s="1"/>
  <c r="N161" i="49"/>
  <c r="O161" i="49" s="1"/>
  <c r="M161" i="25" s="1"/>
  <c r="N167" i="49"/>
  <c r="O167" i="49" s="1"/>
  <c r="M167" i="25" s="1"/>
  <c r="N82" i="49"/>
  <c r="O82" i="49" s="1"/>
  <c r="M82" i="25" s="1"/>
  <c r="N303" i="49"/>
  <c r="O303" i="49" s="1"/>
  <c r="M303" i="25" s="1"/>
  <c r="N124" i="49"/>
  <c r="O124" i="49" s="1"/>
  <c r="M124" i="25" s="1"/>
  <c r="N186" i="49"/>
  <c r="O186" i="49" s="1"/>
  <c r="M186" i="25" s="1"/>
  <c r="N80" i="49"/>
  <c r="O80" i="49" s="1"/>
  <c r="M80" i="25" s="1"/>
  <c r="N49" i="49"/>
  <c r="O49" i="49" s="1"/>
  <c r="M49" i="25" s="1"/>
  <c r="N315" i="49"/>
  <c r="O315" i="49" s="1"/>
  <c r="M315" i="25" s="1"/>
  <c r="N309" i="49"/>
  <c r="O309" i="49" s="1"/>
  <c r="M309" i="25" s="1"/>
  <c r="N300" i="49"/>
  <c r="O300" i="49" s="1"/>
  <c r="M300" i="25" s="1"/>
  <c r="N265" i="49"/>
  <c r="O265" i="49" s="1"/>
  <c r="M265" i="25" s="1"/>
  <c r="N164" i="49"/>
  <c r="O164" i="49" s="1"/>
  <c r="M164" i="25" s="1"/>
  <c r="N148" i="49"/>
  <c r="O148" i="49" s="1"/>
  <c r="M148" i="25" s="1"/>
  <c r="N255" i="49"/>
  <c r="O255" i="49" s="1"/>
  <c r="M255" i="25" s="1"/>
  <c r="N114" i="49"/>
  <c r="O114" i="49" s="1"/>
  <c r="M114" i="25" s="1"/>
  <c r="N215" i="49"/>
  <c r="O215" i="49" s="1"/>
  <c r="M215" i="25" s="1"/>
  <c r="N59" i="49"/>
  <c r="O59" i="49" s="1"/>
  <c r="M59" i="25" s="1"/>
  <c r="N64" i="49"/>
  <c r="O64" i="49" s="1"/>
  <c r="M64" i="25" s="1"/>
  <c r="N308" i="49"/>
  <c r="O308" i="49" s="1"/>
  <c r="M308" i="25" s="1"/>
  <c r="N156" i="49"/>
  <c r="O156" i="49" s="1"/>
  <c r="M156" i="25" s="1"/>
  <c r="N141" i="49"/>
  <c r="O141" i="49" s="1"/>
  <c r="M141" i="25" s="1"/>
  <c r="N17" i="49"/>
  <c r="O17" i="49" s="1"/>
  <c r="M17" i="25" s="1"/>
  <c r="N14" i="49"/>
  <c r="O14" i="49" s="1"/>
  <c r="M14" i="25" s="1"/>
  <c r="N266" i="49"/>
  <c r="O266" i="49" s="1"/>
  <c r="M266" i="25" s="1"/>
  <c r="N264" i="49"/>
  <c r="O264" i="49" s="1"/>
  <c r="M264" i="25" s="1"/>
  <c r="N58" i="49"/>
  <c r="O58" i="49" s="1"/>
  <c r="M58" i="25" s="1"/>
  <c r="N157" i="49"/>
  <c r="O157" i="49" s="1"/>
  <c r="M157" i="25" s="1"/>
  <c r="N282" i="49"/>
  <c r="O282" i="49" s="1"/>
  <c r="M282" i="25" s="1"/>
  <c r="N322" i="49"/>
  <c r="O322" i="49" s="1"/>
  <c r="M322" i="25" s="1"/>
  <c r="N321" i="49"/>
  <c r="O321" i="49" s="1"/>
  <c r="M321" i="25" s="1"/>
  <c r="N172" i="49"/>
  <c r="O172" i="49" s="1"/>
  <c r="M172" i="25" s="1"/>
  <c r="N22" i="49"/>
  <c r="O22" i="49" s="1"/>
  <c r="M22" i="25" s="1"/>
  <c r="N35" i="49"/>
  <c r="O35" i="49" s="1"/>
  <c r="M35" i="25" s="1"/>
  <c r="N45" i="49"/>
  <c r="O45" i="49" s="1"/>
  <c r="M45" i="25" s="1"/>
  <c r="N248" i="49"/>
  <c r="O248" i="49" s="1"/>
  <c r="M248" i="25" s="1"/>
  <c r="N191" i="49"/>
  <c r="O191" i="49" s="1"/>
  <c r="M191" i="25" s="1"/>
  <c r="N182" i="49"/>
  <c r="O182" i="49" s="1"/>
  <c r="M182" i="25" s="1"/>
  <c r="N18" i="49"/>
  <c r="O18" i="49" s="1"/>
  <c r="M18" i="25" s="1"/>
  <c r="N151" i="49"/>
  <c r="O151" i="49" s="1"/>
  <c r="M151" i="25" s="1"/>
  <c r="N57" i="49"/>
  <c r="O57" i="49" s="1"/>
  <c r="M57" i="25" s="1"/>
  <c r="E17" i="37"/>
  <c r="F17" i="37" s="1"/>
  <c r="I17" i="37" s="1"/>
  <c r="G28" i="34" s="1"/>
  <c r="H28" i="34" s="1"/>
  <c r="E162" i="37"/>
  <c r="F162" i="37" s="1"/>
  <c r="I162" i="37" s="1"/>
  <c r="G173" i="34" s="1"/>
  <c r="H173" i="34" s="1"/>
  <c r="E225" i="37"/>
  <c r="F225" i="37" s="1"/>
  <c r="I225" i="37" s="1"/>
  <c r="G236" i="34" s="1"/>
  <c r="H236" i="34" s="1"/>
  <c r="E239" i="37"/>
  <c r="F239" i="37" s="1"/>
  <c r="I239" i="37" s="1"/>
  <c r="G250" i="34" s="1"/>
  <c r="H250" i="34" s="1"/>
  <c r="E190" i="37"/>
  <c r="F190" i="37" s="1"/>
  <c r="I190" i="37" s="1"/>
  <c r="G201" i="34" s="1"/>
  <c r="H201" i="34" s="1"/>
  <c r="E126" i="37"/>
  <c r="F126" i="37" s="1"/>
  <c r="I126" i="37" s="1"/>
  <c r="G137" i="34" s="1"/>
  <c r="H137" i="34" s="1"/>
  <c r="E219" i="37"/>
  <c r="F219" i="37" s="1"/>
  <c r="I219" i="37" s="1"/>
  <c r="G230" i="34" s="1"/>
  <c r="H230" i="34" s="1"/>
  <c r="E15" i="37"/>
  <c r="F15" i="37" s="1"/>
  <c r="I15" i="37" s="1"/>
  <c r="G26" i="34" s="1"/>
  <c r="H26" i="34" s="1"/>
  <c r="E111" i="37"/>
  <c r="F111" i="37" s="1"/>
  <c r="I111" i="37" s="1"/>
  <c r="G122" i="34" s="1"/>
  <c r="H122" i="34" s="1"/>
  <c r="E321" i="37"/>
  <c r="F321" i="37" s="1"/>
  <c r="I321" i="37" s="1"/>
  <c r="G332" i="34" s="1"/>
  <c r="H332" i="34" s="1"/>
  <c r="E50" i="37"/>
  <c r="F50" i="37" s="1"/>
  <c r="I50" i="37" s="1"/>
  <c r="G61" i="34" s="1"/>
  <c r="H61" i="34" s="1"/>
  <c r="E291" i="37"/>
  <c r="F291" i="37" s="1"/>
  <c r="I291" i="37" s="1"/>
  <c r="G302" i="34" s="1"/>
  <c r="H302" i="34" s="1"/>
  <c r="E68" i="37"/>
  <c r="F68" i="37" s="1"/>
  <c r="I68" i="37" s="1"/>
  <c r="G79" i="34" s="1"/>
  <c r="H79" i="34" s="1"/>
  <c r="E149" i="37"/>
  <c r="F149" i="37" s="1"/>
  <c r="I149" i="37" s="1"/>
  <c r="G160" i="34" s="1"/>
  <c r="H160" i="34" s="1"/>
  <c r="E154" i="37"/>
  <c r="F154" i="37" s="1"/>
  <c r="I154" i="37" s="1"/>
  <c r="G165" i="34" s="1"/>
  <c r="H165" i="34" s="1"/>
  <c r="E263" i="37"/>
  <c r="F263" i="37" s="1"/>
  <c r="I263" i="37" s="1"/>
  <c r="G274" i="34" s="1"/>
  <c r="H274" i="34" s="1"/>
  <c r="E131" i="37"/>
  <c r="F131" i="37" s="1"/>
  <c r="I131" i="37" s="1"/>
  <c r="G142" i="34" s="1"/>
  <c r="H142" i="34" s="1"/>
  <c r="E97" i="37"/>
  <c r="F97" i="37" s="1"/>
  <c r="I97" i="37" s="1"/>
  <c r="G108" i="34" s="1"/>
  <c r="H108" i="34" s="1"/>
  <c r="E308" i="37"/>
  <c r="F308" i="37" s="1"/>
  <c r="I308" i="37" s="1"/>
  <c r="G319" i="34" s="1"/>
  <c r="H319" i="34" s="1"/>
  <c r="E48" i="37"/>
  <c r="F48" i="37" s="1"/>
  <c r="I48" i="37" s="1"/>
  <c r="G59" i="34" s="1"/>
  <c r="H59" i="34" s="1"/>
  <c r="E127" i="37"/>
  <c r="F127" i="37" s="1"/>
  <c r="I127" i="37" s="1"/>
  <c r="G138" i="34" s="1"/>
  <c r="H138" i="34" s="1"/>
  <c r="E231" i="37"/>
  <c r="F231" i="37" s="1"/>
  <c r="I231" i="37" s="1"/>
  <c r="G242" i="34" s="1"/>
  <c r="H242" i="34" s="1"/>
  <c r="E278" i="37"/>
  <c r="F278" i="37" s="1"/>
  <c r="I278" i="37" s="1"/>
  <c r="G289" i="34" s="1"/>
  <c r="H289" i="34" s="1"/>
  <c r="E43" i="37"/>
  <c r="F43" i="37" s="1"/>
  <c r="I43" i="37" s="1"/>
  <c r="G54" i="34" s="1"/>
  <c r="H54" i="34" s="1"/>
  <c r="E213" i="37"/>
  <c r="F213" i="37" s="1"/>
  <c r="I213" i="37" s="1"/>
  <c r="G224" i="34" s="1"/>
  <c r="H224" i="34" s="1"/>
  <c r="E45" i="37"/>
  <c r="F45" i="37" s="1"/>
  <c r="I45" i="37" s="1"/>
  <c r="G56" i="34" s="1"/>
  <c r="H56" i="34" s="1"/>
  <c r="E29" i="37"/>
  <c r="F29" i="37" s="1"/>
  <c r="I29" i="37" s="1"/>
  <c r="G40" i="34" s="1"/>
  <c r="H40" i="34" s="1"/>
  <c r="E180" i="37"/>
  <c r="F180" i="37" s="1"/>
  <c r="I180" i="37" s="1"/>
  <c r="G191" i="34" s="1"/>
  <c r="H191" i="34" s="1"/>
  <c r="E275" i="37"/>
  <c r="F275" i="37" s="1"/>
  <c r="I275" i="37" s="1"/>
  <c r="G286" i="34" s="1"/>
  <c r="H286" i="34" s="1"/>
  <c r="E316" i="37"/>
  <c r="F316" i="37" s="1"/>
  <c r="I316" i="37" s="1"/>
  <c r="G327" i="34" s="1"/>
  <c r="H327" i="34" s="1"/>
  <c r="E84" i="37"/>
  <c r="F84" i="37" s="1"/>
  <c r="I84" i="37" s="1"/>
  <c r="G95" i="34" s="1"/>
  <c r="H95" i="34" s="1"/>
  <c r="E203" i="37"/>
  <c r="F203" i="37" s="1"/>
  <c r="I203" i="37" s="1"/>
  <c r="G214" i="34" s="1"/>
  <c r="H214" i="34" s="1"/>
  <c r="E269" i="37"/>
  <c r="F269" i="37" s="1"/>
  <c r="I269" i="37" s="1"/>
  <c r="G280" i="34" s="1"/>
  <c r="H280" i="34" s="1"/>
  <c r="E109" i="37"/>
  <c r="F109" i="37" s="1"/>
  <c r="I109" i="37" s="1"/>
  <c r="G120" i="34" s="1"/>
  <c r="H120" i="34" s="1"/>
  <c r="E106" i="37"/>
  <c r="F106" i="37" s="1"/>
  <c r="I106" i="37" s="1"/>
  <c r="G117" i="34" s="1"/>
  <c r="H117" i="34" s="1"/>
  <c r="E250" i="37"/>
  <c r="F250" i="37" s="1"/>
  <c r="I250" i="37" s="1"/>
  <c r="G261" i="34" s="1"/>
  <c r="H261" i="34" s="1"/>
  <c r="E72" i="37"/>
  <c r="F72" i="37" s="1"/>
  <c r="I72" i="37" s="1"/>
  <c r="G83" i="34" s="1"/>
  <c r="H83" i="34" s="1"/>
  <c r="E216" i="37"/>
  <c r="F216" i="37" s="1"/>
  <c r="I216" i="37" s="1"/>
  <c r="G227" i="34" s="1"/>
  <c r="H227" i="34" s="1"/>
  <c r="E6" i="37"/>
  <c r="F6" i="37" s="1"/>
  <c r="I6" i="37" s="1"/>
  <c r="G17" i="34" s="1"/>
  <c r="H17" i="34" s="1"/>
  <c r="E178" i="37"/>
  <c r="F178" i="37" s="1"/>
  <c r="I178" i="37" s="1"/>
  <c r="G189" i="34" s="1"/>
  <c r="H189" i="34" s="1"/>
  <c r="E304" i="37"/>
  <c r="F304" i="37" s="1"/>
  <c r="I304" i="37" s="1"/>
  <c r="G315" i="34" s="1"/>
  <c r="H315" i="34" s="1"/>
  <c r="E150" i="37"/>
  <c r="F150" i="37" s="1"/>
  <c r="I150" i="37" s="1"/>
  <c r="G161" i="34" s="1"/>
  <c r="H161" i="34" s="1"/>
  <c r="E277" i="37"/>
  <c r="F277" i="37" s="1"/>
  <c r="I277" i="37" s="1"/>
  <c r="G288" i="34" s="1"/>
  <c r="H288" i="34" s="1"/>
  <c r="E173" i="37"/>
  <c r="F173" i="37" s="1"/>
  <c r="I173" i="37" s="1"/>
  <c r="G184" i="34" s="1"/>
  <c r="H184" i="34" s="1"/>
  <c r="E53" i="37"/>
  <c r="F53" i="37" s="1"/>
  <c r="I53" i="37" s="1"/>
  <c r="G64" i="34" s="1"/>
  <c r="H64" i="34" s="1"/>
  <c r="E62" i="37"/>
  <c r="F62" i="37" s="1"/>
  <c r="I62" i="37" s="1"/>
  <c r="G73" i="34" s="1"/>
  <c r="H73" i="34" s="1"/>
  <c r="E292" i="37"/>
  <c r="F292" i="37" s="1"/>
  <c r="I292" i="37" s="1"/>
  <c r="G303" i="34" s="1"/>
  <c r="H303" i="34" s="1"/>
  <c r="E207" i="37"/>
  <c r="F207" i="37" s="1"/>
  <c r="I207" i="37" s="1"/>
  <c r="G218" i="34" s="1"/>
  <c r="H218" i="34" s="1"/>
  <c r="E136" i="37"/>
  <c r="F136" i="37" s="1"/>
  <c r="I136" i="37" s="1"/>
  <c r="G147" i="34" s="1"/>
  <c r="H147" i="34" s="1"/>
  <c r="E30" i="37"/>
  <c r="F30" i="37" s="1"/>
  <c r="I30" i="37" s="1"/>
  <c r="G41" i="34" s="1"/>
  <c r="H41" i="34" s="1"/>
  <c r="E248" i="37"/>
  <c r="F248" i="37" s="1"/>
  <c r="I248" i="37" s="1"/>
  <c r="G259" i="34" s="1"/>
  <c r="H259" i="34" s="1"/>
  <c r="E174" i="37"/>
  <c r="F174" i="37" s="1"/>
  <c r="I174" i="37" s="1"/>
  <c r="G185" i="34" s="1"/>
  <c r="H185" i="34" s="1"/>
  <c r="E87" i="37"/>
  <c r="F87" i="37" s="1"/>
  <c r="I87" i="37" s="1"/>
  <c r="G98" i="34" s="1"/>
  <c r="H98" i="34" s="1"/>
  <c r="E290" i="37"/>
  <c r="F290" i="37" s="1"/>
  <c r="I290" i="37" s="1"/>
  <c r="G301" i="34" s="1"/>
  <c r="H301" i="34" s="1"/>
  <c r="E220" i="37"/>
  <c r="F220" i="37" s="1"/>
  <c r="I220" i="37" s="1"/>
  <c r="G231" i="34" s="1"/>
  <c r="H231" i="34" s="1"/>
  <c r="E146" i="37"/>
  <c r="F146" i="37" s="1"/>
  <c r="I146" i="37" s="1"/>
  <c r="G157" i="34" s="1"/>
  <c r="H157" i="34" s="1"/>
  <c r="E7" i="37"/>
  <c r="F7" i="37" s="1"/>
  <c r="I7" i="37" s="1"/>
  <c r="G18" i="34" s="1"/>
  <c r="H18" i="34" s="1"/>
  <c r="E262" i="37"/>
  <c r="F262" i="37" s="1"/>
  <c r="I262" i="37" s="1"/>
  <c r="G273" i="34" s="1"/>
  <c r="H273" i="34" s="1"/>
  <c r="E192" i="37"/>
  <c r="F192" i="37" s="1"/>
  <c r="I192" i="37" s="1"/>
  <c r="G203" i="34" s="1"/>
  <c r="H203" i="34" s="1"/>
  <c r="E91" i="37"/>
  <c r="F91" i="37" s="1"/>
  <c r="I91" i="37" s="1"/>
  <c r="G102" i="34" s="1"/>
  <c r="H102" i="34" s="1"/>
  <c r="E309" i="37"/>
  <c r="F309" i="37" s="1"/>
  <c r="I309" i="37" s="1"/>
  <c r="G320" i="34" s="1"/>
  <c r="H320" i="34" s="1"/>
  <c r="E257" i="37"/>
  <c r="F257" i="37" s="1"/>
  <c r="I257" i="37" s="1"/>
  <c r="G268" i="34" s="1"/>
  <c r="H268" i="34" s="1"/>
  <c r="E193" i="37"/>
  <c r="F193" i="37" s="1"/>
  <c r="I193" i="37" s="1"/>
  <c r="G204" i="34" s="1"/>
  <c r="H204" i="34" s="1"/>
  <c r="E141" i="37"/>
  <c r="F141" i="37" s="1"/>
  <c r="I141" i="37" s="1"/>
  <c r="G152" i="34" s="1"/>
  <c r="H152" i="34" s="1"/>
  <c r="E85" i="37"/>
  <c r="F85" i="37" s="1"/>
  <c r="I85" i="37" s="1"/>
  <c r="G96" i="34" s="1"/>
  <c r="H96" i="34" s="1"/>
  <c r="E24" i="37"/>
  <c r="F24" i="37" s="1"/>
  <c r="I24" i="37" s="1"/>
  <c r="G35" i="34" s="1"/>
  <c r="H35" i="34" s="1"/>
  <c r="E94" i="37"/>
  <c r="F94" i="37" s="1"/>
  <c r="I94" i="37" s="1"/>
  <c r="G105" i="34" s="1"/>
  <c r="H105" i="34" s="1"/>
  <c r="E42" i="37"/>
  <c r="F42" i="37" s="1"/>
  <c r="I42" i="37" s="1"/>
  <c r="G53" i="34" s="1"/>
  <c r="H53" i="34" s="1"/>
  <c r="E266" i="37"/>
  <c r="F266" i="37" s="1"/>
  <c r="I266" i="37" s="1"/>
  <c r="G277" i="34" s="1"/>
  <c r="H277" i="34" s="1"/>
  <c r="E196" i="37"/>
  <c r="F196" i="37" s="1"/>
  <c r="I196" i="37" s="1"/>
  <c r="G207" i="34" s="1"/>
  <c r="H207" i="34" s="1"/>
  <c r="E112" i="37"/>
  <c r="F112" i="37" s="1"/>
  <c r="I112" i="37" s="1"/>
  <c r="G123" i="34" s="1"/>
  <c r="H123" i="34" s="1"/>
  <c r="E302" i="37"/>
  <c r="F302" i="37" s="1"/>
  <c r="I302" i="37" s="1"/>
  <c r="G313" i="34" s="1"/>
  <c r="H313" i="34" s="1"/>
  <c r="E232" i="37"/>
  <c r="F232" i="37" s="1"/>
  <c r="I232" i="37" s="1"/>
  <c r="G243" i="34" s="1"/>
  <c r="H243" i="34" s="1"/>
  <c r="E163" i="37"/>
  <c r="F163" i="37" s="1"/>
  <c r="I163" i="37" s="1"/>
  <c r="G174" i="34" s="1"/>
  <c r="H174" i="34" s="1"/>
  <c r="E47" i="37"/>
  <c r="F47" i="37" s="1"/>
  <c r="I47" i="37" s="1"/>
  <c r="G58" i="34" s="1"/>
  <c r="H58" i="34" s="1"/>
  <c r="E274" i="37"/>
  <c r="F274" i="37" s="1"/>
  <c r="I274" i="37" s="1"/>
  <c r="G285" i="34" s="1"/>
  <c r="H285" i="34" s="1"/>
  <c r="E204" i="37"/>
  <c r="F204" i="37" s="1"/>
  <c r="I204" i="37" s="1"/>
  <c r="G215" i="34" s="1"/>
  <c r="H215" i="34" s="1"/>
  <c r="E108" i="37"/>
  <c r="F108" i="37" s="1"/>
  <c r="I108" i="37" s="1"/>
  <c r="G119" i="34" s="1"/>
  <c r="H119" i="34" s="1"/>
  <c r="E320" i="37"/>
  <c r="F320" i="37" s="1"/>
  <c r="I320" i="37" s="1"/>
  <c r="G331" i="34" s="1"/>
  <c r="H331" i="34" s="1"/>
  <c r="E246" i="37"/>
  <c r="F246" i="37" s="1"/>
  <c r="I246" i="37" s="1"/>
  <c r="G257" i="34" s="1"/>
  <c r="H257" i="34" s="1"/>
  <c r="E160" i="37"/>
  <c r="F160" i="37" s="1"/>
  <c r="I160" i="37" s="1"/>
  <c r="G171" i="34" s="1"/>
  <c r="H171" i="34" s="1"/>
  <c r="E67" i="37"/>
  <c r="F67" i="37" s="1"/>
  <c r="I67" i="37" s="1"/>
  <c r="G78" i="34" s="1"/>
  <c r="H78" i="34" s="1"/>
  <c r="E301" i="37"/>
  <c r="F301" i="37" s="1"/>
  <c r="I301" i="37" s="1"/>
  <c r="G312" i="34" s="1"/>
  <c r="H312" i="34" s="1"/>
  <c r="E237" i="37"/>
  <c r="F237" i="37" s="1"/>
  <c r="I237" i="37" s="1"/>
  <c r="G248" i="34" s="1"/>
  <c r="H248" i="34" s="1"/>
  <c r="E181" i="37"/>
  <c r="F181" i="37" s="1"/>
  <c r="I181" i="37" s="1"/>
  <c r="G192" i="34" s="1"/>
  <c r="H192" i="34" s="1"/>
  <c r="E129" i="37"/>
  <c r="F129" i="37" s="1"/>
  <c r="I129" i="37" s="1"/>
  <c r="G140" i="34" s="1"/>
  <c r="H140" i="34" s="1"/>
  <c r="E65" i="37"/>
  <c r="F65" i="37" s="1"/>
  <c r="I65" i="37" s="1"/>
  <c r="G76" i="34" s="1"/>
  <c r="H76" i="34" s="1"/>
  <c r="E138" i="37"/>
  <c r="F138" i="37" s="1"/>
  <c r="I138" i="37" s="1"/>
  <c r="G149" i="34" s="1"/>
  <c r="H149" i="34" s="1"/>
  <c r="E82" i="37"/>
  <c r="F82" i="37" s="1"/>
  <c r="I82" i="37" s="1"/>
  <c r="G93" i="34" s="1"/>
  <c r="H93" i="34" s="1"/>
  <c r="E37" i="37"/>
  <c r="F37" i="37" s="1"/>
  <c r="I37" i="37" s="1"/>
  <c r="G48" i="34" s="1"/>
  <c r="H48" i="34" s="1"/>
  <c r="E282" i="37"/>
  <c r="F282" i="37" s="1"/>
  <c r="I282" i="37" s="1"/>
  <c r="G293" i="34" s="1"/>
  <c r="H293" i="34" s="1"/>
  <c r="E223" i="37"/>
  <c r="F223" i="37" s="1"/>
  <c r="I223" i="37" s="1"/>
  <c r="G234" i="34" s="1"/>
  <c r="H234" i="34" s="1"/>
  <c r="E164" i="37"/>
  <c r="F164" i="37" s="1"/>
  <c r="I164" i="37" s="1"/>
  <c r="G175" i="34" s="1"/>
  <c r="H175" i="34" s="1"/>
  <c r="E96" i="37"/>
  <c r="F96" i="37" s="1"/>
  <c r="I96" i="37" s="1"/>
  <c r="G107" i="34" s="1"/>
  <c r="H107" i="34" s="1"/>
  <c r="E318" i="37"/>
  <c r="F318" i="37" s="1"/>
  <c r="I318" i="37" s="1"/>
  <c r="G329" i="34" s="1"/>
  <c r="H329" i="34" s="1"/>
  <c r="E259" i="37"/>
  <c r="F259" i="37" s="1"/>
  <c r="I259" i="37" s="1"/>
  <c r="G270" i="34" s="1"/>
  <c r="H270" i="34" s="1"/>
  <c r="E206" i="37"/>
  <c r="F206" i="37" s="1"/>
  <c r="I206" i="37" s="1"/>
  <c r="G217" i="34" s="1"/>
  <c r="H217" i="34" s="1"/>
  <c r="E147" i="37"/>
  <c r="F147" i="37" s="1"/>
  <c r="I147" i="37" s="1"/>
  <c r="G158" i="34" s="1"/>
  <c r="H158" i="34" s="1"/>
  <c r="E63" i="37"/>
  <c r="F63" i="37" s="1"/>
  <c r="I63" i="37" s="1"/>
  <c r="G74" i="34" s="1"/>
  <c r="H74" i="34" s="1"/>
  <c r="E306" i="37"/>
  <c r="F306" i="37" s="1"/>
  <c r="I306" i="37" s="1"/>
  <c r="G317" i="34" s="1"/>
  <c r="H317" i="34" s="1"/>
  <c r="E247" i="37"/>
  <c r="F247" i="37" s="1"/>
  <c r="I247" i="37" s="1"/>
  <c r="G258" i="34" s="1"/>
  <c r="H258" i="34" s="1"/>
  <c r="E188" i="37"/>
  <c r="F188" i="37" s="1"/>
  <c r="I188" i="37" s="1"/>
  <c r="G199" i="34" s="1"/>
  <c r="H199" i="34" s="1"/>
  <c r="E132" i="37"/>
  <c r="F132" i="37" s="1"/>
  <c r="I132" i="37" s="1"/>
  <c r="G143" i="34" s="1"/>
  <c r="H143" i="34" s="1"/>
  <c r="E44" i="37"/>
  <c r="F44" i="37" s="1"/>
  <c r="I44" i="37" s="1"/>
  <c r="G55" i="34" s="1"/>
  <c r="H55" i="34" s="1"/>
  <c r="E288" i="37"/>
  <c r="F288" i="37" s="1"/>
  <c r="I288" i="37" s="1"/>
  <c r="G299" i="34" s="1"/>
  <c r="H299" i="34" s="1"/>
  <c r="E235" i="37"/>
  <c r="F235" i="37" s="1"/>
  <c r="I235" i="37" s="1"/>
  <c r="G246" i="34" s="1"/>
  <c r="H246" i="34" s="1"/>
  <c r="E176" i="37"/>
  <c r="F176" i="37" s="1"/>
  <c r="I176" i="37" s="1"/>
  <c r="G187" i="34" s="1"/>
  <c r="H187" i="34" s="1"/>
  <c r="E107" i="37"/>
  <c r="F107" i="37" s="1"/>
  <c r="I107" i="37" s="1"/>
  <c r="G118" i="34" s="1"/>
  <c r="H118" i="34" s="1"/>
  <c r="E18" i="37"/>
  <c r="F18" i="37" s="1"/>
  <c r="I18" i="37" s="1"/>
  <c r="G29" i="34" s="1"/>
  <c r="H29" i="34" s="1"/>
  <c r="E289" i="37"/>
  <c r="F289" i="37" s="1"/>
  <c r="I289" i="37" s="1"/>
  <c r="G300" i="34" s="1"/>
  <c r="H300" i="34" s="1"/>
  <c r="E245" i="37"/>
  <c r="F245" i="37" s="1"/>
  <c r="I245" i="37" s="1"/>
  <c r="G256" i="34" s="1"/>
  <c r="H256" i="34" s="1"/>
  <c r="E205" i="37"/>
  <c r="F205" i="37" s="1"/>
  <c r="I205" i="37" s="1"/>
  <c r="G216" i="34" s="1"/>
  <c r="H216" i="34" s="1"/>
  <c r="E161" i="37"/>
  <c r="F161" i="37" s="1"/>
  <c r="I161" i="37" s="1"/>
  <c r="G172" i="34" s="1"/>
  <c r="H172" i="34" s="1"/>
  <c r="E117" i="37"/>
  <c r="F117" i="37" s="1"/>
  <c r="I117" i="37" s="1"/>
  <c r="G128" i="34" s="1"/>
  <c r="H128" i="34" s="1"/>
  <c r="E77" i="37"/>
  <c r="F77" i="37" s="1"/>
  <c r="I77" i="37" s="1"/>
  <c r="G88" i="34" s="1"/>
  <c r="H88" i="34" s="1"/>
  <c r="E31" i="37"/>
  <c r="F31" i="37" s="1"/>
  <c r="I31" i="37" s="1"/>
  <c r="G42" i="34" s="1"/>
  <c r="H42" i="34" s="1"/>
  <c r="E114" i="37"/>
  <c r="F114" i="37" s="1"/>
  <c r="I114" i="37" s="1"/>
  <c r="G125" i="34" s="1"/>
  <c r="H125" i="34" s="1"/>
  <c r="E74" i="37"/>
  <c r="F74" i="37" s="1"/>
  <c r="I74" i="37" s="1"/>
  <c r="G85" i="34" s="1"/>
  <c r="H85" i="34" s="1"/>
  <c r="E27" i="37"/>
  <c r="F27" i="37" s="1"/>
  <c r="I27" i="37" s="1"/>
  <c r="G38" i="34" s="1"/>
  <c r="H38" i="34" s="1"/>
  <c r="E314" i="37"/>
  <c r="F314" i="37" s="1"/>
  <c r="I314" i="37" s="1"/>
  <c r="G325" i="34" s="1"/>
  <c r="H325" i="34" s="1"/>
  <c r="E287" i="37"/>
  <c r="F287" i="37" s="1"/>
  <c r="I287" i="37" s="1"/>
  <c r="G298" i="34" s="1"/>
  <c r="H298" i="34" s="1"/>
  <c r="E260" i="37"/>
  <c r="F260" i="37" s="1"/>
  <c r="I260" i="37" s="1"/>
  <c r="G271" i="34" s="1"/>
  <c r="H271" i="34" s="1"/>
  <c r="E228" i="37"/>
  <c r="F228" i="37" s="1"/>
  <c r="I228" i="37" s="1"/>
  <c r="G239" i="34" s="1"/>
  <c r="H239" i="34" s="1"/>
  <c r="E202" i="37"/>
  <c r="F202" i="37" s="1"/>
  <c r="I202" i="37" s="1"/>
  <c r="G213" i="34" s="1"/>
  <c r="H213" i="34" s="1"/>
  <c r="E175" i="37"/>
  <c r="F175" i="37" s="1"/>
  <c r="I175" i="37" s="1"/>
  <c r="G186" i="34" s="1"/>
  <c r="H186" i="34" s="1"/>
  <c r="E143" i="37"/>
  <c r="F143" i="37" s="1"/>
  <c r="I143" i="37" s="1"/>
  <c r="G154" i="34" s="1"/>
  <c r="H154" i="34" s="1"/>
  <c r="E104" i="37"/>
  <c r="F104" i="37" s="1"/>
  <c r="I104" i="37" s="1"/>
  <c r="G115" i="34" s="1"/>
  <c r="H115" i="34" s="1"/>
  <c r="E64" i="37"/>
  <c r="F64" i="37" s="1"/>
  <c r="I64" i="37" s="1"/>
  <c r="G75" i="34" s="1"/>
  <c r="H75" i="34" s="1"/>
  <c r="E14" i="37"/>
  <c r="F14" i="37" s="1"/>
  <c r="I14" i="37" s="1"/>
  <c r="G25" i="34" s="1"/>
  <c r="H25" i="34" s="1"/>
  <c r="E296" i="37"/>
  <c r="F296" i="37" s="1"/>
  <c r="I296" i="37" s="1"/>
  <c r="G307" i="34" s="1"/>
  <c r="H307" i="34" s="1"/>
  <c r="E270" i="37"/>
  <c r="F270" i="37" s="1"/>
  <c r="I270" i="37" s="1"/>
  <c r="G281" i="34" s="1"/>
  <c r="H281" i="34" s="1"/>
  <c r="E238" i="37"/>
  <c r="F238" i="37" s="1"/>
  <c r="I238" i="37" s="1"/>
  <c r="G249" i="34" s="1"/>
  <c r="H249" i="34" s="1"/>
  <c r="E211" i="37"/>
  <c r="F211" i="37" s="1"/>
  <c r="I211" i="37" s="1"/>
  <c r="G222" i="34" s="1"/>
  <c r="H222" i="34" s="1"/>
  <c r="E184" i="37"/>
  <c r="F184" i="37" s="1"/>
  <c r="I184" i="37" s="1"/>
  <c r="G195" i="34" s="1"/>
  <c r="H195" i="34" s="1"/>
  <c r="E152" i="37"/>
  <c r="F152" i="37" s="1"/>
  <c r="I152" i="37" s="1"/>
  <c r="G163" i="34" s="1"/>
  <c r="H163" i="34" s="1"/>
  <c r="E119" i="37"/>
  <c r="F119" i="37" s="1"/>
  <c r="I119" i="37" s="1"/>
  <c r="G130" i="34" s="1"/>
  <c r="H130" i="34" s="1"/>
  <c r="E79" i="37"/>
  <c r="F79" i="37" s="1"/>
  <c r="I79" i="37" s="1"/>
  <c r="G90" i="34" s="1"/>
  <c r="H90" i="34" s="1"/>
  <c r="E28" i="37"/>
  <c r="F28" i="37" s="1"/>
  <c r="I28" i="37" s="1"/>
  <c r="G39" i="34" s="1"/>
  <c r="H39" i="34" s="1"/>
  <c r="E311" i="37"/>
  <c r="F311" i="37" s="1"/>
  <c r="I311" i="37" s="1"/>
  <c r="G322" i="34" s="1"/>
  <c r="H322" i="34" s="1"/>
  <c r="E284" i="37"/>
  <c r="F284" i="37" s="1"/>
  <c r="I284" i="37" s="1"/>
  <c r="G295" i="34" s="1"/>
  <c r="H295" i="34" s="1"/>
  <c r="E252" i="37"/>
  <c r="F252" i="37" s="1"/>
  <c r="I252" i="37" s="1"/>
  <c r="G263" i="34" s="1"/>
  <c r="H263" i="34" s="1"/>
  <c r="E226" i="37"/>
  <c r="F226" i="37" s="1"/>
  <c r="I226" i="37" s="1"/>
  <c r="G237" i="34" s="1"/>
  <c r="H237" i="34" s="1"/>
  <c r="E199" i="37"/>
  <c r="F199" i="37" s="1"/>
  <c r="I199" i="37" s="1"/>
  <c r="G210" i="34" s="1"/>
  <c r="H210" i="34" s="1"/>
  <c r="E167" i="37"/>
  <c r="F167" i="37" s="1"/>
  <c r="I167" i="37" s="1"/>
  <c r="G178" i="34" s="1"/>
  <c r="H178" i="34" s="1"/>
  <c r="E140" i="37"/>
  <c r="F140" i="37" s="1"/>
  <c r="I140" i="37" s="1"/>
  <c r="G151" i="34" s="1"/>
  <c r="H151" i="34" s="1"/>
  <c r="E100" i="37"/>
  <c r="F100" i="37" s="1"/>
  <c r="I100" i="37" s="1"/>
  <c r="G111" i="34" s="1"/>
  <c r="H111" i="34" s="1"/>
  <c r="E52" i="37"/>
  <c r="F52" i="37" s="1"/>
  <c r="I52" i="37" s="1"/>
  <c r="G63" i="34" s="1"/>
  <c r="H63" i="34" s="1"/>
  <c r="E11" i="37"/>
  <c r="F11" i="37" s="1"/>
  <c r="I11" i="37" s="1"/>
  <c r="G22" i="34" s="1"/>
  <c r="H22" i="34" s="1"/>
  <c r="E299" i="37"/>
  <c r="F299" i="37" s="1"/>
  <c r="I299" i="37" s="1"/>
  <c r="G310" i="34" s="1"/>
  <c r="H310" i="34" s="1"/>
  <c r="E267" i="37"/>
  <c r="F267" i="37" s="1"/>
  <c r="I267" i="37" s="1"/>
  <c r="G278" i="34" s="1"/>
  <c r="H278" i="34" s="1"/>
  <c r="E240" i="37"/>
  <c r="F240" i="37" s="1"/>
  <c r="I240" i="37" s="1"/>
  <c r="G251" i="34" s="1"/>
  <c r="H251" i="34" s="1"/>
  <c r="E214" i="37"/>
  <c r="F214" i="37" s="1"/>
  <c r="I214" i="37" s="1"/>
  <c r="G225" i="34" s="1"/>
  <c r="H225" i="34" s="1"/>
  <c r="E182" i="37"/>
  <c r="F182" i="37" s="1"/>
  <c r="I182" i="37" s="1"/>
  <c r="G193" i="34" s="1"/>
  <c r="H193" i="34" s="1"/>
  <c r="E155" i="37"/>
  <c r="F155" i="37" s="1"/>
  <c r="I155" i="37" s="1"/>
  <c r="G166" i="34" s="1"/>
  <c r="H166" i="34" s="1"/>
  <c r="E123" i="37"/>
  <c r="F123" i="37" s="1"/>
  <c r="I123" i="37" s="1"/>
  <c r="G134" i="34" s="1"/>
  <c r="H134" i="34" s="1"/>
  <c r="E75" i="37"/>
  <c r="F75" i="37" s="1"/>
  <c r="I75" i="37" s="1"/>
  <c r="G86" i="34" s="1"/>
  <c r="H86" i="34" s="1"/>
  <c r="E34" i="37"/>
  <c r="F34" i="37" s="1"/>
  <c r="I34" i="37" s="1"/>
  <c r="G45" i="34" s="1"/>
  <c r="H45" i="34" s="1"/>
  <c r="E317" i="37"/>
  <c r="F317" i="37" s="1"/>
  <c r="I317" i="37" s="1"/>
  <c r="G328" i="34" s="1"/>
  <c r="H328" i="34" s="1"/>
  <c r="E293" i="37"/>
  <c r="F293" i="37" s="1"/>
  <c r="I293" i="37" s="1"/>
  <c r="G304" i="34" s="1"/>
  <c r="H304" i="34" s="1"/>
  <c r="E273" i="37"/>
  <c r="F273" i="37" s="1"/>
  <c r="I273" i="37" s="1"/>
  <c r="G284" i="34" s="1"/>
  <c r="H284" i="34" s="1"/>
  <c r="E253" i="37"/>
  <c r="F253" i="37" s="1"/>
  <c r="I253" i="37" s="1"/>
  <c r="G264" i="34" s="1"/>
  <c r="H264" i="34" s="1"/>
  <c r="E229" i="37"/>
  <c r="F229" i="37" s="1"/>
  <c r="I229" i="37" s="1"/>
  <c r="G240" i="34" s="1"/>
  <c r="H240" i="34" s="1"/>
  <c r="E209" i="37"/>
  <c r="F209" i="37" s="1"/>
  <c r="I209" i="37" s="1"/>
  <c r="G220" i="34" s="1"/>
  <c r="H220" i="34" s="1"/>
  <c r="E189" i="37"/>
  <c r="F189" i="37" s="1"/>
  <c r="I189" i="37" s="1"/>
  <c r="G200" i="34" s="1"/>
  <c r="H200" i="34" s="1"/>
  <c r="E165" i="37"/>
  <c r="F165" i="37" s="1"/>
  <c r="I165" i="37" s="1"/>
  <c r="G176" i="34" s="1"/>
  <c r="H176" i="34" s="1"/>
  <c r="E145" i="37"/>
  <c r="F145" i="37" s="1"/>
  <c r="I145" i="37" s="1"/>
  <c r="G156" i="34" s="1"/>
  <c r="H156" i="34" s="1"/>
  <c r="E125" i="37"/>
  <c r="F125" i="37" s="1"/>
  <c r="I125" i="37" s="1"/>
  <c r="G136" i="34" s="1"/>
  <c r="H136" i="34" s="1"/>
  <c r="E101" i="37"/>
  <c r="F101" i="37" s="1"/>
  <c r="I101" i="37" s="1"/>
  <c r="G112" i="34" s="1"/>
  <c r="H112" i="34" s="1"/>
  <c r="E81" i="37"/>
  <c r="F81" i="37" s="1"/>
  <c r="I81" i="37" s="1"/>
  <c r="G92" i="34" s="1"/>
  <c r="H92" i="34" s="1"/>
  <c r="E61" i="37"/>
  <c r="F61" i="37" s="1"/>
  <c r="I61" i="37" s="1"/>
  <c r="G72" i="34" s="1"/>
  <c r="H72" i="34" s="1"/>
  <c r="E36" i="37"/>
  <c r="F36" i="37" s="1"/>
  <c r="I36" i="37" s="1"/>
  <c r="G47" i="34" s="1"/>
  <c r="H47" i="34" s="1"/>
  <c r="E19" i="37"/>
  <c r="F19" i="37" s="1"/>
  <c r="I19" i="37" s="1"/>
  <c r="G30" i="34" s="1"/>
  <c r="H30" i="34" s="1"/>
  <c r="E122" i="37"/>
  <c r="F122" i="37" s="1"/>
  <c r="I122" i="37" s="1"/>
  <c r="G133" i="34" s="1"/>
  <c r="H133" i="34" s="1"/>
  <c r="E98" i="37"/>
  <c r="F98" i="37" s="1"/>
  <c r="I98" i="37" s="1"/>
  <c r="G109" i="34" s="1"/>
  <c r="H109" i="34" s="1"/>
  <c r="E78" i="37"/>
  <c r="F78" i="37" s="1"/>
  <c r="I78" i="37" s="1"/>
  <c r="G89" i="34" s="1"/>
  <c r="H89" i="34" s="1"/>
  <c r="E58" i="37"/>
  <c r="F58" i="37" s="1"/>
  <c r="I58" i="37" s="1"/>
  <c r="G69" i="34" s="1"/>
  <c r="H69" i="34" s="1"/>
  <c r="E32" i="37"/>
  <c r="F32" i="37" s="1"/>
  <c r="I32" i="37" s="1"/>
  <c r="G43" i="34" s="1"/>
  <c r="H43" i="34" s="1"/>
  <c r="E33" i="37"/>
  <c r="F33" i="37" s="1"/>
  <c r="I33" i="37" s="1"/>
  <c r="G44" i="34" s="1"/>
  <c r="H44" i="34" s="1"/>
  <c r="E5" i="37"/>
  <c r="F5" i="37" s="1"/>
  <c r="I5" i="37" s="1"/>
  <c r="F28" i="48" s="1"/>
  <c r="E9" i="37"/>
  <c r="F9" i="37" s="1"/>
  <c r="I9" i="37" s="1"/>
  <c r="G20" i="34" s="1"/>
  <c r="H20" i="34" s="1"/>
  <c r="E303" i="37"/>
  <c r="F303" i="37" s="1"/>
  <c r="I303" i="37" s="1"/>
  <c r="G314" i="34" s="1"/>
  <c r="H314" i="34" s="1"/>
  <c r="E271" i="37"/>
  <c r="F271" i="37" s="1"/>
  <c r="I271" i="37" s="1"/>
  <c r="G282" i="34" s="1"/>
  <c r="H282" i="34" s="1"/>
  <c r="E244" i="37"/>
  <c r="F244" i="37" s="1"/>
  <c r="I244" i="37" s="1"/>
  <c r="G255" i="34" s="1"/>
  <c r="H255" i="34" s="1"/>
  <c r="E218" i="37"/>
  <c r="F218" i="37" s="1"/>
  <c r="I218" i="37" s="1"/>
  <c r="G229" i="34" s="1"/>
  <c r="H229" i="34" s="1"/>
  <c r="E186" i="37"/>
  <c r="F186" i="37" s="1"/>
  <c r="I186" i="37" s="1"/>
  <c r="G197" i="34" s="1"/>
  <c r="H197" i="34" s="1"/>
  <c r="E159" i="37"/>
  <c r="F159" i="37" s="1"/>
  <c r="I159" i="37" s="1"/>
  <c r="G170" i="34" s="1"/>
  <c r="H170" i="34" s="1"/>
  <c r="E128" i="37"/>
  <c r="F128" i="37" s="1"/>
  <c r="I128" i="37" s="1"/>
  <c r="G139" i="34" s="1"/>
  <c r="H139" i="34" s="1"/>
  <c r="E80" i="37"/>
  <c r="F80" i="37" s="1"/>
  <c r="I80" i="37" s="1"/>
  <c r="G91" i="34" s="1"/>
  <c r="H91" i="34" s="1"/>
  <c r="E40" i="37"/>
  <c r="F40" i="37" s="1"/>
  <c r="I40" i="37" s="1"/>
  <c r="G51" i="34" s="1"/>
  <c r="H51" i="34" s="1"/>
  <c r="E312" i="37"/>
  <c r="F312" i="37" s="1"/>
  <c r="I312" i="37" s="1"/>
  <c r="G323" i="34" s="1"/>
  <c r="H323" i="34" s="1"/>
  <c r="E280" i="37"/>
  <c r="F280" i="37" s="1"/>
  <c r="I280" i="37" s="1"/>
  <c r="G291" i="34" s="1"/>
  <c r="H291" i="34" s="1"/>
  <c r="E254" i="37"/>
  <c r="F254" i="37" s="1"/>
  <c r="I254" i="37" s="1"/>
  <c r="G265" i="34" s="1"/>
  <c r="H265" i="34" s="1"/>
  <c r="E227" i="37"/>
  <c r="F227" i="37" s="1"/>
  <c r="I227" i="37" s="1"/>
  <c r="G238" i="34" s="1"/>
  <c r="H238" i="34" s="1"/>
  <c r="E195" i="37"/>
  <c r="F195" i="37" s="1"/>
  <c r="I195" i="37" s="1"/>
  <c r="G206" i="34" s="1"/>
  <c r="H206" i="34" s="1"/>
  <c r="E168" i="37"/>
  <c r="F168" i="37" s="1"/>
  <c r="I168" i="37" s="1"/>
  <c r="G179" i="34" s="1"/>
  <c r="H179" i="34" s="1"/>
  <c r="E142" i="37"/>
  <c r="F142" i="37" s="1"/>
  <c r="I142" i="37" s="1"/>
  <c r="G153" i="34" s="1"/>
  <c r="H153" i="34" s="1"/>
  <c r="E95" i="37"/>
  <c r="F95" i="37" s="1"/>
  <c r="I95" i="37" s="1"/>
  <c r="G106" i="34" s="1"/>
  <c r="H106" i="34" s="1"/>
  <c r="E55" i="37"/>
  <c r="F55" i="37" s="1"/>
  <c r="I55" i="37" s="1"/>
  <c r="G66" i="34" s="1"/>
  <c r="H66" i="34" s="1"/>
  <c r="E12" i="37"/>
  <c r="F12" i="37" s="1"/>
  <c r="I12" i="37" s="1"/>
  <c r="G23" i="34" s="1"/>
  <c r="H23" i="34" s="1"/>
  <c r="E295" i="37"/>
  <c r="F295" i="37" s="1"/>
  <c r="I295" i="37" s="1"/>
  <c r="G306" i="34" s="1"/>
  <c r="H306" i="34" s="1"/>
  <c r="E268" i="37"/>
  <c r="F268" i="37" s="1"/>
  <c r="I268" i="37" s="1"/>
  <c r="G279" i="34" s="1"/>
  <c r="H279" i="34" s="1"/>
  <c r="E242" i="37"/>
  <c r="F242" i="37" s="1"/>
  <c r="I242" i="37" s="1"/>
  <c r="G253" i="34" s="1"/>
  <c r="H253" i="34" s="1"/>
  <c r="E210" i="37"/>
  <c r="F210" i="37" s="1"/>
  <c r="I210" i="37" s="1"/>
  <c r="G221" i="34" s="1"/>
  <c r="H221" i="34" s="1"/>
  <c r="E183" i="37"/>
  <c r="F183" i="37" s="1"/>
  <c r="I183" i="37" s="1"/>
  <c r="G194" i="34" s="1"/>
  <c r="H194" i="34" s="1"/>
  <c r="E156" i="37"/>
  <c r="F156" i="37" s="1"/>
  <c r="I156" i="37" s="1"/>
  <c r="G167" i="34" s="1"/>
  <c r="H167" i="34" s="1"/>
  <c r="E116" i="37"/>
  <c r="F116" i="37" s="1"/>
  <c r="I116" i="37" s="1"/>
  <c r="G127" i="34" s="1"/>
  <c r="H127" i="34" s="1"/>
  <c r="E76" i="37"/>
  <c r="F76" i="37" s="1"/>
  <c r="I76" i="37" s="1"/>
  <c r="G87" i="34" s="1"/>
  <c r="H87" i="34" s="1"/>
  <c r="E35" i="37"/>
  <c r="F35" i="37" s="1"/>
  <c r="I35" i="37" s="1"/>
  <c r="G46" i="34" s="1"/>
  <c r="H46" i="34" s="1"/>
  <c r="E310" i="37"/>
  <c r="F310" i="37" s="1"/>
  <c r="I310" i="37" s="1"/>
  <c r="G321" i="34" s="1"/>
  <c r="H321" i="34" s="1"/>
  <c r="E283" i="37"/>
  <c r="F283" i="37" s="1"/>
  <c r="I283" i="37" s="1"/>
  <c r="G294" i="34" s="1"/>
  <c r="H294" i="34" s="1"/>
  <c r="E256" i="37"/>
  <c r="F256" i="37" s="1"/>
  <c r="I256" i="37" s="1"/>
  <c r="G267" i="34" s="1"/>
  <c r="H267" i="34" s="1"/>
  <c r="E224" i="37"/>
  <c r="F224" i="37" s="1"/>
  <c r="I224" i="37" s="1"/>
  <c r="G235" i="34" s="1"/>
  <c r="H235" i="34" s="1"/>
  <c r="E198" i="37"/>
  <c r="F198" i="37" s="1"/>
  <c r="I198" i="37" s="1"/>
  <c r="G209" i="34" s="1"/>
  <c r="H209" i="34" s="1"/>
  <c r="E171" i="37"/>
  <c r="F171" i="37" s="1"/>
  <c r="I171" i="37" s="1"/>
  <c r="G182" i="34" s="1"/>
  <c r="H182" i="34" s="1"/>
  <c r="E139" i="37"/>
  <c r="F139" i="37" s="1"/>
  <c r="I139" i="37" s="1"/>
  <c r="G150" i="34" s="1"/>
  <c r="H150" i="34" s="1"/>
  <c r="E99" i="37"/>
  <c r="F99" i="37" s="1"/>
  <c r="I99" i="37" s="1"/>
  <c r="G110" i="34" s="1"/>
  <c r="H110" i="34" s="1"/>
  <c r="E59" i="37"/>
  <c r="F59" i="37" s="1"/>
  <c r="I59" i="37" s="1"/>
  <c r="G70" i="34" s="1"/>
  <c r="H70" i="34" s="1"/>
  <c r="E10" i="37"/>
  <c r="F10" i="37" s="1"/>
  <c r="I10" i="37" s="1"/>
  <c r="G21" i="34" s="1"/>
  <c r="H21" i="34" s="1"/>
  <c r="E305" i="37"/>
  <c r="F305" i="37" s="1"/>
  <c r="I305" i="37" s="1"/>
  <c r="G316" i="34" s="1"/>
  <c r="H316" i="34" s="1"/>
  <c r="E285" i="37"/>
  <c r="F285" i="37" s="1"/>
  <c r="I285" i="37" s="1"/>
  <c r="G296" i="34" s="1"/>
  <c r="H296" i="34" s="1"/>
  <c r="E261" i="37"/>
  <c r="F261" i="37" s="1"/>
  <c r="I261" i="37" s="1"/>
  <c r="G272" i="34" s="1"/>
  <c r="H272" i="34" s="1"/>
  <c r="E241" i="37"/>
  <c r="F241" i="37" s="1"/>
  <c r="I241" i="37" s="1"/>
  <c r="G252" i="34" s="1"/>
  <c r="H252" i="34" s="1"/>
  <c r="E221" i="37"/>
  <c r="F221" i="37" s="1"/>
  <c r="I221" i="37" s="1"/>
  <c r="G232" i="34" s="1"/>
  <c r="H232" i="34" s="1"/>
  <c r="E197" i="37"/>
  <c r="F197" i="37" s="1"/>
  <c r="I197" i="37" s="1"/>
  <c r="G208" i="34" s="1"/>
  <c r="H208" i="34" s="1"/>
  <c r="E177" i="37"/>
  <c r="F177" i="37" s="1"/>
  <c r="I177" i="37" s="1"/>
  <c r="G188" i="34" s="1"/>
  <c r="H188" i="34" s="1"/>
  <c r="E157" i="37"/>
  <c r="F157" i="37" s="1"/>
  <c r="I157" i="37" s="1"/>
  <c r="G168" i="34" s="1"/>
  <c r="H168" i="34" s="1"/>
  <c r="E133" i="37"/>
  <c r="F133" i="37" s="1"/>
  <c r="I133" i="37" s="1"/>
  <c r="G144" i="34" s="1"/>
  <c r="H144" i="34" s="1"/>
  <c r="E113" i="37"/>
  <c r="F113" i="37" s="1"/>
  <c r="I113" i="37" s="1"/>
  <c r="G124" i="34" s="1"/>
  <c r="H124" i="34" s="1"/>
  <c r="E93" i="37"/>
  <c r="F93" i="37" s="1"/>
  <c r="I93" i="37" s="1"/>
  <c r="G104" i="34" s="1"/>
  <c r="H104" i="34" s="1"/>
  <c r="E69" i="37"/>
  <c r="F69" i="37" s="1"/>
  <c r="I69" i="37" s="1"/>
  <c r="G80" i="34" s="1"/>
  <c r="H80" i="34" s="1"/>
  <c r="E49" i="37"/>
  <c r="F49" i="37" s="1"/>
  <c r="I49" i="37" s="1"/>
  <c r="G60" i="34" s="1"/>
  <c r="H60" i="34" s="1"/>
  <c r="E26" i="37"/>
  <c r="F26" i="37" s="1"/>
  <c r="I26" i="37" s="1"/>
  <c r="G37" i="34" s="1"/>
  <c r="H37" i="34" s="1"/>
  <c r="E130" i="37"/>
  <c r="F130" i="37" s="1"/>
  <c r="I130" i="37" s="1"/>
  <c r="G141" i="34" s="1"/>
  <c r="H141" i="34" s="1"/>
  <c r="E110" i="37"/>
  <c r="F110" i="37" s="1"/>
  <c r="I110" i="37" s="1"/>
  <c r="G121" i="34" s="1"/>
  <c r="H121" i="34" s="1"/>
  <c r="E90" i="37"/>
  <c r="F90" i="37" s="1"/>
  <c r="I90" i="37" s="1"/>
  <c r="G101" i="34" s="1"/>
  <c r="H101" i="34" s="1"/>
  <c r="E66" i="37"/>
  <c r="F66" i="37" s="1"/>
  <c r="I66" i="37" s="1"/>
  <c r="G77" i="34" s="1"/>
  <c r="H77" i="34" s="1"/>
  <c r="E46" i="37"/>
  <c r="F46" i="37" s="1"/>
  <c r="I46" i="37" s="1"/>
  <c r="G57" i="34" s="1"/>
  <c r="H57" i="34" s="1"/>
  <c r="E22" i="37"/>
  <c r="F22" i="37" s="1"/>
  <c r="I22" i="37" s="1"/>
  <c r="G33" i="34" s="1"/>
  <c r="H33" i="34" s="1"/>
  <c r="E21" i="37"/>
  <c r="F21" i="37" s="1"/>
  <c r="I21" i="37" s="1"/>
  <c r="G32" i="34" s="1"/>
  <c r="H32" i="34" s="1"/>
  <c r="E319" i="37"/>
  <c r="F319" i="37" s="1"/>
  <c r="I319" i="37" s="1"/>
  <c r="G330" i="34" s="1"/>
  <c r="H330" i="34" s="1"/>
  <c r="E298" i="37"/>
  <c r="F298" i="37" s="1"/>
  <c r="I298" i="37" s="1"/>
  <c r="G309" i="34" s="1"/>
  <c r="H309" i="34" s="1"/>
  <c r="E276" i="37"/>
  <c r="F276" i="37" s="1"/>
  <c r="I276" i="37" s="1"/>
  <c r="G287" i="34" s="1"/>
  <c r="H287" i="34" s="1"/>
  <c r="E255" i="37"/>
  <c r="F255" i="37" s="1"/>
  <c r="I255" i="37" s="1"/>
  <c r="G266" i="34" s="1"/>
  <c r="H266" i="34" s="1"/>
  <c r="E234" i="37"/>
  <c r="F234" i="37" s="1"/>
  <c r="I234" i="37" s="1"/>
  <c r="G245" i="34" s="1"/>
  <c r="H245" i="34" s="1"/>
  <c r="E212" i="37"/>
  <c r="F212" i="37" s="1"/>
  <c r="I212" i="37" s="1"/>
  <c r="G223" i="34" s="1"/>
  <c r="H223" i="34" s="1"/>
  <c r="E191" i="37"/>
  <c r="F191" i="37" s="1"/>
  <c r="I191" i="37" s="1"/>
  <c r="G202" i="34" s="1"/>
  <c r="H202" i="34" s="1"/>
  <c r="E170" i="37"/>
  <c r="F170" i="37" s="1"/>
  <c r="I170" i="37" s="1"/>
  <c r="G181" i="34" s="1"/>
  <c r="H181" i="34" s="1"/>
  <c r="E148" i="37"/>
  <c r="F148" i="37" s="1"/>
  <c r="I148" i="37" s="1"/>
  <c r="G159" i="34" s="1"/>
  <c r="H159" i="34" s="1"/>
  <c r="E120" i="37"/>
  <c r="F120" i="37" s="1"/>
  <c r="I120" i="37" s="1"/>
  <c r="G131" i="34" s="1"/>
  <c r="H131" i="34" s="1"/>
  <c r="E88" i="37"/>
  <c r="F88" i="37" s="1"/>
  <c r="I88" i="37" s="1"/>
  <c r="G99" i="34" s="1"/>
  <c r="H99" i="34" s="1"/>
  <c r="E56" i="37"/>
  <c r="F56" i="37" s="1"/>
  <c r="I56" i="37" s="1"/>
  <c r="G67" i="34" s="1"/>
  <c r="H67" i="34" s="1"/>
  <c r="E13" i="37"/>
  <c r="F13" i="37" s="1"/>
  <c r="I13" i="37" s="1"/>
  <c r="G24" i="34" s="1"/>
  <c r="H24" i="34" s="1"/>
  <c r="E307" i="37"/>
  <c r="F307" i="37" s="1"/>
  <c r="I307" i="37" s="1"/>
  <c r="G318" i="34" s="1"/>
  <c r="H318" i="34" s="1"/>
  <c r="E286" i="37"/>
  <c r="F286" i="37" s="1"/>
  <c r="I286" i="37" s="1"/>
  <c r="G297" i="34" s="1"/>
  <c r="H297" i="34" s="1"/>
  <c r="E264" i="37"/>
  <c r="F264" i="37" s="1"/>
  <c r="I264" i="37" s="1"/>
  <c r="G275" i="34" s="1"/>
  <c r="H275" i="34" s="1"/>
  <c r="E243" i="37"/>
  <c r="F243" i="37" s="1"/>
  <c r="I243" i="37" s="1"/>
  <c r="G254" i="34" s="1"/>
  <c r="H254" i="34" s="1"/>
  <c r="E222" i="37"/>
  <c r="F222" i="37" s="1"/>
  <c r="I222" i="37" s="1"/>
  <c r="G233" i="34" s="1"/>
  <c r="H233" i="34" s="1"/>
  <c r="E200" i="37"/>
  <c r="F200" i="37" s="1"/>
  <c r="I200" i="37" s="1"/>
  <c r="G211" i="34" s="1"/>
  <c r="H211" i="34" s="1"/>
  <c r="E179" i="37"/>
  <c r="F179" i="37" s="1"/>
  <c r="I179" i="37" s="1"/>
  <c r="G190" i="34" s="1"/>
  <c r="H190" i="34" s="1"/>
  <c r="E158" i="37"/>
  <c r="F158" i="37" s="1"/>
  <c r="I158" i="37" s="1"/>
  <c r="G169" i="34" s="1"/>
  <c r="H169" i="34" s="1"/>
  <c r="E135" i="37"/>
  <c r="F135" i="37" s="1"/>
  <c r="I135" i="37" s="1"/>
  <c r="G146" i="34" s="1"/>
  <c r="H146" i="34" s="1"/>
  <c r="E103" i="37"/>
  <c r="F103" i="37" s="1"/>
  <c r="I103" i="37" s="1"/>
  <c r="G114" i="34" s="1"/>
  <c r="H114" i="34" s="1"/>
  <c r="E71" i="37"/>
  <c r="F71" i="37" s="1"/>
  <c r="I71" i="37" s="1"/>
  <c r="G82" i="34" s="1"/>
  <c r="H82" i="34" s="1"/>
  <c r="E39" i="37"/>
  <c r="F39" i="37" s="1"/>
  <c r="I39" i="37" s="1"/>
  <c r="G50" i="34" s="1"/>
  <c r="H50" i="34" s="1"/>
  <c r="E322" i="37"/>
  <c r="F322" i="37" s="1"/>
  <c r="I322" i="37" s="1"/>
  <c r="G333" i="34" s="1"/>
  <c r="H333" i="34" s="1"/>
  <c r="E300" i="37"/>
  <c r="F300" i="37" s="1"/>
  <c r="I300" i="37" s="1"/>
  <c r="G311" i="34" s="1"/>
  <c r="H311" i="34" s="1"/>
  <c r="E279" i="37"/>
  <c r="F279" i="37" s="1"/>
  <c r="I279" i="37" s="1"/>
  <c r="G290" i="34" s="1"/>
  <c r="H290" i="34" s="1"/>
  <c r="E258" i="37"/>
  <c r="F258" i="37" s="1"/>
  <c r="I258" i="37" s="1"/>
  <c r="G269" i="34" s="1"/>
  <c r="H269" i="34" s="1"/>
  <c r="E236" i="37"/>
  <c r="F236" i="37" s="1"/>
  <c r="I236" i="37" s="1"/>
  <c r="G247" i="34" s="1"/>
  <c r="H247" i="34" s="1"/>
  <c r="E215" i="37"/>
  <c r="F215" i="37" s="1"/>
  <c r="I215" i="37" s="1"/>
  <c r="G226" i="34" s="1"/>
  <c r="H226" i="34" s="1"/>
  <c r="E194" i="37"/>
  <c r="F194" i="37" s="1"/>
  <c r="I194" i="37" s="1"/>
  <c r="G205" i="34" s="1"/>
  <c r="H205" i="34" s="1"/>
  <c r="E172" i="37"/>
  <c r="F172" i="37" s="1"/>
  <c r="I172" i="37" s="1"/>
  <c r="G183" i="34" s="1"/>
  <c r="H183" i="34" s="1"/>
  <c r="E151" i="37"/>
  <c r="F151" i="37" s="1"/>
  <c r="I151" i="37" s="1"/>
  <c r="G162" i="34" s="1"/>
  <c r="H162" i="34" s="1"/>
  <c r="E124" i="37"/>
  <c r="F124" i="37" s="1"/>
  <c r="I124" i="37" s="1"/>
  <c r="G135" i="34" s="1"/>
  <c r="H135" i="34" s="1"/>
  <c r="E92" i="37"/>
  <c r="F92" i="37" s="1"/>
  <c r="I92" i="37" s="1"/>
  <c r="G103" i="34" s="1"/>
  <c r="H103" i="34" s="1"/>
  <c r="E60" i="37"/>
  <c r="F60" i="37" s="1"/>
  <c r="I60" i="37" s="1"/>
  <c r="G71" i="34" s="1"/>
  <c r="H71" i="34" s="1"/>
  <c r="E23" i="37"/>
  <c r="F23" i="37" s="1"/>
  <c r="I23" i="37" s="1"/>
  <c r="G34" i="34" s="1"/>
  <c r="H34" i="34" s="1"/>
  <c r="E315" i="37"/>
  <c r="F315" i="37" s="1"/>
  <c r="I315" i="37" s="1"/>
  <c r="G326" i="34" s="1"/>
  <c r="H326" i="34" s="1"/>
  <c r="E294" i="37"/>
  <c r="F294" i="37" s="1"/>
  <c r="I294" i="37" s="1"/>
  <c r="G305" i="34" s="1"/>
  <c r="H305" i="34" s="1"/>
  <c r="E272" i="37"/>
  <c r="F272" i="37" s="1"/>
  <c r="I272" i="37" s="1"/>
  <c r="G283" i="34" s="1"/>
  <c r="H283" i="34" s="1"/>
  <c r="E251" i="37"/>
  <c r="F251" i="37" s="1"/>
  <c r="I251" i="37" s="1"/>
  <c r="G262" i="34" s="1"/>
  <c r="H262" i="34" s="1"/>
  <c r="E230" i="37"/>
  <c r="F230" i="37" s="1"/>
  <c r="I230" i="37" s="1"/>
  <c r="G241" i="34" s="1"/>
  <c r="H241" i="34" s="1"/>
  <c r="E208" i="37"/>
  <c r="F208" i="37" s="1"/>
  <c r="I208" i="37" s="1"/>
  <c r="G219" i="34" s="1"/>
  <c r="H219" i="34" s="1"/>
  <c r="E187" i="37"/>
  <c r="F187" i="37" s="1"/>
  <c r="I187" i="37" s="1"/>
  <c r="G198" i="34" s="1"/>
  <c r="H198" i="34" s="1"/>
  <c r="E166" i="37"/>
  <c r="F166" i="37" s="1"/>
  <c r="I166" i="37" s="1"/>
  <c r="G177" i="34" s="1"/>
  <c r="H177" i="34" s="1"/>
  <c r="E144" i="37"/>
  <c r="F144" i="37" s="1"/>
  <c r="I144" i="37" s="1"/>
  <c r="G155" i="34" s="1"/>
  <c r="H155" i="34" s="1"/>
  <c r="E115" i="37"/>
  <c r="F115" i="37" s="1"/>
  <c r="I115" i="37" s="1"/>
  <c r="G126" i="34" s="1"/>
  <c r="H126" i="34" s="1"/>
  <c r="E83" i="37"/>
  <c r="F83" i="37" s="1"/>
  <c r="I83" i="37" s="1"/>
  <c r="G94" i="34" s="1"/>
  <c r="H94" i="34" s="1"/>
  <c r="E51" i="37"/>
  <c r="F51" i="37" s="1"/>
  <c r="I51" i="37" s="1"/>
  <c r="G62" i="34" s="1"/>
  <c r="H62" i="34" s="1"/>
  <c r="E8" i="37"/>
  <c r="F8" i="37" s="1"/>
  <c r="I8" i="37" s="1"/>
  <c r="G19" i="34" s="1"/>
  <c r="H19" i="34" s="1"/>
  <c r="E313" i="37"/>
  <c r="F313" i="37" s="1"/>
  <c r="I313" i="37" s="1"/>
  <c r="G324" i="34" s="1"/>
  <c r="H324" i="34" s="1"/>
  <c r="E297" i="37"/>
  <c r="F297" i="37" s="1"/>
  <c r="I297" i="37" s="1"/>
  <c r="G308" i="34" s="1"/>
  <c r="H308" i="34" s="1"/>
  <c r="E281" i="37"/>
  <c r="F281" i="37" s="1"/>
  <c r="I281" i="37" s="1"/>
  <c r="G292" i="34" s="1"/>
  <c r="H292" i="34" s="1"/>
  <c r="E265" i="37"/>
  <c r="F265" i="37" s="1"/>
  <c r="I265" i="37" s="1"/>
  <c r="G276" i="34" s="1"/>
  <c r="H276" i="34" s="1"/>
  <c r="E249" i="37"/>
  <c r="F249" i="37" s="1"/>
  <c r="I249" i="37" s="1"/>
  <c r="G260" i="34" s="1"/>
  <c r="H260" i="34" s="1"/>
  <c r="E233" i="37"/>
  <c r="F233" i="37" s="1"/>
  <c r="I233" i="37" s="1"/>
  <c r="G244" i="34" s="1"/>
  <c r="H244" i="34" s="1"/>
  <c r="E217" i="37"/>
  <c r="F217" i="37" s="1"/>
  <c r="I217" i="37" s="1"/>
  <c r="G228" i="34" s="1"/>
  <c r="H228" i="34" s="1"/>
  <c r="E201" i="37"/>
  <c r="F201" i="37" s="1"/>
  <c r="I201" i="37" s="1"/>
  <c r="G212" i="34" s="1"/>
  <c r="H212" i="34" s="1"/>
  <c r="E185" i="37"/>
  <c r="F185" i="37" s="1"/>
  <c r="I185" i="37" s="1"/>
  <c r="G196" i="34" s="1"/>
  <c r="H196" i="34" s="1"/>
  <c r="E169" i="37"/>
  <c r="F169" i="37" s="1"/>
  <c r="I169" i="37" s="1"/>
  <c r="G180" i="34" s="1"/>
  <c r="H180" i="34" s="1"/>
  <c r="E153" i="37"/>
  <c r="F153" i="37" s="1"/>
  <c r="I153" i="37" s="1"/>
  <c r="G164" i="34" s="1"/>
  <c r="H164" i="34" s="1"/>
  <c r="E137" i="37"/>
  <c r="F137" i="37" s="1"/>
  <c r="I137" i="37" s="1"/>
  <c r="G148" i="34" s="1"/>
  <c r="H148" i="34" s="1"/>
  <c r="E121" i="37"/>
  <c r="F121" i="37" s="1"/>
  <c r="I121" i="37" s="1"/>
  <c r="G132" i="34" s="1"/>
  <c r="H132" i="34" s="1"/>
  <c r="E105" i="37"/>
  <c r="F105" i="37" s="1"/>
  <c r="I105" i="37" s="1"/>
  <c r="G116" i="34" s="1"/>
  <c r="H116" i="34" s="1"/>
  <c r="E89" i="37"/>
  <c r="F89" i="37" s="1"/>
  <c r="I89" i="37" s="1"/>
  <c r="G100" i="34" s="1"/>
  <c r="H100" i="34" s="1"/>
  <c r="E73" i="37"/>
  <c r="F73" i="37" s="1"/>
  <c r="I73" i="37" s="1"/>
  <c r="G84" i="34" s="1"/>
  <c r="H84" i="34" s="1"/>
  <c r="E57" i="37"/>
  <c r="F57" i="37" s="1"/>
  <c r="I57" i="37" s="1"/>
  <c r="G68" i="34" s="1"/>
  <c r="H68" i="34" s="1"/>
  <c r="E41" i="37"/>
  <c r="F41" i="37" s="1"/>
  <c r="I41" i="37" s="1"/>
  <c r="G52" i="34" s="1"/>
  <c r="H52" i="34" s="1"/>
  <c r="E20" i="37"/>
  <c r="F20" i="37" s="1"/>
  <c r="I20" i="37" s="1"/>
  <c r="G31" i="34" s="1"/>
  <c r="H31" i="34" s="1"/>
  <c r="E134" i="37"/>
  <c r="F134" i="37" s="1"/>
  <c r="I134" i="37" s="1"/>
  <c r="G145" i="34" s="1"/>
  <c r="H145" i="34" s="1"/>
  <c r="E118" i="37"/>
  <c r="F118" i="37" s="1"/>
  <c r="I118" i="37" s="1"/>
  <c r="G129" i="34" s="1"/>
  <c r="H129" i="34" s="1"/>
  <c r="E102" i="37"/>
  <c r="F102" i="37" s="1"/>
  <c r="I102" i="37" s="1"/>
  <c r="G113" i="34" s="1"/>
  <c r="H113" i="34" s="1"/>
  <c r="E86" i="37"/>
  <c r="F86" i="37" s="1"/>
  <c r="I86" i="37" s="1"/>
  <c r="G97" i="34" s="1"/>
  <c r="H97" i="34" s="1"/>
  <c r="E70" i="37"/>
  <c r="F70" i="37" s="1"/>
  <c r="I70" i="37" s="1"/>
  <c r="G81" i="34" s="1"/>
  <c r="H81" i="34" s="1"/>
  <c r="E54" i="37"/>
  <c r="F54" i="37" s="1"/>
  <c r="I54" i="37" s="1"/>
  <c r="G65" i="34" s="1"/>
  <c r="H65" i="34" s="1"/>
  <c r="E38" i="37"/>
  <c r="F38" i="37" s="1"/>
  <c r="I38" i="37" s="1"/>
  <c r="G49" i="34" s="1"/>
  <c r="H49" i="34" s="1"/>
  <c r="E16" i="37"/>
  <c r="F16" i="37" s="1"/>
  <c r="I16" i="37" s="1"/>
  <c r="G27" i="34" s="1"/>
  <c r="H27" i="34" s="1"/>
  <c r="D5" i="9"/>
  <c r="D7" i="9"/>
  <c r="F10" i="9" s="1"/>
  <c r="F66" i="9" s="1"/>
  <c r="G66" i="9" s="1"/>
  <c r="D6" i="9"/>
  <c r="I5" i="11"/>
  <c r="I323" i="11" s="1"/>
  <c r="K36" i="40" s="1"/>
  <c r="H323" i="11"/>
  <c r="M5" i="11"/>
  <c r="M323" i="11" s="1"/>
  <c r="K37" i="40" s="1"/>
  <c r="L323" i="11"/>
  <c r="N36" i="49" l="1"/>
  <c r="O36" i="49" s="1"/>
  <c r="M36" i="25" s="1"/>
  <c r="N142" i="49"/>
  <c r="O142" i="49" s="1"/>
  <c r="M142" i="25" s="1"/>
  <c r="N48" i="49"/>
  <c r="O48" i="49" s="1"/>
  <c r="M48" i="25" s="1"/>
  <c r="N153" i="49"/>
  <c r="O153" i="49" s="1"/>
  <c r="M153" i="25" s="1"/>
  <c r="N92" i="49"/>
  <c r="O92" i="49" s="1"/>
  <c r="M92" i="25" s="1"/>
  <c r="N232" i="49"/>
  <c r="O232" i="49" s="1"/>
  <c r="M232" i="25" s="1"/>
  <c r="N20" i="49"/>
  <c r="O20" i="49" s="1"/>
  <c r="M20" i="25" s="1"/>
  <c r="N210" i="49"/>
  <c r="O210" i="49" s="1"/>
  <c r="M210" i="25" s="1"/>
  <c r="N108" i="49"/>
  <c r="O108" i="49" s="1"/>
  <c r="M108" i="25" s="1"/>
  <c r="N78" i="49"/>
  <c r="O78" i="49" s="1"/>
  <c r="M78" i="25" s="1"/>
  <c r="N218" i="49"/>
  <c r="O218" i="49" s="1"/>
  <c r="M218" i="25" s="1"/>
  <c r="N73" i="49"/>
  <c r="O73" i="49" s="1"/>
  <c r="M73" i="25" s="1"/>
  <c r="N212" i="49"/>
  <c r="O212" i="49" s="1"/>
  <c r="M212" i="25" s="1"/>
  <c r="N150" i="49"/>
  <c r="O150" i="49" s="1"/>
  <c r="M150" i="25" s="1"/>
  <c r="N320" i="49"/>
  <c r="O320" i="49" s="1"/>
  <c r="M320" i="25" s="1"/>
  <c r="N51" i="49"/>
  <c r="O51" i="49" s="1"/>
  <c r="M51" i="25" s="1"/>
  <c r="N119" i="49"/>
  <c r="O119" i="49" s="1"/>
  <c r="M119" i="25" s="1"/>
  <c r="N69" i="49"/>
  <c r="O69" i="49" s="1"/>
  <c r="M69" i="25" s="1"/>
  <c r="N115" i="49"/>
  <c r="O115" i="49" s="1"/>
  <c r="M115" i="25" s="1"/>
  <c r="N68" i="49"/>
  <c r="O68" i="49" s="1"/>
  <c r="M68" i="25" s="1"/>
  <c r="N200" i="49"/>
  <c r="O200" i="49" s="1"/>
  <c r="M200" i="25" s="1"/>
  <c r="N208" i="49"/>
  <c r="O208" i="49" s="1"/>
  <c r="M208" i="25" s="1"/>
  <c r="N305" i="49"/>
  <c r="O305" i="49" s="1"/>
  <c r="M305" i="25" s="1"/>
  <c r="N63" i="49"/>
  <c r="O63" i="49" s="1"/>
  <c r="M63" i="25" s="1"/>
  <c r="N190" i="49"/>
  <c r="O190" i="49" s="1"/>
  <c r="M190" i="25" s="1"/>
  <c r="N259" i="49"/>
  <c r="O259" i="49" s="1"/>
  <c r="M259" i="25" s="1"/>
  <c r="N168" i="49"/>
  <c r="O168" i="49" s="1"/>
  <c r="M168" i="25" s="1"/>
  <c r="N145" i="49"/>
  <c r="O145" i="49" s="1"/>
  <c r="M145" i="25" s="1"/>
  <c r="N131" i="49"/>
  <c r="O131" i="49" s="1"/>
  <c r="M131" i="25" s="1"/>
  <c r="N289" i="49"/>
  <c r="O289" i="49" s="1"/>
  <c r="M289" i="25" s="1"/>
  <c r="N13" i="49"/>
  <c r="O13" i="49" s="1"/>
  <c r="M13" i="25" s="1"/>
  <c r="N235" i="49"/>
  <c r="O235" i="49" s="1"/>
  <c r="M235" i="25" s="1"/>
  <c r="N67" i="49"/>
  <c r="O67" i="49" s="1"/>
  <c r="M67" i="25" s="1"/>
  <c r="N173" i="49"/>
  <c r="O173" i="49" s="1"/>
  <c r="M173" i="25" s="1"/>
  <c r="N162" i="49"/>
  <c r="O162" i="49" s="1"/>
  <c r="M162" i="25" s="1"/>
  <c r="N44" i="49"/>
  <c r="O44" i="49" s="1"/>
  <c r="M44" i="25" s="1"/>
  <c r="N304" i="49"/>
  <c r="O304" i="49" s="1"/>
  <c r="M304" i="25" s="1"/>
  <c r="N285" i="49"/>
  <c r="O285" i="49" s="1"/>
  <c r="M285" i="25" s="1"/>
  <c r="N286" i="49"/>
  <c r="O286" i="49" s="1"/>
  <c r="M286" i="25" s="1"/>
  <c r="N170" i="49"/>
  <c r="O170" i="49" s="1"/>
  <c r="M170" i="25" s="1"/>
  <c r="N268" i="49"/>
  <c r="O268" i="49" s="1"/>
  <c r="M268" i="25" s="1"/>
  <c r="N224" i="49"/>
  <c r="O224" i="49" s="1"/>
  <c r="M224" i="25" s="1"/>
  <c r="N117" i="49"/>
  <c r="O117" i="49" s="1"/>
  <c r="M117" i="25" s="1"/>
  <c r="N135" i="49"/>
  <c r="O135" i="49" s="1"/>
  <c r="M135" i="25" s="1"/>
  <c r="N111" i="49"/>
  <c r="O111" i="49" s="1"/>
  <c r="M111" i="25" s="1"/>
  <c r="N242" i="49"/>
  <c r="O242" i="49" s="1"/>
  <c r="M242" i="25" s="1"/>
  <c r="N23" i="49"/>
  <c r="O23" i="49" s="1"/>
  <c r="M23" i="25" s="1"/>
  <c r="N83" i="49"/>
  <c r="O83" i="49" s="1"/>
  <c r="M83" i="25" s="1"/>
  <c r="N37" i="49"/>
  <c r="O37" i="49" s="1"/>
  <c r="M37" i="25" s="1"/>
  <c r="N275" i="49"/>
  <c r="O275" i="49" s="1"/>
  <c r="M275" i="25" s="1"/>
  <c r="N180" i="49"/>
  <c r="O180" i="49" s="1"/>
  <c r="M180" i="25" s="1"/>
  <c r="N72" i="49"/>
  <c r="O72" i="49" s="1"/>
  <c r="M72" i="25" s="1"/>
  <c r="N28" i="49"/>
  <c r="O28" i="49" s="1"/>
  <c r="M28" i="25" s="1"/>
  <c r="N60" i="49"/>
  <c r="O60" i="49" s="1"/>
  <c r="M60" i="25" s="1"/>
  <c r="N29" i="49"/>
  <c r="O29" i="49" s="1"/>
  <c r="M29" i="25" s="1"/>
  <c r="N42" i="49"/>
  <c r="O42" i="49" s="1"/>
  <c r="M42" i="25" s="1"/>
  <c r="N306" i="49"/>
  <c r="O306" i="49" s="1"/>
  <c r="M306" i="25" s="1"/>
  <c r="N126" i="49"/>
  <c r="O126" i="49" s="1"/>
  <c r="M126" i="25" s="1"/>
  <c r="N229" i="49"/>
  <c r="O229" i="49" s="1"/>
  <c r="M229" i="25" s="1"/>
  <c r="N89" i="49"/>
  <c r="O89" i="49" s="1"/>
  <c r="M89" i="25" s="1"/>
  <c r="N244" i="49"/>
  <c r="O244" i="49" s="1"/>
  <c r="M244" i="25" s="1"/>
  <c r="N307" i="49"/>
  <c r="O307" i="49" s="1"/>
  <c r="M307" i="25" s="1"/>
  <c r="N203" i="49"/>
  <c r="O203" i="49" s="1"/>
  <c r="M203" i="25" s="1"/>
  <c r="N292" i="49"/>
  <c r="O292" i="49" s="1"/>
  <c r="M292" i="25" s="1"/>
  <c r="N209" i="49"/>
  <c r="O209" i="49" s="1"/>
  <c r="M209" i="25" s="1"/>
  <c r="N206" i="49"/>
  <c r="O206" i="49" s="1"/>
  <c r="M206" i="25" s="1"/>
  <c r="N109" i="49"/>
  <c r="O109" i="49" s="1"/>
  <c r="M109" i="25" s="1"/>
  <c r="N213" i="49"/>
  <c r="O213" i="49" s="1"/>
  <c r="M213" i="25" s="1"/>
  <c r="N27" i="49"/>
  <c r="O27" i="49" s="1"/>
  <c r="M27" i="25" s="1"/>
  <c r="N52" i="49"/>
  <c r="O52" i="49" s="1"/>
  <c r="M52" i="25" s="1"/>
  <c r="N226" i="49"/>
  <c r="O226" i="49" s="1"/>
  <c r="M226" i="25" s="1"/>
  <c r="N112" i="49"/>
  <c r="O112" i="49" s="1"/>
  <c r="M112" i="25" s="1"/>
  <c r="N217" i="49"/>
  <c r="O217" i="49" s="1"/>
  <c r="M217" i="25" s="1"/>
  <c r="N25" i="49"/>
  <c r="O25" i="49" s="1"/>
  <c r="M25" i="25" s="1"/>
  <c r="N56" i="49"/>
  <c r="O56" i="49" s="1"/>
  <c r="M56" i="25" s="1"/>
  <c r="N106" i="49"/>
  <c r="O106" i="49" s="1"/>
  <c r="M106" i="25" s="1"/>
  <c r="N312" i="49"/>
  <c r="O312" i="49" s="1"/>
  <c r="M312" i="25" s="1"/>
  <c r="N247" i="49"/>
  <c r="O247" i="49" s="1"/>
  <c r="M247" i="25" s="1"/>
  <c r="N221" i="49"/>
  <c r="O221" i="49" s="1"/>
  <c r="M221" i="25" s="1"/>
  <c r="N61" i="49"/>
  <c r="O61" i="49" s="1"/>
  <c r="M61" i="25" s="1"/>
  <c r="N140" i="49"/>
  <c r="O140" i="49" s="1"/>
  <c r="M140" i="25" s="1"/>
  <c r="N41" i="49"/>
  <c r="O41" i="49" s="1"/>
  <c r="M41" i="25" s="1"/>
  <c r="N70" i="49"/>
  <c r="O70" i="49" s="1"/>
  <c r="M70" i="25" s="1"/>
  <c r="N318" i="49"/>
  <c r="O318" i="49" s="1"/>
  <c r="M318" i="25" s="1"/>
  <c r="N274" i="49"/>
  <c r="O274" i="49" s="1"/>
  <c r="M274" i="25" s="1"/>
  <c r="N46" i="49"/>
  <c r="O46" i="49" s="1"/>
  <c r="M46" i="25" s="1"/>
  <c r="N199" i="49"/>
  <c r="O199" i="49" s="1"/>
  <c r="M199" i="25" s="1"/>
  <c r="N254" i="49"/>
  <c r="O254" i="49" s="1"/>
  <c r="M254" i="25" s="1"/>
  <c r="N154" i="49"/>
  <c r="O154" i="49" s="1"/>
  <c r="M154" i="25" s="1"/>
  <c r="N317" i="49"/>
  <c r="O317" i="49" s="1"/>
  <c r="M317" i="25" s="1"/>
  <c r="N50" i="49"/>
  <c r="O50" i="49" s="1"/>
  <c r="M50" i="25" s="1"/>
  <c r="N202" i="49"/>
  <c r="O202" i="49" s="1"/>
  <c r="M202" i="25" s="1"/>
  <c r="N258" i="49"/>
  <c r="O258" i="49" s="1"/>
  <c r="M258" i="25" s="1"/>
  <c r="N205" i="49"/>
  <c r="O205" i="49" s="1"/>
  <c r="M205" i="25" s="1"/>
  <c r="N323" i="49"/>
  <c r="O323" i="49" s="1"/>
  <c r="M323" i="25" s="1"/>
  <c r="N177" i="49"/>
  <c r="O177" i="49" s="1"/>
  <c r="M177" i="25" s="1"/>
  <c r="N87" i="49"/>
  <c r="O87" i="49" s="1"/>
  <c r="M87" i="25" s="1"/>
  <c r="N276" i="49"/>
  <c r="O276" i="49" s="1"/>
  <c r="M276" i="25" s="1"/>
  <c r="N94" i="49"/>
  <c r="O94" i="49" s="1"/>
  <c r="M94" i="25" s="1"/>
  <c r="N107" i="49"/>
  <c r="O107" i="49" s="1"/>
  <c r="M107" i="25" s="1"/>
  <c r="N88" i="49"/>
  <c r="O88" i="49" s="1"/>
  <c r="M88" i="25" s="1"/>
  <c r="N277" i="49"/>
  <c r="O277" i="49" s="1"/>
  <c r="M277" i="25" s="1"/>
  <c r="N236" i="49"/>
  <c r="O236" i="49" s="1"/>
  <c r="M236" i="25" s="1"/>
  <c r="N257" i="49"/>
  <c r="O257" i="49" s="1"/>
  <c r="M257" i="25" s="1"/>
  <c r="N314" i="49"/>
  <c r="O314" i="49" s="1"/>
  <c r="M314" i="25" s="1"/>
  <c r="N260" i="49"/>
  <c r="O260" i="49" s="1"/>
  <c r="M260" i="25" s="1"/>
  <c r="N24" i="49"/>
  <c r="O24" i="49" s="1"/>
  <c r="M24" i="25" s="1"/>
  <c r="N273" i="49"/>
  <c r="O273" i="49" s="1"/>
  <c r="M273" i="25" s="1"/>
  <c r="N163" i="49"/>
  <c r="O163" i="49" s="1"/>
  <c r="M163" i="25" s="1"/>
  <c r="N243" i="49"/>
  <c r="O243" i="49" s="1"/>
  <c r="M243" i="25" s="1"/>
  <c r="N267" i="49"/>
  <c r="O267" i="49" s="1"/>
  <c r="M267" i="25" s="1"/>
  <c r="N239" i="49"/>
  <c r="O239" i="49" s="1"/>
  <c r="M239" i="25" s="1"/>
  <c r="N47" i="49"/>
  <c r="O47" i="49" s="1"/>
  <c r="M47" i="25" s="1"/>
  <c r="N227" i="49"/>
  <c r="O227" i="49" s="1"/>
  <c r="M227" i="25" s="1"/>
  <c r="N176" i="49"/>
  <c r="O176" i="49" s="1"/>
  <c r="M176" i="25" s="1"/>
  <c r="N53" i="49"/>
  <c r="O53" i="49" s="1"/>
  <c r="M53" i="25" s="1"/>
  <c r="N31" i="49"/>
  <c r="O31" i="49" s="1"/>
  <c r="M31" i="25" s="1"/>
  <c r="N234" i="49"/>
  <c r="O234" i="49" s="1"/>
  <c r="M234" i="25" s="1"/>
  <c r="N220" i="49"/>
  <c r="O220" i="49" s="1"/>
  <c r="M220" i="25" s="1"/>
  <c r="N207" i="49"/>
  <c r="O207" i="49" s="1"/>
  <c r="M207" i="25" s="1"/>
  <c r="N238" i="49"/>
  <c r="O238" i="49" s="1"/>
  <c r="M238" i="25" s="1"/>
  <c r="N279" i="49"/>
  <c r="O279" i="49" s="1"/>
  <c r="M279" i="25" s="1"/>
  <c r="N187" i="49"/>
  <c r="O187" i="49" s="1"/>
  <c r="M187" i="25" s="1"/>
  <c r="B19" i="48"/>
  <c r="N6" i="49"/>
  <c r="O6" i="49" s="1"/>
  <c r="N152" i="49"/>
  <c r="O152" i="49" s="1"/>
  <c r="M152" i="25" s="1"/>
  <c r="N121" i="49"/>
  <c r="O121" i="49" s="1"/>
  <c r="M121" i="25" s="1"/>
  <c r="N284" i="49"/>
  <c r="O284" i="49" s="1"/>
  <c r="M284" i="25" s="1"/>
  <c r="N178" i="49"/>
  <c r="O178" i="49" s="1"/>
  <c r="M178" i="25" s="1"/>
  <c r="N283" i="49"/>
  <c r="O283" i="49" s="1"/>
  <c r="M283" i="25" s="1"/>
  <c r="N96" i="49"/>
  <c r="O96" i="49" s="1"/>
  <c r="M96" i="25" s="1"/>
  <c r="N223" i="49"/>
  <c r="O223" i="49" s="1"/>
  <c r="M223" i="25" s="1"/>
  <c r="N160" i="49"/>
  <c r="O160" i="49" s="1"/>
  <c r="M160" i="25" s="1"/>
  <c r="N144" i="49"/>
  <c r="O144" i="49" s="1"/>
  <c r="M144" i="25" s="1"/>
  <c r="N302" i="49"/>
  <c r="O302" i="49" s="1"/>
  <c r="M302" i="25" s="1"/>
  <c r="N43" i="49"/>
  <c r="O43" i="49" s="1"/>
  <c r="M43" i="25" s="1"/>
  <c r="N147" i="49"/>
  <c r="O147" i="49" s="1"/>
  <c r="M147" i="25" s="1"/>
  <c r="N102" i="49"/>
  <c r="O102" i="49" s="1"/>
  <c r="M102" i="25" s="1"/>
  <c r="N270" i="49"/>
  <c r="O270" i="49" s="1"/>
  <c r="M270" i="25" s="1"/>
  <c r="N293" i="49"/>
  <c r="O293" i="49" s="1"/>
  <c r="M293" i="25" s="1"/>
  <c r="N138" i="49"/>
  <c r="O138" i="49" s="1"/>
  <c r="M138" i="25" s="1"/>
  <c r="N158" i="49"/>
  <c r="O158" i="49" s="1"/>
  <c r="M158" i="25" s="1"/>
  <c r="N139" i="49"/>
  <c r="O139" i="49" s="1"/>
  <c r="M139" i="25" s="1"/>
  <c r="N230" i="49"/>
  <c r="O230" i="49" s="1"/>
  <c r="M230" i="25" s="1"/>
  <c r="N84" i="49"/>
  <c r="O84" i="49" s="1"/>
  <c r="M84" i="25" s="1"/>
  <c r="N166" i="49"/>
  <c r="O166" i="49" s="1"/>
  <c r="M166" i="25" s="1"/>
  <c r="N133" i="49"/>
  <c r="O133" i="49" s="1"/>
  <c r="M133" i="25" s="1"/>
  <c r="N237" i="49"/>
  <c r="O237" i="49" s="1"/>
  <c r="M237" i="25" s="1"/>
  <c r="N136" i="49"/>
  <c r="O136" i="49" s="1"/>
  <c r="M136" i="25" s="1"/>
  <c r="N245" i="49"/>
  <c r="O245" i="49" s="1"/>
  <c r="M245" i="25" s="1"/>
  <c r="N272" i="49"/>
  <c r="O272" i="49" s="1"/>
  <c r="M272" i="25" s="1"/>
  <c r="N11" i="49"/>
  <c r="O11" i="49" s="1"/>
  <c r="M11" i="25" s="1"/>
  <c r="N290" i="49"/>
  <c r="O290" i="49" s="1"/>
  <c r="M290" i="25" s="1"/>
  <c r="N195" i="49"/>
  <c r="O195" i="49" s="1"/>
  <c r="M195" i="25" s="1"/>
  <c r="N192" i="49"/>
  <c r="O192" i="49" s="1"/>
  <c r="M192" i="25" s="1"/>
  <c r="N93" i="49"/>
  <c r="O93" i="49" s="1"/>
  <c r="M93" i="25" s="1"/>
  <c r="N175" i="49"/>
  <c r="O175" i="49" s="1"/>
  <c r="M175" i="25" s="1"/>
  <c r="N288" i="49"/>
  <c r="O288" i="49" s="1"/>
  <c r="M288" i="25" s="1"/>
  <c r="N271" i="49"/>
  <c r="O271" i="49" s="1"/>
  <c r="M271" i="25" s="1"/>
  <c r="N216" i="49"/>
  <c r="O216" i="49" s="1"/>
  <c r="M216" i="25" s="1"/>
  <c r="N90" i="49"/>
  <c r="O90" i="49" s="1"/>
  <c r="M90" i="25" s="1"/>
  <c r="N251" i="49"/>
  <c r="O251" i="49" s="1"/>
  <c r="M251" i="25" s="1"/>
  <c r="F181" i="9"/>
  <c r="G181" i="9" s="1"/>
  <c r="D175" i="12" s="1"/>
  <c r="F216" i="9"/>
  <c r="G216" i="9" s="1"/>
  <c r="D210" i="39" s="1"/>
  <c r="F300" i="9"/>
  <c r="G300" i="9" s="1"/>
  <c r="D294" i="39" s="1"/>
  <c r="F12" i="9"/>
  <c r="G12" i="9" s="1"/>
  <c r="D6" i="12" s="1"/>
  <c r="F325" i="9"/>
  <c r="G325" i="9" s="1"/>
  <c r="D319" i="39" s="1"/>
  <c r="F253" i="9"/>
  <c r="G253" i="9" s="1"/>
  <c r="D247" i="12" s="1"/>
  <c r="F174" i="9"/>
  <c r="G174" i="9" s="1"/>
  <c r="D168" i="12" s="1"/>
  <c r="F282" i="9"/>
  <c r="G282" i="9" s="1"/>
  <c r="F277" i="25" s="1"/>
  <c r="F328" i="9"/>
  <c r="G328" i="9" s="1"/>
  <c r="D322" i="39" s="1"/>
  <c r="F274" i="9"/>
  <c r="G274" i="9" s="1"/>
  <c r="F269" i="25" s="1"/>
  <c r="F236" i="9"/>
  <c r="G236" i="9" s="1"/>
  <c r="F231" i="25" s="1"/>
  <c r="F318" i="9"/>
  <c r="G318" i="9" s="1"/>
  <c r="F313" i="25" s="1"/>
  <c r="F286" i="9"/>
  <c r="G286" i="9" s="1"/>
  <c r="D280" i="39" s="1"/>
  <c r="F72" i="9"/>
  <c r="G72" i="9" s="1"/>
  <c r="D66" i="39" s="1"/>
  <c r="F127" i="9"/>
  <c r="G127" i="9" s="1"/>
  <c r="D121" i="12" s="1"/>
  <c r="F19" i="9"/>
  <c r="G19" i="9" s="1"/>
  <c r="D13" i="12" s="1"/>
  <c r="F254" i="9"/>
  <c r="G254" i="9" s="1"/>
  <c r="F249" i="25" s="1"/>
  <c r="F243" i="9"/>
  <c r="G243" i="9" s="1"/>
  <c r="F238" i="25" s="1"/>
  <c r="F288" i="9"/>
  <c r="G288" i="9" s="1"/>
  <c r="D282" i="12" s="1"/>
  <c r="F54" i="9"/>
  <c r="G54" i="9" s="1"/>
  <c r="F30" i="9"/>
  <c r="G30" i="9" s="1"/>
  <c r="D24" i="12" s="1"/>
  <c r="F88" i="9"/>
  <c r="G88" i="9" s="1"/>
  <c r="D82" i="39" s="1"/>
  <c r="F17" i="9"/>
  <c r="G17" i="9" s="1"/>
  <c r="F12" i="25" s="1"/>
  <c r="F70" i="9"/>
  <c r="G70" i="9" s="1"/>
  <c r="F47" i="9"/>
  <c r="G47" i="9" s="1"/>
  <c r="D41" i="39" s="1"/>
  <c r="F49" i="9"/>
  <c r="G49" i="9" s="1"/>
  <c r="D43" i="39" s="1"/>
  <c r="F252" i="9"/>
  <c r="G252" i="9" s="1"/>
  <c r="D246" i="39" s="1"/>
  <c r="F298" i="9"/>
  <c r="G298" i="9" s="1"/>
  <c r="F160" i="9"/>
  <c r="G160" i="9" s="1"/>
  <c r="D154" i="12" s="1"/>
  <c r="F167" i="9"/>
  <c r="G167" i="9" s="1"/>
  <c r="D161" i="39" s="1"/>
  <c r="F207" i="9"/>
  <c r="G207" i="9" s="1"/>
  <c r="D201" i="39" s="1"/>
  <c r="F24" i="9"/>
  <c r="G24" i="9" s="1"/>
  <c r="F19" i="25" s="1"/>
  <c r="F202" i="9"/>
  <c r="G202" i="9" s="1"/>
  <c r="F197" i="25" s="1"/>
  <c r="F148" i="9"/>
  <c r="G148" i="9" s="1"/>
  <c r="D142" i="39" s="1"/>
  <c r="F173" i="9"/>
  <c r="G173" i="9" s="1"/>
  <c r="D167" i="12" s="1"/>
  <c r="F219" i="9"/>
  <c r="G219" i="9" s="1"/>
  <c r="F226" i="9"/>
  <c r="G226" i="9" s="1"/>
  <c r="F221" i="25" s="1"/>
  <c r="F223" i="9"/>
  <c r="G223" i="9" s="1"/>
  <c r="D217" i="12" s="1"/>
  <c r="F233" i="9"/>
  <c r="G233" i="9" s="1"/>
  <c r="D227" i="12" s="1"/>
  <c r="F326" i="9"/>
  <c r="G326" i="9" s="1"/>
  <c r="F321" i="25" s="1"/>
  <c r="F323" i="9"/>
  <c r="G323" i="9" s="1"/>
  <c r="D317" i="12" s="1"/>
  <c r="F220" i="9"/>
  <c r="G220" i="9" s="1"/>
  <c r="D214" i="39" s="1"/>
  <c r="F194" i="9"/>
  <c r="G194" i="9" s="1"/>
  <c r="F189" i="25" s="1"/>
  <c r="F102" i="9"/>
  <c r="G102" i="9" s="1"/>
  <c r="F31" i="9"/>
  <c r="G31" i="9" s="1"/>
  <c r="D25" i="12" s="1"/>
  <c r="F255" i="9"/>
  <c r="G255" i="9" s="1"/>
  <c r="D249" i="12" s="1"/>
  <c r="F55" i="9"/>
  <c r="G55" i="9" s="1"/>
  <c r="F50" i="25" s="1"/>
  <c r="F283" i="9"/>
  <c r="G283" i="9" s="1"/>
  <c r="F278" i="25" s="1"/>
  <c r="F299" i="9"/>
  <c r="G299" i="9" s="1"/>
  <c r="D293" i="39" s="1"/>
  <c r="F188" i="9"/>
  <c r="G188" i="9" s="1"/>
  <c r="F183" i="25" s="1"/>
  <c r="F155" i="9"/>
  <c r="G155" i="9" s="1"/>
  <c r="D149" i="12" s="1"/>
  <c r="F26" i="9"/>
  <c r="G26" i="9" s="1"/>
  <c r="F228" i="9"/>
  <c r="G228" i="9" s="1"/>
  <c r="D222" i="12" s="1"/>
  <c r="F39" i="9"/>
  <c r="G39" i="9" s="1"/>
  <c r="D33" i="39" s="1"/>
  <c r="F227" i="9"/>
  <c r="G227" i="9" s="1"/>
  <c r="F222" i="25" s="1"/>
  <c r="F180" i="9"/>
  <c r="G180" i="9" s="1"/>
  <c r="D174" i="12" s="1"/>
  <c r="F81" i="9"/>
  <c r="G81" i="9" s="1"/>
  <c r="D75" i="39" s="1"/>
  <c r="F142" i="9"/>
  <c r="G142" i="9" s="1"/>
  <c r="F137" i="25" s="1"/>
  <c r="F309" i="9"/>
  <c r="G309" i="9" s="1"/>
  <c r="D303" i="39" s="1"/>
  <c r="F157" i="9"/>
  <c r="G157" i="9" s="1"/>
  <c r="D151" i="12" s="1"/>
  <c r="F168" i="9"/>
  <c r="G168" i="9" s="1"/>
  <c r="D162" i="39" s="1"/>
  <c r="F153" i="9"/>
  <c r="G153" i="9" s="1"/>
  <c r="D147" i="12" s="1"/>
  <c r="F27" i="9"/>
  <c r="G27" i="9" s="1"/>
  <c r="D21" i="39" s="1"/>
  <c r="F143" i="9"/>
  <c r="G143" i="9" s="1"/>
  <c r="D137" i="39" s="1"/>
  <c r="F146" i="9"/>
  <c r="G146" i="9" s="1"/>
  <c r="F141" i="25" s="1"/>
  <c r="F327" i="9"/>
  <c r="G327" i="9" s="1"/>
  <c r="D321" i="12" s="1"/>
  <c r="F71" i="9"/>
  <c r="G71" i="9" s="1"/>
  <c r="F66" i="25" s="1"/>
  <c r="F41" i="9"/>
  <c r="G41" i="9" s="1"/>
  <c r="F36" i="25" s="1"/>
  <c r="F58" i="9"/>
  <c r="G58" i="9" s="1"/>
  <c r="D52" i="39" s="1"/>
  <c r="F52" i="9"/>
  <c r="G52" i="9" s="1"/>
  <c r="F37" i="9"/>
  <c r="G37" i="9" s="1"/>
  <c r="F68" i="9"/>
  <c r="G68" i="9" s="1"/>
  <c r="F63" i="25" s="1"/>
  <c r="F33" i="9"/>
  <c r="G33" i="9" s="1"/>
  <c r="D27" i="39" s="1"/>
  <c r="F235" i="9"/>
  <c r="G235" i="9" s="1"/>
  <c r="F48" i="9"/>
  <c r="G48" i="9" s="1"/>
  <c r="F284" i="9"/>
  <c r="G284" i="9" s="1"/>
  <c r="F196" i="9"/>
  <c r="G196" i="9" s="1"/>
  <c r="D190" i="12" s="1"/>
  <c r="F287" i="9"/>
  <c r="G287" i="9" s="1"/>
  <c r="F147" i="9"/>
  <c r="G147" i="9" s="1"/>
  <c r="F142" i="25" s="1"/>
  <c r="F217" i="9"/>
  <c r="G217" i="9" s="1"/>
  <c r="D211" i="12" s="1"/>
  <c r="F268" i="9"/>
  <c r="G268" i="9" s="1"/>
  <c r="D262" i="39" s="1"/>
  <c r="F295" i="9"/>
  <c r="G295" i="9" s="1"/>
  <c r="D289" i="12" s="1"/>
  <c r="F63" i="9"/>
  <c r="G63" i="9" s="1"/>
  <c r="F109" i="9"/>
  <c r="G109" i="9" s="1"/>
  <c r="D103" i="12" s="1"/>
  <c r="F91" i="9"/>
  <c r="G91" i="9" s="1"/>
  <c r="D85" i="39" s="1"/>
  <c r="F34" i="9"/>
  <c r="G34" i="9" s="1"/>
  <c r="F206" i="9"/>
  <c r="G206" i="9" s="1"/>
  <c r="F315" i="9"/>
  <c r="G315" i="9" s="1"/>
  <c r="D309" i="12" s="1"/>
  <c r="F247" i="9"/>
  <c r="G247" i="9" s="1"/>
  <c r="D241" i="12" s="1"/>
  <c r="F225" i="9"/>
  <c r="G225" i="9" s="1"/>
  <c r="F269" i="9"/>
  <c r="G269" i="9" s="1"/>
  <c r="F211" i="9"/>
  <c r="G211" i="9" s="1"/>
  <c r="D205" i="39" s="1"/>
  <c r="F139" i="9"/>
  <c r="G139" i="9" s="1"/>
  <c r="F134" i="25" s="1"/>
  <c r="F85" i="9"/>
  <c r="G85" i="9" s="1"/>
  <c r="F258" i="9"/>
  <c r="G258" i="9" s="1"/>
  <c r="F253" i="25" s="1"/>
  <c r="F76" i="9"/>
  <c r="G76" i="9" s="1"/>
  <c r="F71" i="25" s="1"/>
  <c r="F103" i="9"/>
  <c r="G103" i="9" s="1"/>
  <c r="D97" i="39" s="1"/>
  <c r="F163" i="9"/>
  <c r="G163" i="9" s="1"/>
  <c r="F112" i="9"/>
  <c r="G112" i="9" s="1"/>
  <c r="F32" i="9"/>
  <c r="G32" i="9" s="1"/>
  <c r="D26" i="12" s="1"/>
  <c r="F322" i="9"/>
  <c r="G322" i="9" s="1"/>
  <c r="D316" i="12" s="1"/>
  <c r="F278" i="9"/>
  <c r="G278" i="9" s="1"/>
  <c r="D272" i="12" s="1"/>
  <c r="F259" i="9"/>
  <c r="G259" i="9" s="1"/>
  <c r="D253" i="39" s="1"/>
  <c r="F29" i="9"/>
  <c r="G29" i="9" s="1"/>
  <c r="D23" i="12" s="1"/>
  <c r="F232" i="9"/>
  <c r="G232" i="9" s="1"/>
  <c r="F227" i="25" s="1"/>
  <c r="F119" i="9"/>
  <c r="G119" i="9" s="1"/>
  <c r="F114" i="25" s="1"/>
  <c r="F302" i="9"/>
  <c r="G302" i="9" s="1"/>
  <c r="F172" i="9"/>
  <c r="G172" i="9" s="1"/>
  <c r="F167" i="25" s="1"/>
  <c r="F260" i="9"/>
  <c r="G260" i="9" s="1"/>
  <c r="F255" i="25" s="1"/>
  <c r="F261" i="9"/>
  <c r="G261" i="9" s="1"/>
  <c r="F267" i="9"/>
  <c r="G267" i="9" s="1"/>
  <c r="F208" i="9"/>
  <c r="G208" i="9" s="1"/>
  <c r="F203" i="25" s="1"/>
  <c r="F205" i="9"/>
  <c r="G205" i="9" s="1"/>
  <c r="D199" i="39" s="1"/>
  <c r="F114" i="9"/>
  <c r="G114" i="9" s="1"/>
  <c r="D108" i="39" s="1"/>
  <c r="F94" i="9"/>
  <c r="G94" i="9" s="1"/>
  <c r="D88" i="12" s="1"/>
  <c r="F87" i="9"/>
  <c r="G87" i="9" s="1"/>
  <c r="F229" i="9"/>
  <c r="G229" i="9" s="1"/>
  <c r="D223" i="12" s="1"/>
  <c r="F214" i="9"/>
  <c r="G214" i="9" s="1"/>
  <c r="D208" i="39" s="1"/>
  <c r="F224" i="9"/>
  <c r="G224" i="9" s="1"/>
  <c r="F135" i="9"/>
  <c r="G135" i="9" s="1"/>
  <c r="F80" i="9"/>
  <c r="G80" i="9" s="1"/>
  <c r="D74" i="39" s="1"/>
  <c r="F62" i="9"/>
  <c r="G62" i="9" s="1"/>
  <c r="F128" i="9"/>
  <c r="G128" i="9" s="1"/>
  <c r="F200" i="9"/>
  <c r="G200" i="9" s="1"/>
  <c r="F108" i="9"/>
  <c r="G108" i="9" s="1"/>
  <c r="D102" i="39" s="1"/>
  <c r="F221" i="9"/>
  <c r="G221" i="9" s="1"/>
  <c r="F166" i="9"/>
  <c r="G166" i="9" s="1"/>
  <c r="F161" i="25" s="1"/>
  <c r="F317" i="9"/>
  <c r="G317" i="9" s="1"/>
  <c r="F131" i="9"/>
  <c r="G131" i="9" s="1"/>
  <c r="D125" i="39" s="1"/>
  <c r="F237" i="9"/>
  <c r="G237" i="9" s="1"/>
  <c r="F232" i="25" s="1"/>
  <c r="F111" i="9"/>
  <c r="G111" i="9" s="1"/>
  <c r="D105" i="39" s="1"/>
  <c r="F218" i="9"/>
  <c r="G218" i="9" s="1"/>
  <c r="F213" i="25" s="1"/>
  <c r="F14" i="9"/>
  <c r="G14" i="9" s="1"/>
  <c r="D8" i="12" s="1"/>
  <c r="F212" i="9"/>
  <c r="G212" i="9" s="1"/>
  <c r="D206" i="39" s="1"/>
  <c r="F324" i="9"/>
  <c r="G324" i="9" s="1"/>
  <c r="F215" i="9"/>
  <c r="G215" i="9" s="1"/>
  <c r="D209" i="39" s="1"/>
  <c r="F185" i="9"/>
  <c r="G185" i="9" s="1"/>
  <c r="D179" i="39" s="1"/>
  <c r="F64" i="9"/>
  <c r="G64" i="9" s="1"/>
  <c r="F115" i="9"/>
  <c r="G115" i="9" s="1"/>
  <c r="F117" i="9"/>
  <c r="G117" i="9" s="1"/>
  <c r="D111" i="39" s="1"/>
  <c r="F187" i="9"/>
  <c r="G187" i="9" s="1"/>
  <c r="D181" i="39" s="1"/>
  <c r="F199" i="9"/>
  <c r="G199" i="9" s="1"/>
  <c r="F266" i="9"/>
  <c r="G266" i="9" s="1"/>
  <c r="D260" i="12" s="1"/>
  <c r="F126" i="9"/>
  <c r="G126" i="9" s="1"/>
  <c r="F97" i="9"/>
  <c r="G97" i="9" s="1"/>
  <c r="D91" i="39" s="1"/>
  <c r="F210" i="9"/>
  <c r="G210" i="9" s="1"/>
  <c r="F83" i="9"/>
  <c r="G83" i="9" s="1"/>
  <c r="F60" i="9"/>
  <c r="G60" i="9" s="1"/>
  <c r="D54" i="12" s="1"/>
  <c r="F100" i="9"/>
  <c r="G100" i="9" s="1"/>
  <c r="F95" i="25" s="1"/>
  <c r="F165" i="9"/>
  <c r="G165" i="9" s="1"/>
  <c r="F170" i="9"/>
  <c r="G170" i="9" s="1"/>
  <c r="F222" i="9"/>
  <c r="G222" i="9" s="1"/>
  <c r="F149" i="9"/>
  <c r="G149" i="9" s="1"/>
  <c r="D143" i="39" s="1"/>
  <c r="F195" i="9"/>
  <c r="G195" i="9" s="1"/>
  <c r="F273" i="9"/>
  <c r="G273" i="9" s="1"/>
  <c r="F268" i="25" s="1"/>
  <c r="F95" i="9"/>
  <c r="G95" i="9" s="1"/>
  <c r="F90" i="25" s="1"/>
  <c r="F171" i="9"/>
  <c r="G171" i="9" s="1"/>
  <c r="D165" i="39" s="1"/>
  <c r="F179" i="9"/>
  <c r="G179" i="9" s="1"/>
  <c r="F312" i="9"/>
  <c r="G312" i="9" s="1"/>
  <c r="D306" i="12" s="1"/>
  <c r="F307" i="9"/>
  <c r="G307" i="9" s="1"/>
  <c r="D301" i="39" s="1"/>
  <c r="F319" i="9"/>
  <c r="G319" i="9" s="1"/>
  <c r="D313" i="39" s="1"/>
  <c r="F169" i="9"/>
  <c r="G169" i="9" s="1"/>
  <c r="F279" i="9"/>
  <c r="G279" i="9" s="1"/>
  <c r="F198" i="9"/>
  <c r="G198" i="9" s="1"/>
  <c r="F193" i="25" s="1"/>
  <c r="F305" i="9"/>
  <c r="G305" i="9" s="1"/>
  <c r="F300" i="25" s="1"/>
  <c r="F61" i="9"/>
  <c r="G61" i="9" s="1"/>
  <c r="F301" i="9"/>
  <c r="G301" i="9" s="1"/>
  <c r="F125" i="9"/>
  <c r="G125" i="9" s="1"/>
  <c r="D119" i="12" s="1"/>
  <c r="F245" i="9"/>
  <c r="G245" i="9" s="1"/>
  <c r="D239" i="12" s="1"/>
  <c r="F251" i="9"/>
  <c r="G251" i="9" s="1"/>
  <c r="F246" i="25" s="1"/>
  <c r="F154" i="9"/>
  <c r="G154" i="9" s="1"/>
  <c r="F149" i="25" s="1"/>
  <c r="F193" i="9"/>
  <c r="G193" i="9" s="1"/>
  <c r="F118" i="9"/>
  <c r="G118" i="9" s="1"/>
  <c r="F113" i="25" s="1"/>
  <c r="F90" i="9"/>
  <c r="G90" i="9" s="1"/>
  <c r="F74" i="9"/>
  <c r="G74" i="9" s="1"/>
  <c r="F53" i="9"/>
  <c r="G53" i="9" s="1"/>
  <c r="F48" i="25" s="1"/>
  <c r="F213" i="9"/>
  <c r="G213" i="9" s="1"/>
  <c r="D207" i="12" s="1"/>
  <c r="F144" i="9"/>
  <c r="G144" i="9" s="1"/>
  <c r="F79" i="9"/>
  <c r="G79" i="9" s="1"/>
  <c r="D73" i="12" s="1"/>
  <c r="F123" i="9"/>
  <c r="G123" i="9" s="1"/>
  <c r="D117" i="12" s="1"/>
  <c r="F20" i="9"/>
  <c r="G20" i="9" s="1"/>
  <c r="F15" i="25" s="1"/>
  <c r="F310" i="9"/>
  <c r="G310" i="9" s="1"/>
  <c r="F291" i="9"/>
  <c r="G291" i="9" s="1"/>
  <c r="F294" i="9"/>
  <c r="G294" i="9" s="1"/>
  <c r="D288" i="39" s="1"/>
  <c r="F129" i="9"/>
  <c r="G129" i="9" s="1"/>
  <c r="D123" i="39" s="1"/>
  <c r="F183" i="9"/>
  <c r="G183" i="9" s="1"/>
  <c r="F191" i="9"/>
  <c r="G191" i="9" s="1"/>
  <c r="F186" i="25" s="1"/>
  <c r="F246" i="9"/>
  <c r="G246" i="9" s="1"/>
  <c r="D240" i="39" s="1"/>
  <c r="F57" i="9"/>
  <c r="G57" i="9" s="1"/>
  <c r="F52" i="25" s="1"/>
  <c r="F152" i="9"/>
  <c r="G152" i="9" s="1"/>
  <c r="F161" i="9"/>
  <c r="G161" i="9" s="1"/>
  <c r="F156" i="25" s="1"/>
  <c r="F36" i="9"/>
  <c r="G36" i="9" s="1"/>
  <c r="F122" i="9"/>
  <c r="G122" i="9" s="1"/>
  <c r="D116" i="39" s="1"/>
  <c r="F241" i="9"/>
  <c r="G241" i="9" s="1"/>
  <c r="D235" i="39" s="1"/>
  <c r="F162" i="9"/>
  <c r="G162" i="9" s="1"/>
  <c r="F157" i="25" s="1"/>
  <c r="F13" i="9"/>
  <c r="G13" i="9" s="1"/>
  <c r="F93" i="9"/>
  <c r="G93" i="9" s="1"/>
  <c r="F88" i="25" s="1"/>
  <c r="F189" i="9"/>
  <c r="G189" i="9" s="1"/>
  <c r="D183" i="12" s="1"/>
  <c r="F84" i="9"/>
  <c r="G84" i="9" s="1"/>
  <c r="F238" i="9"/>
  <c r="G238" i="9" s="1"/>
  <c r="D232" i="39" s="1"/>
  <c r="F86" i="9"/>
  <c r="G86" i="9" s="1"/>
  <c r="F81" i="25" s="1"/>
  <c r="F256" i="9"/>
  <c r="G256" i="9" s="1"/>
  <c r="F290" i="9"/>
  <c r="G290" i="9" s="1"/>
  <c r="D284" i="39" s="1"/>
  <c r="F21" i="9"/>
  <c r="G21" i="9" s="1"/>
  <c r="F35" i="9"/>
  <c r="G35" i="9" s="1"/>
  <c r="D29" i="39" s="1"/>
  <c r="F184" i="9"/>
  <c r="G184" i="9" s="1"/>
  <c r="F67" i="9"/>
  <c r="G67" i="9" s="1"/>
  <c r="F62" i="25" s="1"/>
  <c r="F132" i="9"/>
  <c r="G132" i="9" s="1"/>
  <c r="F69" i="9"/>
  <c r="G69" i="9" s="1"/>
  <c r="F64" i="25" s="1"/>
  <c r="F65" i="9"/>
  <c r="G65" i="9" s="1"/>
  <c r="F42" i="9"/>
  <c r="G42" i="9" s="1"/>
  <c r="D36" i="39" s="1"/>
  <c r="F121" i="9"/>
  <c r="G121" i="9" s="1"/>
  <c r="F116" i="25" s="1"/>
  <c r="F265" i="9"/>
  <c r="G265" i="9" s="1"/>
  <c r="F260" i="25" s="1"/>
  <c r="F137" i="9"/>
  <c r="G137" i="9" s="1"/>
  <c r="D131" i="39" s="1"/>
  <c r="F275" i="9"/>
  <c r="G275" i="9" s="1"/>
  <c r="F101" i="9"/>
  <c r="G101" i="9" s="1"/>
  <c r="F240" i="9"/>
  <c r="G240" i="9" s="1"/>
  <c r="F235" i="25" s="1"/>
  <c r="F257" i="9"/>
  <c r="G257" i="9" s="1"/>
  <c r="F277" i="9"/>
  <c r="G277" i="9" s="1"/>
  <c r="D271" i="39" s="1"/>
  <c r="F124" i="9"/>
  <c r="G124" i="9" s="1"/>
  <c r="F249" i="9"/>
  <c r="G249" i="9" s="1"/>
  <c r="D243" i="39" s="1"/>
  <c r="F313" i="9"/>
  <c r="G313" i="9" s="1"/>
  <c r="D307" i="12" s="1"/>
  <c r="F28" i="9"/>
  <c r="G28" i="9" s="1"/>
  <c r="F234" i="9"/>
  <c r="G234" i="9" s="1"/>
  <c r="D228" i="12" s="1"/>
  <c r="F239" i="9"/>
  <c r="G239" i="9" s="1"/>
  <c r="F234" i="25" s="1"/>
  <c r="F50" i="9"/>
  <c r="G50" i="9" s="1"/>
  <c r="F306" i="9"/>
  <c r="G306" i="9" s="1"/>
  <c r="D300" i="39" s="1"/>
  <c r="F11" i="9"/>
  <c r="F20" i="48" s="1"/>
  <c r="F22" i="48" s="1"/>
  <c r="F280" i="9"/>
  <c r="G280" i="9" s="1"/>
  <c r="D274" i="39" s="1"/>
  <c r="F230" i="9"/>
  <c r="G230" i="9" s="1"/>
  <c r="D224" i="39" s="1"/>
  <c r="F158" i="9"/>
  <c r="G158" i="9" s="1"/>
  <c r="F136" i="9"/>
  <c r="G136" i="9" s="1"/>
  <c r="F131" i="25" s="1"/>
  <c r="F248" i="9"/>
  <c r="G248" i="9" s="1"/>
  <c r="D242" i="39" s="1"/>
  <c r="F262" i="9"/>
  <c r="G262" i="9" s="1"/>
  <c r="F89" i="9"/>
  <c r="G89" i="9" s="1"/>
  <c r="F289" i="9"/>
  <c r="G289" i="9" s="1"/>
  <c r="F59" i="9"/>
  <c r="G59" i="9" s="1"/>
  <c r="F54" i="25" s="1"/>
  <c r="F151" i="9"/>
  <c r="G151" i="9" s="1"/>
  <c r="F16" i="9"/>
  <c r="G16" i="9" s="1"/>
  <c r="F44" i="9"/>
  <c r="G44" i="9" s="1"/>
  <c r="F176" i="9"/>
  <c r="G176" i="9" s="1"/>
  <c r="D170" i="12" s="1"/>
  <c r="F22" i="9"/>
  <c r="G22" i="9" s="1"/>
  <c r="F150" i="9"/>
  <c r="G150" i="9" s="1"/>
  <c r="F164" i="9"/>
  <c r="G164" i="9" s="1"/>
  <c r="D158" i="39" s="1"/>
  <c r="F303" i="9"/>
  <c r="G303" i="9" s="1"/>
  <c r="D297" i="39" s="1"/>
  <c r="F113" i="9"/>
  <c r="G113" i="9" s="1"/>
  <c r="F264" i="9"/>
  <c r="G264" i="9" s="1"/>
  <c r="D258" i="39" s="1"/>
  <c r="F145" i="9"/>
  <c r="G145" i="9" s="1"/>
  <c r="F98" i="9"/>
  <c r="G98" i="9" s="1"/>
  <c r="D92" i="39" s="1"/>
  <c r="F281" i="9"/>
  <c r="G281" i="9" s="1"/>
  <c r="F92" i="9"/>
  <c r="G92" i="9" s="1"/>
  <c r="F87" i="25" s="1"/>
  <c r="F130" i="9"/>
  <c r="G130" i="9" s="1"/>
  <c r="F140" i="9"/>
  <c r="G140" i="9" s="1"/>
  <c r="D134" i="39" s="1"/>
  <c r="F203" i="9"/>
  <c r="G203" i="9" s="1"/>
  <c r="F263" i="9"/>
  <c r="G263" i="9" s="1"/>
  <c r="F182" i="9"/>
  <c r="G182" i="9" s="1"/>
  <c r="D176" i="12" s="1"/>
  <c r="F276" i="9"/>
  <c r="G276" i="9" s="1"/>
  <c r="D270" i="39" s="1"/>
  <c r="F186" i="9"/>
  <c r="G186" i="9" s="1"/>
  <c r="D180" i="12" s="1"/>
  <c r="F25" i="9"/>
  <c r="G25" i="9" s="1"/>
  <c r="F96" i="9"/>
  <c r="G96" i="9" s="1"/>
  <c r="F91" i="25" s="1"/>
  <c r="F18" i="9"/>
  <c r="G18" i="9" s="1"/>
  <c r="D12" i="39" s="1"/>
  <c r="F192" i="9"/>
  <c r="G192" i="9" s="1"/>
  <c r="D186" i="39" s="1"/>
  <c r="F178" i="9"/>
  <c r="G178" i="9" s="1"/>
  <c r="F242" i="9"/>
  <c r="G242" i="9" s="1"/>
  <c r="D236" i="39" s="1"/>
  <c r="F204" i="9"/>
  <c r="G204" i="9" s="1"/>
  <c r="D198" i="39" s="1"/>
  <c r="F285" i="9"/>
  <c r="G285" i="9" s="1"/>
  <c r="F46" i="9"/>
  <c r="G46" i="9" s="1"/>
  <c r="D40" i="12" s="1"/>
  <c r="F231" i="9"/>
  <c r="G231" i="9" s="1"/>
  <c r="F226" i="25" s="1"/>
  <c r="F106" i="9"/>
  <c r="G106" i="9" s="1"/>
  <c r="F101" i="25" s="1"/>
  <c r="F292" i="9"/>
  <c r="G292" i="9" s="1"/>
  <c r="F75" i="9"/>
  <c r="G75" i="9" s="1"/>
  <c r="F70" i="25" s="1"/>
  <c r="F190" i="9"/>
  <c r="G190" i="9" s="1"/>
  <c r="F271" i="9"/>
  <c r="G271" i="9" s="1"/>
  <c r="D265" i="12" s="1"/>
  <c r="F159" i="9"/>
  <c r="G159" i="9" s="1"/>
  <c r="F316" i="9"/>
  <c r="G316" i="9" s="1"/>
  <c r="F120" i="9"/>
  <c r="G120" i="9" s="1"/>
  <c r="F115" i="25" s="1"/>
  <c r="F156" i="9"/>
  <c r="G156" i="9" s="1"/>
  <c r="D150" i="12" s="1"/>
  <c r="F311" i="9"/>
  <c r="G311" i="9" s="1"/>
  <c r="F133" i="9"/>
  <c r="G133" i="9" s="1"/>
  <c r="D127" i="39" s="1"/>
  <c r="F201" i="9"/>
  <c r="G201" i="9" s="1"/>
  <c r="D195" i="39" s="1"/>
  <c r="F110" i="9"/>
  <c r="G110" i="9" s="1"/>
  <c r="D104" i="39" s="1"/>
  <c r="F296" i="9"/>
  <c r="G296" i="9" s="1"/>
  <c r="F291" i="25" s="1"/>
  <c r="F45" i="9"/>
  <c r="G45" i="9" s="1"/>
  <c r="F43" i="9"/>
  <c r="G43" i="9" s="1"/>
  <c r="D37" i="39" s="1"/>
  <c r="F51" i="9"/>
  <c r="G51" i="9" s="1"/>
  <c r="F46" i="25" s="1"/>
  <c r="F175" i="9"/>
  <c r="G175" i="9" s="1"/>
  <c r="D169" i="39" s="1"/>
  <c r="F138" i="9"/>
  <c r="G138" i="9" s="1"/>
  <c r="F99" i="9"/>
  <c r="G99" i="9" s="1"/>
  <c r="D93" i="39" s="1"/>
  <c r="F40" i="9"/>
  <c r="G40" i="9" s="1"/>
  <c r="F35" i="25" s="1"/>
  <c r="F82" i="9"/>
  <c r="G82" i="9" s="1"/>
  <c r="F293" i="9"/>
  <c r="G293" i="9" s="1"/>
  <c r="D287" i="12" s="1"/>
  <c r="F141" i="9"/>
  <c r="G141" i="9" s="1"/>
  <c r="F77" i="9"/>
  <c r="G77" i="9" s="1"/>
  <c r="D71" i="39" s="1"/>
  <c r="F321" i="9"/>
  <c r="G321" i="9" s="1"/>
  <c r="F23" i="9"/>
  <c r="G23" i="9" s="1"/>
  <c r="F18" i="25" s="1"/>
  <c r="F134" i="9"/>
  <c r="G134" i="9" s="1"/>
  <c r="D128" i="12" s="1"/>
  <c r="F73" i="9"/>
  <c r="G73" i="9" s="1"/>
  <c r="D67" i="39" s="1"/>
  <c r="F15" i="9"/>
  <c r="G15" i="9" s="1"/>
  <c r="F250" i="9"/>
  <c r="G250" i="9" s="1"/>
  <c r="D244" i="39" s="1"/>
  <c r="F107" i="9"/>
  <c r="G107" i="9" s="1"/>
  <c r="F102" i="25" s="1"/>
  <c r="F272" i="9"/>
  <c r="G272" i="9" s="1"/>
  <c r="F267" i="25" s="1"/>
  <c r="F177" i="9"/>
  <c r="G177" i="9" s="1"/>
  <c r="F105" i="9"/>
  <c r="G105" i="9" s="1"/>
  <c r="F304" i="9"/>
  <c r="G304" i="9" s="1"/>
  <c r="F299" i="25" s="1"/>
  <c r="F104" i="9"/>
  <c r="G104" i="9" s="1"/>
  <c r="D98" i="12" s="1"/>
  <c r="F56" i="9"/>
  <c r="G56" i="9" s="1"/>
  <c r="F197" i="9"/>
  <c r="G197" i="9" s="1"/>
  <c r="F192" i="25" s="1"/>
  <c r="F116" i="9"/>
  <c r="G116" i="9" s="1"/>
  <c r="F320" i="9"/>
  <c r="G320" i="9" s="1"/>
  <c r="D314" i="12" s="1"/>
  <c r="F308" i="9"/>
  <c r="G308" i="9" s="1"/>
  <c r="F303" i="25" s="1"/>
  <c r="F209" i="9"/>
  <c r="G209" i="9" s="1"/>
  <c r="F297" i="9"/>
  <c r="G297" i="9" s="1"/>
  <c r="F270" i="9"/>
  <c r="G270" i="9" s="1"/>
  <c r="F265" i="25" s="1"/>
  <c r="F244" i="9"/>
  <c r="G244" i="9" s="1"/>
  <c r="F38" i="9"/>
  <c r="G38" i="9" s="1"/>
  <c r="D32" i="39" s="1"/>
  <c r="F314" i="9"/>
  <c r="G314" i="9" s="1"/>
  <c r="F78" i="9"/>
  <c r="G78" i="9" s="1"/>
  <c r="D72" i="39" s="1"/>
  <c r="D290" i="12"/>
  <c r="M6" i="25"/>
  <c r="D60" i="12"/>
  <c r="D60" i="39"/>
  <c r="F61" i="25"/>
  <c r="K38" i="40"/>
  <c r="H38" i="40" s="1"/>
  <c r="I323" i="37"/>
  <c r="F323" i="37"/>
  <c r="G16" i="34"/>
  <c r="H16" i="34" s="1"/>
  <c r="D175" i="39" l="1"/>
  <c r="D136" i="39"/>
  <c r="E46" i="48"/>
  <c r="F46" i="48" s="1"/>
  <c r="F48" i="48" s="1"/>
  <c r="O324" i="49"/>
  <c r="F176" i="25"/>
  <c r="M324" i="25"/>
  <c r="F144" i="25"/>
  <c r="D167" i="39"/>
  <c r="D168" i="39"/>
  <c r="D233" i="39"/>
  <c r="D237" i="39"/>
  <c r="D230" i="12"/>
  <c r="F22" i="25"/>
  <c r="F295" i="25"/>
  <c r="D210" i="12"/>
  <c r="D82" i="12"/>
  <c r="F211" i="25"/>
  <c r="F218" i="25"/>
  <c r="D235" i="12"/>
  <c r="D290" i="39"/>
  <c r="D294" i="12"/>
  <c r="F169" i="25"/>
  <c r="D185" i="12"/>
  <c r="D133" i="39"/>
  <c r="D25" i="39"/>
  <c r="D254" i="12"/>
  <c r="F294" i="25"/>
  <c r="D322" i="12"/>
  <c r="F28" i="25"/>
  <c r="D53" i="12"/>
  <c r="F25" i="25"/>
  <c r="F242" i="25"/>
  <c r="F7" i="25"/>
  <c r="D6" i="39"/>
  <c r="F55" i="25"/>
  <c r="D247" i="39"/>
  <c r="D268" i="12"/>
  <c r="F243" i="25"/>
  <c r="D113" i="39"/>
  <c r="D147" i="39"/>
  <c r="D319" i="12"/>
  <c r="D142" i="12"/>
  <c r="F320" i="25"/>
  <c r="D87" i="39"/>
  <c r="D302" i="12"/>
  <c r="D220" i="39"/>
  <c r="D317" i="39"/>
  <c r="F86" i="25"/>
  <c r="F308" i="25"/>
  <c r="D182" i="12"/>
  <c r="D268" i="39"/>
  <c r="F215" i="25"/>
  <c r="F67" i="25"/>
  <c r="D198" i="12"/>
  <c r="F83" i="25"/>
  <c r="F248" i="25"/>
  <c r="F30" i="25"/>
  <c r="F323" i="25"/>
  <c r="D63" i="39"/>
  <c r="D249" i="39"/>
  <c r="D140" i="12"/>
  <c r="F322" i="25"/>
  <c r="F122" i="25"/>
  <c r="F209" i="25"/>
  <c r="D66" i="12"/>
  <c r="F143" i="25"/>
  <c r="D161" i="12"/>
  <c r="F34" i="25"/>
  <c r="D121" i="39"/>
  <c r="D230" i="39"/>
  <c r="D43" i="12"/>
  <c r="F202" i="25"/>
  <c r="F288" i="25"/>
  <c r="D214" i="12"/>
  <c r="F250" i="25"/>
  <c r="D136" i="12"/>
  <c r="F44" i="25"/>
  <c r="F74" i="25"/>
  <c r="D321" i="39"/>
  <c r="D185" i="39"/>
  <c r="D188" i="12"/>
  <c r="D208" i="12"/>
  <c r="F228" i="25"/>
  <c r="D217" i="39"/>
  <c r="D33" i="12"/>
  <c r="D182" i="39"/>
  <c r="D65" i="39"/>
  <c r="F150" i="25"/>
  <c r="D287" i="39"/>
  <c r="D36" i="12"/>
  <c r="D113" i="12"/>
  <c r="F148" i="25"/>
  <c r="D237" i="12"/>
  <c r="F162" i="25"/>
  <c r="F236" i="25"/>
  <c r="D276" i="39"/>
  <c r="D312" i="12"/>
  <c r="D119" i="39"/>
  <c r="D276" i="12"/>
  <c r="D312" i="39"/>
  <c r="D8" i="39"/>
  <c r="D259" i="12"/>
  <c r="F263" i="25"/>
  <c r="F124" i="25"/>
  <c r="D87" i="12"/>
  <c r="F240" i="25"/>
  <c r="F76" i="25"/>
  <c r="D67" i="12"/>
  <c r="F163" i="25"/>
  <c r="D140" i="39"/>
  <c r="D170" i="39"/>
  <c r="D234" i="39"/>
  <c r="F180" i="25"/>
  <c r="D199" i="12"/>
  <c r="D100" i="12"/>
  <c r="D102" i="12"/>
  <c r="D313" i="12"/>
  <c r="D53" i="39"/>
  <c r="D220" i="12"/>
  <c r="D24" i="39"/>
  <c r="F223" i="25"/>
  <c r="D280" i="12"/>
  <c r="D112" i="39"/>
  <c r="D14" i="12"/>
  <c r="D80" i="12"/>
  <c r="F191" i="25"/>
  <c r="F281" i="25"/>
  <c r="D52" i="12"/>
  <c r="F318" i="25"/>
  <c r="D41" i="12"/>
  <c r="F92" i="25"/>
  <c r="F199" i="25"/>
  <c r="D133" i="12"/>
  <c r="F75" i="25"/>
  <c r="F98" i="25"/>
  <c r="D222" i="39"/>
  <c r="D196" i="12"/>
  <c r="D207" i="39"/>
  <c r="D259" i="39"/>
  <c r="D223" i="39"/>
  <c r="F275" i="25"/>
  <c r="F9" i="25"/>
  <c r="F224" i="25"/>
  <c r="D270" i="12"/>
  <c r="D293" i="12"/>
  <c r="F126" i="25"/>
  <c r="D181" i="12"/>
  <c r="D154" i="39"/>
  <c r="D162" i="12"/>
  <c r="D196" i="39"/>
  <c r="D75" i="12"/>
  <c r="F26" i="25"/>
  <c r="D29" i="12"/>
  <c r="F117" i="25"/>
  <c r="D51" i="39"/>
  <c r="D80" i="39"/>
  <c r="D112" i="12"/>
  <c r="D248" i="39"/>
  <c r="D248" i="12"/>
  <c r="F155" i="25"/>
  <c r="D166" i="12"/>
  <c r="F135" i="25"/>
  <c r="F151" i="25"/>
  <c r="F42" i="25"/>
  <c r="D91" i="12"/>
  <c r="D320" i="39"/>
  <c r="D117" i="39"/>
  <c r="D90" i="12"/>
  <c r="D69" i="39"/>
  <c r="D212" i="12"/>
  <c r="F241" i="25"/>
  <c r="D71" i="12"/>
  <c r="D63" i="12"/>
  <c r="F33" i="25"/>
  <c r="D155" i="12"/>
  <c r="D252" i="12"/>
  <c r="D47" i="12"/>
  <c r="D49" i="39"/>
  <c r="D123" i="12"/>
  <c r="D86" i="12"/>
  <c r="G11" i="9"/>
  <c r="F6" i="25" s="1"/>
  <c r="D62" i="39"/>
  <c r="F14" i="25"/>
  <c r="D37" i="12"/>
  <c r="D111" i="12"/>
  <c r="D114" i="39"/>
  <c r="D32" i="12"/>
  <c r="D156" i="12"/>
  <c r="F37" i="25"/>
  <c r="D267" i="12"/>
  <c r="D253" i="12"/>
  <c r="D89" i="39"/>
  <c r="F175" i="25"/>
  <c r="D13" i="39"/>
  <c r="D291" i="39"/>
  <c r="D291" i="12"/>
  <c r="F136" i="25"/>
  <c r="D135" i="12"/>
  <c r="F185" i="25"/>
  <c r="D184" i="12"/>
  <c r="F119" i="25"/>
  <c r="D118" i="39"/>
  <c r="D115" i="39"/>
  <c r="D115" i="12"/>
  <c r="D15" i="12"/>
  <c r="F16" i="25"/>
  <c r="D232" i="12"/>
  <c r="F233" i="25"/>
  <c r="D30" i="39"/>
  <c r="D30" i="12"/>
  <c r="F31" i="25"/>
  <c r="D216" i="12"/>
  <c r="D216" i="39"/>
  <c r="D120" i="12"/>
  <c r="D120" i="39"/>
  <c r="F121" i="25"/>
  <c r="F312" i="25"/>
  <c r="D311" i="12"/>
  <c r="D129" i="39"/>
  <c r="F130" i="25"/>
  <c r="D129" i="12"/>
  <c r="D81" i="12"/>
  <c r="D81" i="39"/>
  <c r="F82" i="25"/>
  <c r="D26" i="39"/>
  <c r="F27" i="25"/>
  <c r="D205" i="12"/>
  <c r="F206" i="25"/>
  <c r="D103" i="39"/>
  <c r="F104" i="25"/>
  <c r="D278" i="39"/>
  <c r="D278" i="12"/>
  <c r="D20" i="39"/>
  <c r="F21" i="25"/>
  <c r="D96" i="12"/>
  <c r="D96" i="39"/>
  <c r="D213" i="12"/>
  <c r="D213" i="39"/>
  <c r="D292" i="39"/>
  <c r="F293" i="25"/>
  <c r="D292" i="12"/>
  <c r="D64" i="12"/>
  <c r="F65" i="25"/>
  <c r="D64" i="39"/>
  <c r="D311" i="39"/>
  <c r="D212" i="39"/>
  <c r="D130" i="12"/>
  <c r="D192" i="39"/>
  <c r="F120" i="25"/>
  <c r="D20" i="12"/>
  <c r="F279" i="25"/>
  <c r="D203" i="39"/>
  <c r="F204" i="25"/>
  <c r="D203" i="12"/>
  <c r="F245" i="25"/>
  <c r="D244" i="12"/>
  <c r="D39" i="12"/>
  <c r="F40" i="25"/>
  <c r="D172" i="12"/>
  <c r="F173" i="25"/>
  <c r="D172" i="39"/>
  <c r="D257" i="12"/>
  <c r="F258" i="25"/>
  <c r="D257" i="39"/>
  <c r="F11" i="25"/>
  <c r="D10" i="12"/>
  <c r="F84" i="25"/>
  <c r="D83" i="12"/>
  <c r="D83" i="39"/>
  <c r="D152" i="12"/>
  <c r="D152" i="39"/>
  <c r="F301" i="25"/>
  <c r="D300" i="12"/>
  <c r="D22" i="12"/>
  <c r="F23" i="25"/>
  <c r="D22" i="39"/>
  <c r="F270" i="25"/>
  <c r="D269" i="39"/>
  <c r="D269" i="12"/>
  <c r="F285" i="25"/>
  <c r="D284" i="12"/>
  <c r="D78" i="12"/>
  <c r="D78" i="39"/>
  <c r="D285" i="12"/>
  <c r="D285" i="39"/>
  <c r="D68" i="39"/>
  <c r="D68" i="12"/>
  <c r="D148" i="39"/>
  <c r="D148" i="12"/>
  <c r="F296" i="25"/>
  <c r="D295" i="12"/>
  <c r="D295" i="39"/>
  <c r="F274" i="25"/>
  <c r="D273" i="39"/>
  <c r="D306" i="39"/>
  <c r="F307" i="25"/>
  <c r="F165" i="25"/>
  <c r="D164" i="12"/>
  <c r="D164" i="39"/>
  <c r="D77" i="39"/>
  <c r="D77" i="12"/>
  <c r="F261" i="25"/>
  <c r="D260" i="39"/>
  <c r="F110" i="25"/>
  <c r="D109" i="12"/>
  <c r="D109" i="39"/>
  <c r="D318" i="39"/>
  <c r="F319" i="25"/>
  <c r="D318" i="12"/>
  <c r="F106" i="25"/>
  <c r="D105" i="12"/>
  <c r="D160" i="39"/>
  <c r="D160" i="12"/>
  <c r="D122" i="39"/>
  <c r="D122" i="12"/>
  <c r="D218" i="12"/>
  <c r="F219" i="25"/>
  <c r="D88" i="39"/>
  <c r="F89" i="25"/>
  <c r="D261" i="12"/>
  <c r="D261" i="39"/>
  <c r="D296" i="39"/>
  <c r="F297" i="25"/>
  <c r="D296" i="12"/>
  <c r="D106" i="12"/>
  <c r="D106" i="39"/>
  <c r="F107" i="25"/>
  <c r="D263" i="39"/>
  <c r="F264" i="25"/>
  <c r="D263" i="12"/>
  <c r="D200" i="12"/>
  <c r="F201" i="25"/>
  <c r="D200" i="39"/>
  <c r="F58" i="25"/>
  <c r="D57" i="12"/>
  <c r="D57" i="39"/>
  <c r="D141" i="12"/>
  <c r="D141" i="39"/>
  <c r="F43" i="25"/>
  <c r="D42" i="12"/>
  <c r="D42" i="39"/>
  <c r="F32" i="25"/>
  <c r="D31" i="39"/>
  <c r="F304" i="25"/>
  <c r="D303" i="12"/>
  <c r="D221" i="39"/>
  <c r="D221" i="12"/>
  <c r="F262" i="25"/>
  <c r="F210" i="25"/>
  <c r="D130" i="39"/>
  <c r="D202" i="12"/>
  <c r="D218" i="39"/>
  <c r="D301" i="12"/>
  <c r="F24" i="25"/>
  <c r="D89" i="12"/>
  <c r="F214" i="25"/>
  <c r="D65" i="12"/>
  <c r="D192" i="12"/>
  <c r="D320" i="12"/>
  <c r="D21" i="12"/>
  <c r="D271" i="12"/>
  <c r="D86" i="39"/>
  <c r="D273" i="12"/>
  <c r="D288" i="12"/>
  <c r="D191" i="12"/>
  <c r="F286" i="25"/>
  <c r="D155" i="39"/>
  <c r="D61" i="12"/>
  <c r="D35" i="39"/>
  <c r="F254" i="25"/>
  <c r="D101" i="39"/>
  <c r="F78" i="25"/>
  <c r="F79" i="25"/>
  <c r="F38" i="25"/>
  <c r="F129" i="25"/>
  <c r="D31" i="12"/>
  <c r="D39" i="39"/>
  <c r="F310" i="25"/>
  <c r="D309" i="39"/>
  <c r="D114" i="12"/>
  <c r="D258" i="12"/>
  <c r="D308" i="39"/>
  <c r="D308" i="12"/>
  <c r="F111" i="25"/>
  <c r="D110" i="39"/>
  <c r="D110" i="12"/>
  <c r="D93" i="12"/>
  <c r="F94" i="25"/>
  <c r="D225" i="39"/>
  <c r="D225" i="12"/>
  <c r="F237" i="25"/>
  <c r="D236" i="12"/>
  <c r="F125" i="25"/>
  <c r="D124" i="12"/>
  <c r="D124" i="39"/>
  <c r="D139" i="12"/>
  <c r="F140" i="25"/>
  <c r="D139" i="39"/>
  <c r="D158" i="12"/>
  <c r="F159" i="25"/>
  <c r="D38" i="39"/>
  <c r="D38" i="12"/>
  <c r="D283" i="12"/>
  <c r="D283" i="39"/>
  <c r="F284" i="25"/>
  <c r="F229" i="25"/>
  <c r="D228" i="39"/>
  <c r="D95" i="12"/>
  <c r="D95" i="39"/>
  <c r="D126" i="39"/>
  <c r="D126" i="12"/>
  <c r="F127" i="25"/>
  <c r="D7" i="39"/>
  <c r="D7" i="12"/>
  <c r="D187" i="12"/>
  <c r="F188" i="25"/>
  <c r="D187" i="39"/>
  <c r="D194" i="39"/>
  <c r="F195" i="25"/>
  <c r="D70" i="12"/>
  <c r="D70" i="39"/>
  <c r="F212" i="25"/>
  <c r="D211" i="39"/>
  <c r="D137" i="12"/>
  <c r="F138" i="25"/>
  <c r="F152" i="25"/>
  <c r="D151" i="39"/>
  <c r="D277" i="12"/>
  <c r="D277" i="39"/>
  <c r="D18" i="39"/>
  <c r="D18" i="12"/>
  <c r="D48" i="39"/>
  <c r="F49" i="25"/>
  <c r="D48" i="12"/>
  <c r="D202" i="39"/>
  <c r="D184" i="39"/>
  <c r="D195" i="12"/>
  <c r="F97" i="25"/>
  <c r="F8" i="25"/>
  <c r="F217" i="25"/>
  <c r="F118" i="25"/>
  <c r="D174" i="39"/>
  <c r="D209" i="12"/>
  <c r="D99" i="12"/>
  <c r="D99" i="39"/>
  <c r="F100" i="25"/>
  <c r="D132" i="39"/>
  <c r="D132" i="12"/>
  <c r="F133" i="25"/>
  <c r="F128" i="25"/>
  <c r="D127" i="12"/>
  <c r="D310" i="39"/>
  <c r="F311" i="25"/>
  <c r="D40" i="39"/>
  <c r="F41" i="25"/>
  <c r="F20" i="25"/>
  <c r="D19" i="12"/>
  <c r="D144" i="39"/>
  <c r="F145" i="25"/>
  <c r="D144" i="12"/>
  <c r="D90" i="39"/>
  <c r="D194" i="12"/>
  <c r="F153" i="25"/>
  <c r="D166" i="39"/>
  <c r="F196" i="25"/>
  <c r="D69" i="12"/>
  <c r="F39" i="25"/>
  <c r="F112" i="25"/>
  <c r="D298" i="39"/>
  <c r="D240" i="12"/>
  <c r="D62" i="12"/>
  <c r="F272" i="25"/>
  <c r="D73" i="39"/>
  <c r="D17" i="12"/>
  <c r="D191" i="39"/>
  <c r="F69" i="25"/>
  <c r="F289" i="25"/>
  <c r="D156" i="39"/>
  <c r="D15" i="39"/>
  <c r="D61" i="39"/>
  <c r="D35" i="12"/>
  <c r="D267" i="39"/>
  <c r="D252" i="39"/>
  <c r="D17" i="39"/>
  <c r="D47" i="39"/>
  <c r="F96" i="25"/>
  <c r="D23" i="39"/>
  <c r="F123" i="25"/>
  <c r="D118" i="12"/>
  <c r="D310" i="12"/>
  <c r="F302" i="25"/>
  <c r="D54" i="39"/>
  <c r="F177" i="25"/>
  <c r="D176" i="39"/>
  <c r="D49" i="12"/>
  <c r="D149" i="39"/>
  <c r="D11" i="39"/>
  <c r="D266" i="39"/>
  <c r="D282" i="39"/>
  <c r="F283" i="25"/>
  <c r="F93" i="25"/>
  <c r="D12" i="12"/>
  <c r="D45" i="39"/>
  <c r="D150" i="39"/>
  <c r="F168" i="25"/>
  <c r="D188" i="39"/>
  <c r="D11" i="12"/>
  <c r="D246" i="12"/>
  <c r="D201" i="12"/>
  <c r="F247" i="25"/>
  <c r="D227" i="39"/>
  <c r="F239" i="25"/>
  <c r="D238" i="39"/>
  <c r="D50" i="39"/>
  <c r="F51" i="25"/>
  <c r="D50" i="12"/>
  <c r="D171" i="39"/>
  <c r="D171" i="12"/>
  <c r="F10" i="25"/>
  <c r="D9" i="12"/>
  <c r="D315" i="39"/>
  <c r="F316" i="25"/>
  <c r="D315" i="12"/>
  <c r="F77" i="25"/>
  <c r="D76" i="12"/>
  <c r="F170" i="25"/>
  <c r="D169" i="12"/>
  <c r="D305" i="39"/>
  <c r="D305" i="12"/>
  <c r="F306" i="25"/>
  <c r="F154" i="25"/>
  <c r="D153" i="12"/>
  <c r="D153" i="39"/>
  <c r="F287" i="25"/>
  <c r="D286" i="39"/>
  <c r="D286" i="12"/>
  <c r="D279" i="12"/>
  <c r="D279" i="39"/>
  <c r="F280" i="25"/>
  <c r="D186" i="12"/>
  <c r="F187" i="25"/>
  <c r="F181" i="25"/>
  <c r="D180" i="39"/>
  <c r="D197" i="12"/>
  <c r="F198" i="25"/>
  <c r="D275" i="39"/>
  <c r="F276" i="25"/>
  <c r="F108" i="25"/>
  <c r="D107" i="12"/>
  <c r="D107" i="39"/>
  <c r="F17" i="25"/>
  <c r="D16" i="12"/>
  <c r="D16" i="39"/>
  <c r="F146" i="25"/>
  <c r="D145" i="39"/>
  <c r="D145" i="12"/>
  <c r="F257" i="25"/>
  <c r="D256" i="12"/>
  <c r="D256" i="39"/>
  <c r="F225" i="25"/>
  <c r="D224" i="12"/>
  <c r="D44" i="39"/>
  <c r="F45" i="25"/>
  <c r="D251" i="39"/>
  <c r="D251" i="12"/>
  <c r="F252" i="25"/>
  <c r="D131" i="12"/>
  <c r="F132" i="25"/>
  <c r="F60" i="25"/>
  <c r="D59" i="39"/>
  <c r="D59" i="12"/>
  <c r="D178" i="39"/>
  <c r="F179" i="25"/>
  <c r="D178" i="12"/>
  <c r="F251" i="25"/>
  <c r="D250" i="12"/>
  <c r="D250" i="39"/>
  <c r="D183" i="39"/>
  <c r="F184" i="25"/>
  <c r="D146" i="39"/>
  <c r="F147" i="25"/>
  <c r="D146" i="12"/>
  <c r="F178" i="25"/>
  <c r="D177" i="39"/>
  <c r="D177" i="12"/>
  <c r="F305" i="25"/>
  <c r="D304" i="12"/>
  <c r="D138" i="39"/>
  <c r="D138" i="12"/>
  <c r="F85" i="25"/>
  <c r="D84" i="12"/>
  <c r="D84" i="39"/>
  <c r="D245" i="39"/>
  <c r="D245" i="12"/>
  <c r="D55" i="39"/>
  <c r="F56" i="25"/>
  <c r="D163" i="39"/>
  <c r="D163" i="12"/>
  <c r="F164" i="25"/>
  <c r="F174" i="25"/>
  <c r="D173" i="12"/>
  <c r="F190" i="25"/>
  <c r="D189" i="12"/>
  <c r="D159" i="12"/>
  <c r="D159" i="39"/>
  <c r="F160" i="25"/>
  <c r="D204" i="12"/>
  <c r="F205" i="25"/>
  <c r="D204" i="39"/>
  <c r="F194" i="25"/>
  <c r="D193" i="39"/>
  <c r="D58" i="39"/>
  <c r="D58" i="12"/>
  <c r="F59" i="25"/>
  <c r="F207" i="25"/>
  <c r="D206" i="12"/>
  <c r="D231" i="12"/>
  <c r="D231" i="39"/>
  <c r="F216" i="25"/>
  <c r="D215" i="39"/>
  <c r="D56" i="39"/>
  <c r="F57" i="25"/>
  <c r="F109" i="25"/>
  <c r="D108" i="12"/>
  <c r="F256" i="25"/>
  <c r="D255" i="12"/>
  <c r="D255" i="39"/>
  <c r="F273" i="25"/>
  <c r="D272" i="39"/>
  <c r="D157" i="12"/>
  <c r="D157" i="39"/>
  <c r="F158" i="25"/>
  <c r="D79" i="39"/>
  <c r="D79" i="12"/>
  <c r="F80" i="25"/>
  <c r="D219" i="39"/>
  <c r="F220" i="25"/>
  <c r="D28" i="12"/>
  <c r="D28" i="39"/>
  <c r="F29" i="25"/>
  <c r="F290" i="25"/>
  <c r="D289" i="39"/>
  <c r="D281" i="39"/>
  <c r="D281" i="12"/>
  <c r="F282" i="25"/>
  <c r="D229" i="12"/>
  <c r="F230" i="25"/>
  <c r="D46" i="12"/>
  <c r="D46" i="39"/>
  <c r="F47" i="25"/>
  <c r="F329" i="9"/>
  <c r="D215" i="12"/>
  <c r="D44" i="12"/>
  <c r="D76" i="39"/>
  <c r="D197" i="39"/>
  <c r="D304" i="39"/>
  <c r="D193" i="12"/>
  <c r="D275" i="12"/>
  <c r="D189" i="39"/>
  <c r="D307" i="39"/>
  <c r="D229" i="39"/>
  <c r="D173" i="39"/>
  <c r="D56" i="12"/>
  <c r="D55" i="12"/>
  <c r="F139" i="25"/>
  <c r="D219" i="12"/>
  <c r="D274" i="12"/>
  <c r="D74" i="12"/>
  <c r="D100" i="39"/>
  <c r="F298" i="25"/>
  <c r="F99" i="25"/>
  <c r="D299" i="39"/>
  <c r="D92" i="12"/>
  <c r="F68" i="25"/>
  <c r="D264" i="39"/>
  <c r="F208" i="25"/>
  <c r="D190" i="39"/>
  <c r="F314" i="25"/>
  <c r="D97" i="12"/>
  <c r="F317" i="25"/>
  <c r="D226" i="12"/>
  <c r="D239" i="39"/>
  <c r="F315" i="25"/>
  <c r="D72" i="12"/>
  <c r="D116" i="12"/>
  <c r="D19" i="39"/>
  <c r="D94" i="12"/>
  <c r="D243" i="12"/>
  <c r="F105" i="25"/>
  <c r="D27" i="12"/>
  <c r="D134" i="12"/>
  <c r="F259" i="25"/>
  <c r="D94" i="39"/>
  <c r="D234" i="12"/>
  <c r="D10" i="39"/>
  <c r="D297" i="12"/>
  <c r="F103" i="25"/>
  <c r="D179" i="12"/>
  <c r="D242" i="12"/>
  <c r="D254" i="39"/>
  <c r="D125" i="12"/>
  <c r="D233" i="12"/>
  <c r="D226" i="39"/>
  <c r="F200" i="25"/>
  <c r="D104" i="12"/>
  <c r="D316" i="39"/>
  <c r="F171" i="25"/>
  <c r="D98" i="39"/>
  <c r="D299" i="12"/>
  <c r="D143" i="12"/>
  <c r="F73" i="25"/>
  <c r="D266" i="12"/>
  <c r="D264" i="12"/>
  <c r="D14" i="39"/>
  <c r="D51" i="12"/>
  <c r="D262" i="12"/>
  <c r="F182" i="25"/>
  <c r="D34" i="12"/>
  <c r="D314" i="39"/>
  <c r="D34" i="39"/>
  <c r="F53" i="25"/>
  <c r="F72" i="25"/>
  <c r="D241" i="39"/>
  <c r="F244" i="25"/>
  <c r="F271" i="25"/>
  <c r="F13" i="25"/>
  <c r="D165" i="12"/>
  <c r="D85" i="12"/>
  <c r="D45" i="12"/>
  <c r="F166" i="25"/>
  <c r="F266" i="25"/>
  <c r="D265" i="39"/>
  <c r="D238" i="12"/>
  <c r="F292" i="25"/>
  <c r="F172" i="25"/>
  <c r="D101" i="12"/>
  <c r="D298" i="12"/>
  <c r="D128" i="39"/>
  <c r="F309" i="25"/>
  <c r="D302" i="39"/>
  <c r="D9" i="39"/>
  <c r="D135" i="39"/>
  <c r="C37" i="40"/>
  <c r="J4" i="11" s="1"/>
  <c r="C38" i="40"/>
  <c r="N4" i="11" s="1"/>
  <c r="G334" i="34"/>
  <c r="D5" i="12" l="1"/>
  <c r="D5" i="39"/>
  <c r="G329" i="9"/>
  <c r="D323" i="12" s="1"/>
  <c r="N134" i="11"/>
  <c r="N277" i="11"/>
  <c r="N54" i="11"/>
  <c r="N60" i="11"/>
  <c r="N26" i="11"/>
  <c r="N213" i="11"/>
  <c r="N110" i="11"/>
  <c r="N162" i="11"/>
  <c r="N232" i="11"/>
  <c r="N260" i="11"/>
  <c r="N167" i="11"/>
  <c r="N44" i="11"/>
  <c r="N30" i="11"/>
  <c r="N143" i="11"/>
  <c r="N320" i="11"/>
  <c r="N130" i="11"/>
  <c r="N171" i="11"/>
  <c r="N101" i="11"/>
  <c r="N193" i="11"/>
  <c r="N82" i="11"/>
  <c r="N177" i="11"/>
  <c r="N270" i="11"/>
  <c r="N189" i="11"/>
  <c r="N99" i="11"/>
  <c r="N56" i="11"/>
  <c r="N10" i="11"/>
  <c r="N190" i="11"/>
  <c r="N254" i="11"/>
  <c r="N222" i="11"/>
  <c r="N92" i="11"/>
  <c r="N120" i="11"/>
  <c r="N283" i="11"/>
  <c r="N215" i="11"/>
  <c r="N58" i="11"/>
  <c r="N154" i="11"/>
  <c r="N42" i="11"/>
  <c r="N244" i="11"/>
  <c r="N305" i="11"/>
  <c r="N59" i="11"/>
  <c r="N227" i="11"/>
  <c r="N27" i="11"/>
  <c r="N103" i="11"/>
  <c r="N218" i="11"/>
  <c r="N191" i="11"/>
  <c r="N319" i="11"/>
  <c r="N262" i="11"/>
  <c r="N310" i="11"/>
  <c r="N221" i="11"/>
  <c r="N62" i="11"/>
  <c r="N38" i="11"/>
  <c r="N207" i="11"/>
  <c r="N166" i="11"/>
  <c r="N237" i="11"/>
  <c r="N271" i="11"/>
  <c r="N81" i="11"/>
  <c r="N12" i="11"/>
  <c r="N157" i="11"/>
  <c r="N208" i="11"/>
  <c r="N245" i="11"/>
  <c r="N290" i="11"/>
  <c r="N52" i="11"/>
  <c r="N225" i="11"/>
  <c r="N236" i="11"/>
  <c r="N276" i="11"/>
  <c r="N131" i="11"/>
  <c r="N264" i="11"/>
  <c r="N185" i="11"/>
  <c r="N53" i="11"/>
  <c r="N285" i="11"/>
  <c r="N197" i="11"/>
  <c r="N202" i="11"/>
  <c r="N216" i="11"/>
  <c r="N100" i="11"/>
  <c r="N306" i="11"/>
  <c r="N274" i="11"/>
  <c r="N291" i="11"/>
  <c r="N14" i="11"/>
  <c r="N181" i="11"/>
  <c r="N76" i="11"/>
  <c r="N7" i="11"/>
  <c r="N294" i="11"/>
  <c r="N122" i="11"/>
  <c r="N45" i="11"/>
  <c r="N6" i="11"/>
  <c r="N16" i="11"/>
  <c r="N55" i="11"/>
  <c r="N37" i="11"/>
  <c r="N39" i="11"/>
  <c r="N111" i="11"/>
  <c r="N300" i="11"/>
  <c r="N250" i="11"/>
  <c r="N126" i="11"/>
  <c r="N41" i="11"/>
  <c r="N241" i="11"/>
  <c r="N115" i="11"/>
  <c r="N242" i="11"/>
  <c r="N125" i="11"/>
  <c r="N66" i="11"/>
  <c r="N267" i="11"/>
  <c r="N137" i="11"/>
  <c r="N17" i="11"/>
  <c r="N102" i="11"/>
  <c r="N211" i="11"/>
  <c r="N109" i="11"/>
  <c r="N311" i="11"/>
  <c r="N107" i="11"/>
  <c r="N63" i="11"/>
  <c r="N226" i="11"/>
  <c r="N173" i="11"/>
  <c r="N87" i="11"/>
  <c r="N36" i="11"/>
  <c r="N299" i="11"/>
  <c r="N240" i="11"/>
  <c r="N282" i="11"/>
  <c r="N22" i="11"/>
  <c r="N280" i="11"/>
  <c r="N164" i="11"/>
  <c r="N98" i="11"/>
  <c r="N176" i="11"/>
  <c r="N132" i="11"/>
  <c r="N279" i="11"/>
  <c r="N159" i="11"/>
  <c r="N220" i="11"/>
  <c r="N307" i="11"/>
  <c r="N192" i="11"/>
  <c r="N317" i="11"/>
  <c r="N201" i="11"/>
  <c r="N31" i="11"/>
  <c r="N224" i="11"/>
  <c r="N289" i="11"/>
  <c r="N61" i="11"/>
  <c r="N248" i="11"/>
  <c r="N278" i="11"/>
  <c r="N33" i="11"/>
  <c r="N163" i="11"/>
  <c r="N318" i="11"/>
  <c r="N263" i="11"/>
  <c r="N128" i="11"/>
  <c r="N298" i="11"/>
  <c r="N287" i="11"/>
  <c r="N259" i="11"/>
  <c r="N295" i="11"/>
  <c r="N64" i="11"/>
  <c r="N34" i="11"/>
  <c r="N161" i="11"/>
  <c r="N314" i="11"/>
  <c r="N265" i="11"/>
  <c r="N156" i="11"/>
  <c r="N24" i="11"/>
  <c r="N312" i="11"/>
  <c r="N198" i="11"/>
  <c r="N180" i="11"/>
  <c r="N88" i="11"/>
  <c r="N204" i="11"/>
  <c r="N309" i="11"/>
  <c r="N301" i="11"/>
  <c r="N297" i="11"/>
  <c r="N152" i="11"/>
  <c r="N15" i="11"/>
  <c r="N286" i="11"/>
  <c r="N151" i="11"/>
  <c r="N200" i="11"/>
  <c r="N138" i="11"/>
  <c r="N231" i="11"/>
  <c r="N113" i="11"/>
  <c r="N165" i="11"/>
  <c r="N112" i="11"/>
  <c r="N141" i="11"/>
  <c r="N5" i="11"/>
  <c r="N153" i="11"/>
  <c r="N116" i="11"/>
  <c r="N18" i="11"/>
  <c r="N148" i="11"/>
  <c r="N86" i="11"/>
  <c r="N160" i="11"/>
  <c r="N85" i="11"/>
  <c r="N93" i="11"/>
  <c r="N94" i="11"/>
  <c r="N96" i="11"/>
  <c r="N77" i="11"/>
  <c r="N11" i="11"/>
  <c r="N65" i="11"/>
  <c r="N78" i="11"/>
  <c r="N253" i="11"/>
  <c r="N308" i="11"/>
  <c r="N296" i="11"/>
  <c r="N124" i="11"/>
  <c r="N188" i="11"/>
  <c r="N46" i="11"/>
  <c r="N194" i="11"/>
  <c r="N136" i="11"/>
  <c r="N304" i="11"/>
  <c r="N219" i="11"/>
  <c r="N256" i="11"/>
  <c r="N316" i="11"/>
  <c r="N210" i="11"/>
  <c r="N49" i="11"/>
  <c r="N209" i="11"/>
  <c r="N145" i="11"/>
  <c r="N249" i="11"/>
  <c r="N119" i="11"/>
  <c r="N139" i="11"/>
  <c r="N292" i="11"/>
  <c r="N72" i="11"/>
  <c r="N268" i="11"/>
  <c r="N322" i="11"/>
  <c r="N273" i="11"/>
  <c r="N43" i="11"/>
  <c r="N135" i="11"/>
  <c r="N123" i="11"/>
  <c r="N275" i="11"/>
  <c r="N302" i="11"/>
  <c r="N182" i="11"/>
  <c r="N23" i="11"/>
  <c r="N79" i="11"/>
  <c r="N247" i="11"/>
  <c r="N246" i="11"/>
  <c r="N95" i="11"/>
  <c r="N21" i="11"/>
  <c r="N25" i="11"/>
  <c r="N257" i="11"/>
  <c r="N243" i="11"/>
  <c r="N269" i="11"/>
  <c r="N32" i="11"/>
  <c r="N199" i="11"/>
  <c r="N67" i="11"/>
  <c r="N184" i="11"/>
  <c r="N71" i="11"/>
  <c r="N313" i="11"/>
  <c r="N146" i="11"/>
  <c r="N104" i="11"/>
  <c r="N35" i="11"/>
  <c r="N83" i="11"/>
  <c r="N284" i="11"/>
  <c r="N70" i="11"/>
  <c r="N203" i="11"/>
  <c r="N118" i="11"/>
  <c r="N303" i="11"/>
  <c r="N238" i="11"/>
  <c r="N214" i="11"/>
  <c r="N170" i="11"/>
  <c r="N169" i="11"/>
  <c r="N293" i="11"/>
  <c r="N40" i="11"/>
  <c r="N19" i="11"/>
  <c r="N288" i="11"/>
  <c r="N252" i="11"/>
  <c r="N179" i="11"/>
  <c r="N315" i="11"/>
  <c r="N114" i="11"/>
  <c r="N51" i="11"/>
  <c r="N89" i="11"/>
  <c r="N205" i="11"/>
  <c r="N90" i="11"/>
  <c r="N48" i="11"/>
  <c r="N235" i="11"/>
  <c r="N57" i="11"/>
  <c r="N150" i="11"/>
  <c r="N183" i="11"/>
  <c r="N91" i="11"/>
  <c r="N251" i="11"/>
  <c r="N281" i="11"/>
  <c r="N68" i="11"/>
  <c r="N206" i="11"/>
  <c r="N142" i="11"/>
  <c r="N13" i="11"/>
  <c r="N121" i="11"/>
  <c r="N149" i="11"/>
  <c r="N272" i="11"/>
  <c r="N228" i="11"/>
  <c r="N106" i="11"/>
  <c r="N140" i="11"/>
  <c r="N133" i="11"/>
  <c r="N230" i="11"/>
  <c r="N186" i="11"/>
  <c r="N168" i="11"/>
  <c r="N147" i="11"/>
  <c r="N212" i="11"/>
  <c r="N129" i="11"/>
  <c r="N266" i="11"/>
  <c r="N178" i="11"/>
  <c r="N234" i="11"/>
  <c r="N258" i="11"/>
  <c r="N229" i="11"/>
  <c r="N144" i="11"/>
  <c r="N69" i="11"/>
  <c r="N255" i="11"/>
  <c r="N105" i="11"/>
  <c r="N84" i="11"/>
  <c r="N175" i="11"/>
  <c r="N47" i="11"/>
  <c r="N174" i="11"/>
  <c r="N20" i="11"/>
  <c r="N239" i="11"/>
  <c r="N8" i="11"/>
  <c r="N73" i="11"/>
  <c r="N233" i="11"/>
  <c r="N29" i="11"/>
  <c r="N108" i="11"/>
  <c r="N117" i="11"/>
  <c r="N223" i="11"/>
  <c r="N217" i="11"/>
  <c r="N321" i="11"/>
  <c r="N50" i="11"/>
  <c r="N28" i="11"/>
  <c r="N74" i="11"/>
  <c r="N187" i="11"/>
  <c r="N127" i="11"/>
  <c r="N9" i="11"/>
  <c r="N172" i="11"/>
  <c r="N75" i="11"/>
  <c r="N158" i="11"/>
  <c r="N195" i="11"/>
  <c r="N97" i="11"/>
  <c r="N80" i="11"/>
  <c r="N196" i="11"/>
  <c r="N261" i="11"/>
  <c r="N155" i="11"/>
  <c r="J5" i="11"/>
  <c r="J252" i="11"/>
  <c r="J295" i="11"/>
  <c r="J116" i="11"/>
  <c r="J270" i="11"/>
  <c r="J13" i="11"/>
  <c r="J211" i="11"/>
  <c r="J117" i="11"/>
  <c r="J179" i="11"/>
  <c r="J102" i="11"/>
  <c r="J314" i="11"/>
  <c r="J185" i="11"/>
  <c r="J63" i="11"/>
  <c r="J254" i="11"/>
  <c r="J222" i="11"/>
  <c r="J75" i="11"/>
  <c r="J88" i="11"/>
  <c r="J20" i="11"/>
  <c r="J93" i="11"/>
  <c r="J154" i="11"/>
  <c r="J280" i="11"/>
  <c r="J96" i="11"/>
  <c r="J158" i="11"/>
  <c r="J27" i="11"/>
  <c r="J103" i="11"/>
  <c r="J218" i="11"/>
  <c r="J303" i="11"/>
  <c r="J122" i="11"/>
  <c r="J192" i="11"/>
  <c r="J140" i="11"/>
  <c r="J201" i="11"/>
  <c r="J16" i="11"/>
  <c r="J8" i="11"/>
  <c r="J162" i="11"/>
  <c r="J111" i="11"/>
  <c r="J260" i="11"/>
  <c r="J165" i="11"/>
  <c r="J237" i="11"/>
  <c r="J97" i="11"/>
  <c r="J115" i="11"/>
  <c r="J130" i="11"/>
  <c r="J125" i="11"/>
  <c r="J206" i="11"/>
  <c r="J153" i="11"/>
  <c r="J142" i="11"/>
  <c r="J236" i="11"/>
  <c r="J168" i="11"/>
  <c r="J18" i="11"/>
  <c r="J174" i="11"/>
  <c r="J114" i="11"/>
  <c r="J10" i="11"/>
  <c r="J190" i="11"/>
  <c r="J51" i="11"/>
  <c r="J312" i="11"/>
  <c r="J173" i="11"/>
  <c r="J212" i="11"/>
  <c r="J149" i="11"/>
  <c r="J79" i="11"/>
  <c r="J309" i="11"/>
  <c r="J229" i="11"/>
  <c r="J164" i="11"/>
  <c r="J98" i="11"/>
  <c r="J77" i="11"/>
  <c r="J132" i="11"/>
  <c r="J261" i="11"/>
  <c r="J235" i="11"/>
  <c r="J151" i="11"/>
  <c r="J238" i="11"/>
  <c r="J60" i="11"/>
  <c r="J221" i="11"/>
  <c r="J224" i="11"/>
  <c r="J231" i="11"/>
  <c r="J91" i="11"/>
  <c r="J61" i="11"/>
  <c r="J167" i="11"/>
  <c r="J133" i="11"/>
  <c r="J293" i="11"/>
  <c r="J81" i="11"/>
  <c r="J188" i="11"/>
  <c r="J320" i="11"/>
  <c r="J263" i="11"/>
  <c r="J19" i="11"/>
  <c r="J245" i="11"/>
  <c r="J290" i="11"/>
  <c r="J52" i="11"/>
  <c r="J17" i="11"/>
  <c r="J161" i="11"/>
  <c r="J315" i="11"/>
  <c r="J109" i="11"/>
  <c r="J24" i="11"/>
  <c r="J180" i="11"/>
  <c r="J72" i="11"/>
  <c r="J58" i="11"/>
  <c r="J217" i="11"/>
  <c r="J227" i="11"/>
  <c r="J106" i="11"/>
  <c r="J246" i="11"/>
  <c r="J317" i="11"/>
  <c r="J29" i="11"/>
  <c r="J138" i="11"/>
  <c r="J175" i="11"/>
  <c r="J178" i="11"/>
  <c r="J30" i="11"/>
  <c r="J163" i="11"/>
  <c r="J171" i="11"/>
  <c r="J193" i="11"/>
  <c r="J177" i="11"/>
  <c r="J131" i="11"/>
  <c r="J256" i="11"/>
  <c r="J107" i="11"/>
  <c r="J226" i="11"/>
  <c r="J160" i="11"/>
  <c r="J283" i="11"/>
  <c r="J90" i="11"/>
  <c r="J305" i="11"/>
  <c r="J48" i="11"/>
  <c r="J152" i="11"/>
  <c r="J286" i="11"/>
  <c r="J200" i="11"/>
  <c r="J213" i="11"/>
  <c r="J170" i="11"/>
  <c r="J302" i="11"/>
  <c r="J34" i="11"/>
  <c r="J172" i="11"/>
  <c r="J182" i="11"/>
  <c r="J311" i="11"/>
  <c r="J285" i="11"/>
  <c r="J23" i="11"/>
  <c r="J210" i="11"/>
  <c r="J120" i="11"/>
  <c r="J299" i="11"/>
  <c r="J306" i="11"/>
  <c r="J274" i="11"/>
  <c r="J94" i="11"/>
  <c r="J268" i="11"/>
  <c r="J70" i="11"/>
  <c r="J145" i="11"/>
  <c r="J279" i="11"/>
  <c r="J159" i="11"/>
  <c r="J220" i="11"/>
  <c r="J191" i="11"/>
  <c r="J319" i="11"/>
  <c r="J78" i="11"/>
  <c r="J45" i="11"/>
  <c r="J150" i="11"/>
  <c r="J31" i="11"/>
  <c r="J62" i="11"/>
  <c r="J39" i="11"/>
  <c r="J113" i="11"/>
  <c r="J296" i="11"/>
  <c r="J166" i="11"/>
  <c r="J108" i="11"/>
  <c r="J112" i="11"/>
  <c r="J230" i="11"/>
  <c r="J242" i="11"/>
  <c r="J199" i="11"/>
  <c r="J234" i="11"/>
  <c r="J67" i="11"/>
  <c r="J225" i="11"/>
  <c r="J64" i="11"/>
  <c r="J73" i="11"/>
  <c r="J71" i="11"/>
  <c r="J265" i="11"/>
  <c r="J148" i="11"/>
  <c r="J147" i="11"/>
  <c r="J74" i="11"/>
  <c r="J197" i="11"/>
  <c r="J223" i="11"/>
  <c r="J216" i="11"/>
  <c r="J92" i="11"/>
  <c r="J36" i="11"/>
  <c r="J215" i="11"/>
  <c r="J209" i="11"/>
  <c r="J22" i="11"/>
  <c r="J129" i="11"/>
  <c r="J297" i="11"/>
  <c r="J203" i="11"/>
  <c r="J322" i="11"/>
  <c r="J76" i="11"/>
  <c r="J7" i="11"/>
  <c r="J307" i="11"/>
  <c r="J262" i="11"/>
  <c r="J6" i="11"/>
  <c r="J21" i="11"/>
  <c r="J127" i="11"/>
  <c r="J25" i="11"/>
  <c r="J289" i="11"/>
  <c r="J300" i="11"/>
  <c r="J243" i="11"/>
  <c r="J281" i="11"/>
  <c r="J271" i="11"/>
  <c r="J269" i="11"/>
  <c r="J40" i="11"/>
  <c r="J318" i="11"/>
  <c r="J32" i="11"/>
  <c r="J128" i="11"/>
  <c r="J298" i="11"/>
  <c r="J287" i="11"/>
  <c r="J259" i="11"/>
  <c r="J53" i="11"/>
  <c r="J196" i="11"/>
  <c r="J85" i="11"/>
  <c r="J204" i="11"/>
  <c r="J284" i="11"/>
  <c r="J187" i="11"/>
  <c r="J11" i="11"/>
  <c r="J134" i="11"/>
  <c r="J57" i="11"/>
  <c r="J195" i="11"/>
  <c r="J183" i="11"/>
  <c r="J69" i="11"/>
  <c r="J44" i="11"/>
  <c r="J157" i="11"/>
  <c r="J101" i="11"/>
  <c r="J82" i="11"/>
  <c r="J276" i="11"/>
  <c r="J99" i="11"/>
  <c r="J156" i="11"/>
  <c r="J86" i="11"/>
  <c r="J198" i="11"/>
  <c r="J233" i="11"/>
  <c r="J240" i="11"/>
  <c r="J291" i="11"/>
  <c r="J59" i="11"/>
  <c r="J15" i="11"/>
  <c r="J277" i="11"/>
  <c r="J253" i="11"/>
  <c r="J110" i="11"/>
  <c r="J136" i="11"/>
  <c r="J139" i="11"/>
  <c r="J87" i="11"/>
  <c r="J282" i="11"/>
  <c r="J239" i="11"/>
  <c r="J273" i="11"/>
  <c r="J26" i="11"/>
  <c r="J257" i="11"/>
  <c r="J68" i="11"/>
  <c r="J267" i="11"/>
  <c r="J264" i="11"/>
  <c r="J258" i="11"/>
  <c r="J104" i="11"/>
  <c r="J272" i="11"/>
  <c r="J181" i="11"/>
  <c r="J321" i="11"/>
  <c r="J37" i="11"/>
  <c r="J251" i="11"/>
  <c r="J278" i="11"/>
  <c r="J143" i="11"/>
  <c r="J155" i="11"/>
  <c r="J275" i="11"/>
  <c r="J186" i="11"/>
  <c r="J244" i="11"/>
  <c r="J308" i="11"/>
  <c r="J208" i="11"/>
  <c r="J56" i="11"/>
  <c r="J49" i="11"/>
  <c r="J249" i="11"/>
  <c r="J232" i="11"/>
  <c r="J33" i="11"/>
  <c r="J119" i="11"/>
  <c r="J189" i="11"/>
  <c r="J84" i="11"/>
  <c r="J65" i="11"/>
  <c r="J310" i="11"/>
  <c r="J41" i="11"/>
  <c r="J184" i="11"/>
  <c r="J89" i="11"/>
  <c r="J176" i="11"/>
  <c r="J55" i="11"/>
  <c r="J126" i="11"/>
  <c r="J12" i="11"/>
  <c r="J47" i="11"/>
  <c r="J304" i="11"/>
  <c r="J121" i="11"/>
  <c r="J35" i="11"/>
  <c r="J42" i="11"/>
  <c r="J118" i="11"/>
  <c r="J266" i="11"/>
  <c r="J43" i="11"/>
  <c r="J250" i="11"/>
  <c r="J46" i="11"/>
  <c r="J137" i="11"/>
  <c r="J105" i="11"/>
  <c r="J316" i="11"/>
  <c r="J100" i="11"/>
  <c r="J301" i="11"/>
  <c r="J247" i="11"/>
  <c r="J95" i="11"/>
  <c r="J38" i="11"/>
  <c r="J169" i="11"/>
  <c r="J124" i="11"/>
  <c r="J241" i="11"/>
  <c r="J141" i="11"/>
  <c r="J255" i="11"/>
  <c r="J28" i="11"/>
  <c r="J219" i="11"/>
  <c r="J146" i="11"/>
  <c r="J205" i="11"/>
  <c r="J144" i="11"/>
  <c r="J54" i="11"/>
  <c r="J50" i="11"/>
  <c r="J80" i="11"/>
  <c r="J292" i="11"/>
  <c r="J14" i="11"/>
  <c r="J214" i="11"/>
  <c r="J248" i="11"/>
  <c r="J9" i="11"/>
  <c r="J194" i="11"/>
  <c r="J202" i="11"/>
  <c r="J228" i="11"/>
  <c r="J135" i="11"/>
  <c r="J66" i="11"/>
  <c r="J313" i="11"/>
  <c r="J83" i="11"/>
  <c r="J294" i="11"/>
  <c r="J207" i="11"/>
  <c r="J123" i="11"/>
  <c r="J288" i="11"/>
  <c r="G15" i="34"/>
  <c r="H334" i="34"/>
  <c r="F324" i="25" l="1"/>
  <c r="D323" i="39"/>
  <c r="O75" i="11"/>
  <c r="P75" i="11" s="1"/>
  <c r="F75" i="12" s="1"/>
  <c r="O321" i="11"/>
  <c r="H322" i="25" s="1"/>
  <c r="O108" i="11"/>
  <c r="H109" i="25" s="1"/>
  <c r="O47" i="11"/>
  <c r="P47" i="11" s="1"/>
  <c r="F47" i="12" s="1"/>
  <c r="O258" i="11"/>
  <c r="H259" i="25" s="1"/>
  <c r="O129" i="11"/>
  <c r="H130" i="25" s="1"/>
  <c r="O186" i="11"/>
  <c r="P186" i="11" s="1"/>
  <c r="F186" i="39" s="1"/>
  <c r="O106" i="11"/>
  <c r="H107" i="25" s="1"/>
  <c r="O48" i="11"/>
  <c r="P48" i="11" s="1"/>
  <c r="F48" i="12" s="1"/>
  <c r="O238" i="11"/>
  <c r="H239" i="25" s="1"/>
  <c r="O70" i="11"/>
  <c r="P70" i="11" s="1"/>
  <c r="F70" i="12" s="1"/>
  <c r="O269" i="11"/>
  <c r="H270" i="25" s="1"/>
  <c r="O21" i="11"/>
  <c r="H22" i="25" s="1"/>
  <c r="O292" i="11"/>
  <c r="P292" i="11" s="1"/>
  <c r="F292" i="12" s="1"/>
  <c r="O316" i="11"/>
  <c r="P316" i="11" s="1"/>
  <c r="F316" i="12" s="1"/>
  <c r="O124" i="11"/>
  <c r="P124" i="11" s="1"/>
  <c r="F124" i="39" s="1"/>
  <c r="O78" i="11"/>
  <c r="P78" i="11" s="1"/>
  <c r="F78" i="12" s="1"/>
  <c r="O160" i="11"/>
  <c r="P160" i="11" s="1"/>
  <c r="F160" i="12" s="1"/>
  <c r="O116" i="11"/>
  <c r="H117" i="25" s="1"/>
  <c r="O138" i="11"/>
  <c r="O309" i="11"/>
  <c r="P309" i="11" s="1"/>
  <c r="F309" i="12" s="1"/>
  <c r="O198" i="11"/>
  <c r="H199" i="25" s="1"/>
  <c r="O265" i="11"/>
  <c r="P265" i="11" s="1"/>
  <c r="F265" i="12" s="1"/>
  <c r="O64" i="11"/>
  <c r="H65" i="25" s="1"/>
  <c r="O163" i="11"/>
  <c r="H164" i="25" s="1"/>
  <c r="O201" i="11"/>
  <c r="P201" i="11" s="1"/>
  <c r="F201" i="12" s="1"/>
  <c r="O220" i="11"/>
  <c r="P220" i="11" s="1"/>
  <c r="F220" i="39" s="1"/>
  <c r="O176" i="11"/>
  <c r="H177" i="25" s="1"/>
  <c r="O36" i="11"/>
  <c r="P36" i="11" s="1"/>
  <c r="F36" i="12" s="1"/>
  <c r="O211" i="11"/>
  <c r="H212" i="25" s="1"/>
  <c r="O115" i="11"/>
  <c r="P115" i="11" s="1"/>
  <c r="F115" i="12" s="1"/>
  <c r="O250" i="11"/>
  <c r="P250" i="11" s="1"/>
  <c r="F250" i="12" s="1"/>
  <c r="O45" i="11"/>
  <c r="H46" i="25" s="1"/>
  <c r="O76" i="11"/>
  <c r="P76" i="11" s="1"/>
  <c r="F76" i="39" s="1"/>
  <c r="O185" i="11"/>
  <c r="H186" i="25" s="1"/>
  <c r="O245" i="11"/>
  <c r="P245" i="11" s="1"/>
  <c r="F245" i="39" s="1"/>
  <c r="O207" i="11"/>
  <c r="P207" i="11" s="1"/>
  <c r="F207" i="12" s="1"/>
  <c r="O310" i="11"/>
  <c r="H311" i="25" s="1"/>
  <c r="O59" i="11"/>
  <c r="P59" i="11" s="1"/>
  <c r="F59" i="39" s="1"/>
  <c r="O154" i="11"/>
  <c r="H155" i="25" s="1"/>
  <c r="O190" i="11"/>
  <c r="P190" i="11" s="1"/>
  <c r="F190" i="12" s="1"/>
  <c r="O320" i="11"/>
  <c r="P320" i="11" s="1"/>
  <c r="F320" i="12" s="1"/>
  <c r="O167" i="11"/>
  <c r="P167" i="11" s="1"/>
  <c r="F167" i="12" s="1"/>
  <c r="O110" i="11"/>
  <c r="H111" i="25" s="1"/>
  <c r="O54" i="11"/>
  <c r="P54" i="11" s="1"/>
  <c r="F54" i="39" s="1"/>
  <c r="P198" i="11"/>
  <c r="F198" i="12" s="1"/>
  <c r="O196" i="11"/>
  <c r="P196" i="11" s="1"/>
  <c r="F196" i="39" s="1"/>
  <c r="O158" i="11"/>
  <c r="P158" i="11" s="1"/>
  <c r="F158" i="39" s="1"/>
  <c r="O127" i="11"/>
  <c r="P127" i="11" s="1"/>
  <c r="F127" i="12" s="1"/>
  <c r="O50" i="11"/>
  <c r="H51" i="25" s="1"/>
  <c r="O117" i="11"/>
  <c r="P117" i="11" s="1"/>
  <c r="F117" i="12" s="1"/>
  <c r="O73" i="11"/>
  <c r="H74" i="25" s="1"/>
  <c r="O174" i="11"/>
  <c r="P174" i="11" s="1"/>
  <c r="F174" i="39" s="1"/>
  <c r="O105" i="11"/>
  <c r="H106" i="25" s="1"/>
  <c r="O229" i="11"/>
  <c r="P229" i="11" s="1"/>
  <c r="F229" i="12" s="1"/>
  <c r="O168" i="11"/>
  <c r="H169" i="25" s="1"/>
  <c r="O149" i="11"/>
  <c r="P149" i="11" s="1"/>
  <c r="F149" i="12" s="1"/>
  <c r="O206" i="11"/>
  <c r="P206" i="11" s="1"/>
  <c r="F206" i="39" s="1"/>
  <c r="O91" i="11"/>
  <c r="P91" i="11" s="1"/>
  <c r="F91" i="12" s="1"/>
  <c r="O89" i="11"/>
  <c r="O179" i="11"/>
  <c r="O40" i="11"/>
  <c r="O214" i="11"/>
  <c r="O203" i="11"/>
  <c r="O35" i="11"/>
  <c r="O32" i="11"/>
  <c r="O247" i="11"/>
  <c r="P247" i="11" s="1"/>
  <c r="F247" i="39" s="1"/>
  <c r="O43" i="11"/>
  <c r="H44" i="25" s="1"/>
  <c r="O72" i="11"/>
  <c r="P72" i="11" s="1"/>
  <c r="F72" i="12" s="1"/>
  <c r="O249" i="11"/>
  <c r="O210" i="11"/>
  <c r="O304" i="11"/>
  <c r="O188" i="11"/>
  <c r="O253" i="11"/>
  <c r="O77" i="11"/>
  <c r="O18" i="11"/>
  <c r="O141" i="11"/>
  <c r="P141" i="11" s="1"/>
  <c r="F141" i="39" s="1"/>
  <c r="O231" i="11"/>
  <c r="H232" i="25" s="1"/>
  <c r="O180" i="11"/>
  <c r="O34" i="11"/>
  <c r="O307" i="11"/>
  <c r="H308" i="25" s="1"/>
  <c r="O132" i="11"/>
  <c r="O280" i="11"/>
  <c r="P280" i="11" s="1"/>
  <c r="F280" i="39" s="1"/>
  <c r="O299" i="11"/>
  <c r="O226" i="11"/>
  <c r="P226" i="11" s="1"/>
  <c r="F226" i="39" s="1"/>
  <c r="O109" i="11"/>
  <c r="O242" i="11"/>
  <c r="O39" i="11"/>
  <c r="O6" i="11"/>
  <c r="P6" i="11" s="1"/>
  <c r="F6" i="39" s="1"/>
  <c r="O7" i="11"/>
  <c r="H8" i="25" s="1"/>
  <c r="O291" i="11"/>
  <c r="P291" i="11" s="1"/>
  <c r="F291" i="12" s="1"/>
  <c r="O216" i="11"/>
  <c r="H217" i="25" s="1"/>
  <c r="O53" i="11"/>
  <c r="P53" i="11" s="1"/>
  <c r="F53" i="12" s="1"/>
  <c r="O276" i="11"/>
  <c r="P276" i="11" s="1"/>
  <c r="F276" i="39" s="1"/>
  <c r="O290" i="11"/>
  <c r="H291" i="25" s="1"/>
  <c r="O12" i="11"/>
  <c r="P12" i="11" s="1"/>
  <c r="F12" i="12" s="1"/>
  <c r="O166" i="11"/>
  <c r="P166" i="11" s="1"/>
  <c r="F166" i="12" s="1"/>
  <c r="O191" i="11"/>
  <c r="H192" i="25" s="1"/>
  <c r="O227" i="11"/>
  <c r="P227" i="11" s="1"/>
  <c r="F227" i="12" s="1"/>
  <c r="O42" i="11"/>
  <c r="P42" i="11" s="1"/>
  <c r="F42" i="39" s="1"/>
  <c r="O283" i="11"/>
  <c r="P283" i="11" s="1"/>
  <c r="F283" i="39" s="1"/>
  <c r="O99" i="11"/>
  <c r="P99" i="11" s="1"/>
  <c r="F99" i="39" s="1"/>
  <c r="O82" i="11"/>
  <c r="H83" i="25" s="1"/>
  <c r="O130" i="11"/>
  <c r="O44" i="11"/>
  <c r="O60" i="11"/>
  <c r="O301" i="11"/>
  <c r="O318" i="11"/>
  <c r="O31" i="11"/>
  <c r="O221" i="11"/>
  <c r="O162" i="11"/>
  <c r="O8" i="11"/>
  <c r="O255" i="11"/>
  <c r="O68" i="11"/>
  <c r="O183" i="11"/>
  <c r="O252" i="11"/>
  <c r="O104" i="11"/>
  <c r="O79" i="11"/>
  <c r="O273" i="11"/>
  <c r="O112" i="11"/>
  <c r="O15" i="11"/>
  <c r="O61" i="11"/>
  <c r="O22" i="11"/>
  <c r="O63" i="11"/>
  <c r="O267" i="11"/>
  <c r="O37" i="11"/>
  <c r="O274" i="11"/>
  <c r="O202" i="11"/>
  <c r="O236" i="11"/>
  <c r="O81" i="11"/>
  <c r="O218" i="11"/>
  <c r="O120" i="11"/>
  <c r="O189" i="11"/>
  <c r="O193" i="11"/>
  <c r="O266" i="11"/>
  <c r="O140" i="11"/>
  <c r="O235" i="11"/>
  <c r="O71" i="11"/>
  <c r="O25" i="11"/>
  <c r="O302" i="11"/>
  <c r="O85" i="11"/>
  <c r="O286" i="11"/>
  <c r="O156" i="11"/>
  <c r="O287" i="11"/>
  <c r="O248" i="11"/>
  <c r="O137" i="11"/>
  <c r="O126" i="11"/>
  <c r="O254" i="11"/>
  <c r="E31" i="48"/>
  <c r="J323" i="11"/>
  <c r="O80" i="11"/>
  <c r="O187" i="11"/>
  <c r="O121" i="11"/>
  <c r="O51" i="11"/>
  <c r="O293" i="11"/>
  <c r="O184" i="11"/>
  <c r="O275" i="11"/>
  <c r="O145" i="11"/>
  <c r="O136" i="11"/>
  <c r="O96" i="11"/>
  <c r="O298" i="11"/>
  <c r="O155" i="11"/>
  <c r="O97" i="11"/>
  <c r="O172" i="11"/>
  <c r="O74" i="11"/>
  <c r="O217" i="11"/>
  <c r="O29" i="11"/>
  <c r="O239" i="11"/>
  <c r="O175" i="11"/>
  <c r="O69" i="11"/>
  <c r="O234" i="11"/>
  <c r="O212" i="11"/>
  <c r="O230" i="11"/>
  <c r="O228" i="11"/>
  <c r="O13" i="11"/>
  <c r="O281" i="11"/>
  <c r="O150" i="11"/>
  <c r="O90" i="11"/>
  <c r="O114" i="11"/>
  <c r="O288" i="11"/>
  <c r="O169" i="11"/>
  <c r="O303" i="11"/>
  <c r="O284" i="11"/>
  <c r="O146" i="11"/>
  <c r="O67" i="11"/>
  <c r="O243" i="11"/>
  <c r="O95" i="11"/>
  <c r="O23" i="11"/>
  <c r="O123" i="11"/>
  <c r="O322" i="11"/>
  <c r="O139" i="11"/>
  <c r="O209" i="11"/>
  <c r="O256" i="11"/>
  <c r="O194" i="11"/>
  <c r="O296" i="11"/>
  <c r="O65" i="11"/>
  <c r="O94" i="11"/>
  <c r="O86" i="11"/>
  <c r="O153" i="11"/>
  <c r="O165" i="11"/>
  <c r="O200" i="11"/>
  <c r="O152" i="11"/>
  <c r="O204" i="11"/>
  <c r="O312" i="11"/>
  <c r="O314" i="11"/>
  <c r="O295" i="11"/>
  <c r="O128" i="11"/>
  <c r="O33" i="11"/>
  <c r="O289" i="11"/>
  <c r="O317" i="11"/>
  <c r="O159" i="11"/>
  <c r="O98" i="11"/>
  <c r="O282" i="11"/>
  <c r="O87" i="11"/>
  <c r="O107" i="11"/>
  <c r="O102" i="11"/>
  <c r="O66" i="11"/>
  <c r="O241" i="11"/>
  <c r="O300" i="11"/>
  <c r="O55" i="11"/>
  <c r="O122" i="11"/>
  <c r="O181" i="11"/>
  <c r="O306" i="11"/>
  <c r="O197" i="11"/>
  <c r="O264" i="11"/>
  <c r="O225" i="11"/>
  <c r="O208" i="11"/>
  <c r="O271" i="11"/>
  <c r="O38" i="11"/>
  <c r="O262" i="11"/>
  <c r="O103" i="11"/>
  <c r="O305" i="11"/>
  <c r="O58" i="11"/>
  <c r="O92" i="11"/>
  <c r="O10" i="11"/>
  <c r="O270" i="11"/>
  <c r="O101" i="11"/>
  <c r="O143" i="11"/>
  <c r="O260" i="11"/>
  <c r="O213" i="11"/>
  <c r="O277" i="11"/>
  <c r="O261" i="11"/>
  <c r="O195" i="11"/>
  <c r="O9" i="11"/>
  <c r="O28" i="11"/>
  <c r="O223" i="11"/>
  <c r="O233" i="11"/>
  <c r="O20" i="11"/>
  <c r="O84" i="11"/>
  <c r="O144" i="11"/>
  <c r="O178" i="11"/>
  <c r="O147" i="11"/>
  <c r="O133" i="11"/>
  <c r="O272" i="11"/>
  <c r="O142" i="11"/>
  <c r="O251" i="11"/>
  <c r="O57" i="11"/>
  <c r="O205" i="11"/>
  <c r="O315" i="11"/>
  <c r="O19" i="11"/>
  <c r="O170" i="11"/>
  <c r="O118" i="11"/>
  <c r="O83" i="11"/>
  <c r="O313" i="11"/>
  <c r="O199" i="11"/>
  <c r="O257" i="11"/>
  <c r="O246" i="11"/>
  <c r="O182" i="11"/>
  <c r="O135" i="11"/>
  <c r="O268" i="11"/>
  <c r="O119" i="11"/>
  <c r="O49" i="11"/>
  <c r="O219" i="11"/>
  <c r="O46" i="11"/>
  <c r="O308" i="11"/>
  <c r="O11" i="11"/>
  <c r="O93" i="11"/>
  <c r="O148" i="11"/>
  <c r="O5" i="11"/>
  <c r="E32" i="48"/>
  <c r="N323" i="11"/>
  <c r="O113" i="11"/>
  <c r="O151" i="11"/>
  <c r="O297" i="11"/>
  <c r="O88" i="11"/>
  <c r="O24" i="11"/>
  <c r="O161" i="11"/>
  <c r="O259" i="11"/>
  <c r="O263" i="11"/>
  <c r="O278" i="11"/>
  <c r="O224" i="11"/>
  <c r="O192" i="11"/>
  <c r="O279" i="11"/>
  <c r="O164" i="11"/>
  <c r="O240" i="11"/>
  <c r="O173" i="11"/>
  <c r="O311" i="11"/>
  <c r="O17" i="11"/>
  <c r="O125" i="11"/>
  <c r="O41" i="11"/>
  <c r="O111" i="11"/>
  <c r="O16" i="11"/>
  <c r="O294" i="11"/>
  <c r="O14" i="11"/>
  <c r="O100" i="11"/>
  <c r="O285" i="11"/>
  <c r="O131" i="11"/>
  <c r="O52" i="11"/>
  <c r="O157" i="11"/>
  <c r="O237" i="11"/>
  <c r="O62" i="11"/>
  <c r="O319" i="11"/>
  <c r="O27" i="11"/>
  <c r="O244" i="11"/>
  <c r="O215" i="11"/>
  <c r="O222" i="11"/>
  <c r="O56" i="11"/>
  <c r="O177" i="11"/>
  <c r="O171" i="11"/>
  <c r="O30" i="11"/>
  <c r="O232" i="11"/>
  <c r="O26" i="11"/>
  <c r="O134" i="11"/>
  <c r="F190" i="39" l="1"/>
  <c r="F78" i="39"/>
  <c r="F54" i="12"/>
  <c r="F48" i="39"/>
  <c r="F309" i="39"/>
  <c r="F36" i="39"/>
  <c r="F75" i="39"/>
  <c r="H79" i="25"/>
  <c r="H76" i="25"/>
  <c r="P21" i="11"/>
  <c r="F21" i="39" s="1"/>
  <c r="H310" i="25"/>
  <c r="F207" i="39"/>
  <c r="P129" i="11"/>
  <c r="F129" i="12" s="1"/>
  <c r="H49" i="25"/>
  <c r="P45" i="11"/>
  <c r="F45" i="12" s="1"/>
  <c r="P258" i="11"/>
  <c r="F258" i="39" s="1"/>
  <c r="F149" i="39"/>
  <c r="H55" i="25"/>
  <c r="F226" i="12"/>
  <c r="F283" i="12"/>
  <c r="F320" i="39"/>
  <c r="P307" i="11"/>
  <c r="F307" i="12" s="1"/>
  <c r="F174" i="12"/>
  <c r="F6" i="12"/>
  <c r="F166" i="39"/>
  <c r="F72" i="39"/>
  <c r="H321" i="25"/>
  <c r="H284" i="25"/>
  <c r="F160" i="39"/>
  <c r="F76" i="12"/>
  <c r="H248" i="25"/>
  <c r="H77" i="25"/>
  <c r="H202" i="25"/>
  <c r="F124" i="12"/>
  <c r="F47" i="39"/>
  <c r="F316" i="39"/>
  <c r="H125" i="25"/>
  <c r="H37" i="25"/>
  <c r="H208" i="25"/>
  <c r="H246" i="25"/>
  <c r="F127" i="39"/>
  <c r="F245" i="12"/>
  <c r="F250" i="39"/>
  <c r="F265" i="39"/>
  <c r="H48" i="25"/>
  <c r="P116" i="11"/>
  <c r="F116" i="39" s="1"/>
  <c r="P269" i="11"/>
  <c r="F269" i="39" s="1"/>
  <c r="H251" i="25"/>
  <c r="P176" i="11"/>
  <c r="F176" i="39" s="1"/>
  <c r="P163" i="11"/>
  <c r="P106" i="11"/>
  <c r="F106" i="12" s="1"/>
  <c r="P110" i="11"/>
  <c r="F110" i="39" s="1"/>
  <c r="P154" i="11"/>
  <c r="F154" i="39" s="1"/>
  <c r="H116" i="25"/>
  <c r="P64" i="11"/>
  <c r="F64" i="39" s="1"/>
  <c r="F53" i="39"/>
  <c r="F167" i="39"/>
  <c r="F115" i="39"/>
  <c r="H73" i="25"/>
  <c r="H128" i="25"/>
  <c r="H168" i="25"/>
  <c r="F186" i="12"/>
  <c r="F201" i="39"/>
  <c r="F59" i="12"/>
  <c r="F70" i="39"/>
  <c r="F141" i="12"/>
  <c r="F292" i="39"/>
  <c r="F220" i="12"/>
  <c r="P108" i="11"/>
  <c r="F108" i="39" s="1"/>
  <c r="H161" i="25"/>
  <c r="P238" i="11"/>
  <c r="F238" i="39" s="1"/>
  <c r="H7" i="25"/>
  <c r="H191" i="25"/>
  <c r="H293" i="25"/>
  <c r="P310" i="11"/>
  <c r="F310" i="39" s="1"/>
  <c r="H139" i="25"/>
  <c r="P138" i="11"/>
  <c r="H167" i="25"/>
  <c r="H175" i="25"/>
  <c r="H60" i="25"/>
  <c r="H187" i="25"/>
  <c r="H54" i="25"/>
  <c r="P321" i="11"/>
  <c r="F321" i="39" s="1"/>
  <c r="H317" i="25"/>
  <c r="H71" i="25"/>
  <c r="P168" i="11"/>
  <c r="F168" i="12" s="1"/>
  <c r="H221" i="25"/>
  <c r="H266" i="25"/>
  <c r="P185" i="11"/>
  <c r="F185" i="12" s="1"/>
  <c r="P211" i="11"/>
  <c r="F211" i="39" s="1"/>
  <c r="F206" i="12"/>
  <c r="F99" i="12"/>
  <c r="F276" i="12"/>
  <c r="H207" i="25"/>
  <c r="P231" i="11"/>
  <c r="F231" i="39" s="1"/>
  <c r="P50" i="11"/>
  <c r="F50" i="12" s="1"/>
  <c r="H142" i="25"/>
  <c r="H150" i="25"/>
  <c r="H227" i="25"/>
  <c r="P73" i="11"/>
  <c r="F73" i="39" s="1"/>
  <c r="H13" i="25"/>
  <c r="H159" i="25"/>
  <c r="F227" i="39"/>
  <c r="F196" i="12"/>
  <c r="F198" i="39"/>
  <c r="F12" i="39"/>
  <c r="F42" i="12"/>
  <c r="F158" i="12"/>
  <c r="P43" i="11"/>
  <c r="F43" i="12" s="1"/>
  <c r="H43" i="25"/>
  <c r="P216" i="11"/>
  <c r="H78" i="25"/>
  <c r="P77" i="11"/>
  <c r="P210" i="11"/>
  <c r="H211" i="25"/>
  <c r="H215" i="25"/>
  <c r="P214" i="11"/>
  <c r="F291" i="39"/>
  <c r="F117" i="39"/>
  <c r="F229" i="39"/>
  <c r="P60" i="11"/>
  <c r="H61" i="25"/>
  <c r="F91" i="39"/>
  <c r="F247" i="12"/>
  <c r="F280" i="12"/>
  <c r="H100" i="25"/>
  <c r="P191" i="11"/>
  <c r="H277" i="25"/>
  <c r="P7" i="11"/>
  <c r="F7" i="39" s="1"/>
  <c r="P105" i="11"/>
  <c r="H281" i="25"/>
  <c r="H197" i="25"/>
  <c r="H131" i="25"/>
  <c r="P130" i="11"/>
  <c r="P39" i="11"/>
  <c r="H40" i="25"/>
  <c r="P299" i="11"/>
  <c r="H300" i="25"/>
  <c r="P34" i="11"/>
  <c r="H35" i="25"/>
  <c r="H19" i="25"/>
  <c r="P18" i="11"/>
  <c r="P304" i="11"/>
  <c r="H305" i="25"/>
  <c r="H204" i="25"/>
  <c r="P203" i="11"/>
  <c r="H90" i="25"/>
  <c r="P89" i="11"/>
  <c r="P242" i="11"/>
  <c r="H243" i="25"/>
  <c r="H181" i="25"/>
  <c r="P180" i="11"/>
  <c r="P109" i="11"/>
  <c r="H110" i="25"/>
  <c r="H133" i="25"/>
  <c r="P132" i="11"/>
  <c r="P253" i="11"/>
  <c r="H254" i="25"/>
  <c r="H250" i="25"/>
  <c r="P249" i="11"/>
  <c r="P32" i="11"/>
  <c r="H33" i="25"/>
  <c r="H41" i="25"/>
  <c r="P40" i="11"/>
  <c r="P82" i="11"/>
  <c r="F82" i="12" s="1"/>
  <c r="H228" i="25"/>
  <c r="P290" i="11"/>
  <c r="H292" i="25"/>
  <c r="H118" i="25"/>
  <c r="H92" i="25"/>
  <c r="H230" i="25"/>
  <c r="P44" i="11"/>
  <c r="H45" i="25"/>
  <c r="H189" i="25"/>
  <c r="P188" i="11"/>
  <c r="H36" i="25"/>
  <c r="P35" i="11"/>
  <c r="P179" i="11"/>
  <c r="H180" i="25"/>
  <c r="P171" i="11"/>
  <c r="H172" i="25"/>
  <c r="H63" i="25"/>
  <c r="P62" i="11"/>
  <c r="P125" i="11"/>
  <c r="H126" i="25"/>
  <c r="P161" i="11"/>
  <c r="H162" i="25"/>
  <c r="P5" i="11"/>
  <c r="O323" i="11"/>
  <c r="H6" i="25"/>
  <c r="H309" i="25"/>
  <c r="P308" i="11"/>
  <c r="H247" i="25"/>
  <c r="P246" i="11"/>
  <c r="H316" i="25"/>
  <c r="P315" i="11"/>
  <c r="H179" i="25"/>
  <c r="P178" i="11"/>
  <c r="H196" i="25"/>
  <c r="P195" i="11"/>
  <c r="H11" i="25"/>
  <c r="P10" i="11"/>
  <c r="H209" i="25"/>
  <c r="P208" i="11"/>
  <c r="H301" i="25"/>
  <c r="P300" i="11"/>
  <c r="H160" i="25"/>
  <c r="P159" i="11"/>
  <c r="H205" i="25"/>
  <c r="P204" i="11"/>
  <c r="H297" i="25"/>
  <c r="P296" i="11"/>
  <c r="H96" i="25"/>
  <c r="P95" i="11"/>
  <c r="H14" i="25"/>
  <c r="P13" i="11"/>
  <c r="H30" i="25"/>
  <c r="P29" i="11"/>
  <c r="H185" i="25"/>
  <c r="P184" i="11"/>
  <c r="H287" i="25"/>
  <c r="P286" i="11"/>
  <c r="H194" i="25"/>
  <c r="P193" i="11"/>
  <c r="P37" i="11"/>
  <c r="H38" i="25"/>
  <c r="H178" i="25"/>
  <c r="P177" i="11"/>
  <c r="H245" i="25"/>
  <c r="P244" i="11"/>
  <c r="P285" i="11"/>
  <c r="H286" i="25"/>
  <c r="H18" i="25"/>
  <c r="P17" i="11"/>
  <c r="P278" i="11"/>
  <c r="H279" i="25"/>
  <c r="H114" i="25"/>
  <c r="P113" i="11"/>
  <c r="P46" i="11"/>
  <c r="H47" i="25"/>
  <c r="P257" i="11"/>
  <c r="H258" i="25"/>
  <c r="H119" i="25"/>
  <c r="P118" i="11"/>
  <c r="P272" i="11"/>
  <c r="H273" i="25"/>
  <c r="P223" i="11"/>
  <c r="H224" i="25"/>
  <c r="H144" i="25"/>
  <c r="P143" i="11"/>
  <c r="P225" i="11"/>
  <c r="H226" i="25"/>
  <c r="H242" i="25"/>
  <c r="P241" i="11"/>
  <c r="H318" i="25"/>
  <c r="P317" i="11"/>
  <c r="P295" i="11"/>
  <c r="H296" i="25"/>
  <c r="P86" i="11"/>
  <c r="H87" i="25"/>
  <c r="P322" i="11"/>
  <c r="H323" i="25"/>
  <c r="H91" i="25"/>
  <c r="P90" i="11"/>
  <c r="P69" i="11"/>
  <c r="H70" i="25"/>
  <c r="P155" i="11"/>
  <c r="H156" i="25"/>
  <c r="P298" i="11"/>
  <c r="H299" i="25"/>
  <c r="H294" i="25"/>
  <c r="P293" i="11"/>
  <c r="P248" i="11"/>
  <c r="H249" i="25"/>
  <c r="P85" i="11"/>
  <c r="H86" i="25"/>
  <c r="P189" i="11"/>
  <c r="H190" i="25"/>
  <c r="P236" i="11"/>
  <c r="H237" i="25"/>
  <c r="P267" i="11"/>
  <c r="H268" i="25"/>
  <c r="P15" i="11"/>
  <c r="H16" i="25"/>
  <c r="P104" i="11"/>
  <c r="H105" i="25"/>
  <c r="H256" i="25"/>
  <c r="P255" i="11"/>
  <c r="H233" i="25"/>
  <c r="P232" i="11"/>
  <c r="H57" i="25"/>
  <c r="P56" i="11"/>
  <c r="H28" i="25"/>
  <c r="P27" i="11"/>
  <c r="H158" i="25"/>
  <c r="P157" i="11"/>
  <c r="H101" i="25"/>
  <c r="P100" i="11"/>
  <c r="H112" i="25"/>
  <c r="P111" i="11"/>
  <c r="P311" i="11"/>
  <c r="H312" i="25"/>
  <c r="H280" i="25"/>
  <c r="P279" i="11"/>
  <c r="P263" i="11"/>
  <c r="H264" i="25"/>
  <c r="H89" i="25"/>
  <c r="P88" i="11"/>
  <c r="H94" i="25"/>
  <c r="P93" i="11"/>
  <c r="P219" i="11"/>
  <c r="H220" i="25"/>
  <c r="P135" i="11"/>
  <c r="H136" i="25"/>
  <c r="H200" i="25"/>
  <c r="P199" i="11"/>
  <c r="H171" i="25"/>
  <c r="P170" i="11"/>
  <c r="H58" i="25"/>
  <c r="P57" i="11"/>
  <c r="P133" i="11"/>
  <c r="H134" i="25"/>
  <c r="P84" i="11"/>
  <c r="H85" i="25"/>
  <c r="P28" i="11"/>
  <c r="H29" i="25"/>
  <c r="P277" i="11"/>
  <c r="H278" i="25"/>
  <c r="P101" i="11"/>
  <c r="H102" i="25"/>
  <c r="P58" i="11"/>
  <c r="H59" i="25"/>
  <c r="P38" i="11"/>
  <c r="H39" i="25"/>
  <c r="H265" i="25"/>
  <c r="P264" i="11"/>
  <c r="H123" i="25"/>
  <c r="P122" i="11"/>
  <c r="P66" i="11"/>
  <c r="H67" i="25"/>
  <c r="H283" i="25"/>
  <c r="P282" i="11"/>
  <c r="P289" i="11"/>
  <c r="H290" i="25"/>
  <c r="P314" i="11"/>
  <c r="H315" i="25"/>
  <c r="P200" i="11"/>
  <c r="H201" i="25"/>
  <c r="H95" i="25"/>
  <c r="P94" i="11"/>
  <c r="P256" i="11"/>
  <c r="H257" i="25"/>
  <c r="P123" i="11"/>
  <c r="H124" i="25"/>
  <c r="P67" i="11"/>
  <c r="H68" i="25"/>
  <c r="P169" i="11"/>
  <c r="H170" i="25"/>
  <c r="P150" i="11"/>
  <c r="H151" i="25"/>
  <c r="H231" i="25"/>
  <c r="P230" i="11"/>
  <c r="H176" i="25"/>
  <c r="P175" i="11"/>
  <c r="P74" i="11"/>
  <c r="H75" i="25"/>
  <c r="P145" i="11"/>
  <c r="H146" i="25"/>
  <c r="P51" i="11"/>
  <c r="H52" i="25"/>
  <c r="P254" i="11"/>
  <c r="H255" i="25"/>
  <c r="H288" i="25"/>
  <c r="P287" i="11"/>
  <c r="H303" i="25"/>
  <c r="P302" i="11"/>
  <c r="H141" i="25"/>
  <c r="P140" i="11"/>
  <c r="P120" i="11"/>
  <c r="H121" i="25"/>
  <c r="P202" i="11"/>
  <c r="H203" i="25"/>
  <c r="H64" i="25"/>
  <c r="P63" i="11"/>
  <c r="H113" i="25"/>
  <c r="P112" i="11"/>
  <c r="H253" i="25"/>
  <c r="P252" i="11"/>
  <c r="H9" i="25"/>
  <c r="P8" i="11"/>
  <c r="P318" i="11"/>
  <c r="H319" i="25"/>
  <c r="P134" i="11"/>
  <c r="H135" i="25"/>
  <c r="H216" i="25"/>
  <c r="P215" i="11"/>
  <c r="H132" i="25"/>
  <c r="P131" i="11"/>
  <c r="P294" i="11"/>
  <c r="H295" i="25"/>
  <c r="H241" i="25"/>
  <c r="P240" i="11"/>
  <c r="P224" i="11"/>
  <c r="H225" i="25"/>
  <c r="P151" i="11"/>
  <c r="H152" i="25"/>
  <c r="H120" i="25"/>
  <c r="P119" i="11"/>
  <c r="P83" i="11"/>
  <c r="H84" i="25"/>
  <c r="P142" i="11"/>
  <c r="H143" i="25"/>
  <c r="P233" i="11"/>
  <c r="H234" i="25"/>
  <c r="H261" i="25"/>
  <c r="P260" i="11"/>
  <c r="P103" i="11"/>
  <c r="H104" i="25"/>
  <c r="P306" i="11"/>
  <c r="H307" i="25"/>
  <c r="P107" i="11"/>
  <c r="H108" i="25"/>
  <c r="H129" i="25"/>
  <c r="P128" i="11"/>
  <c r="H154" i="25"/>
  <c r="P153" i="11"/>
  <c r="H140" i="25"/>
  <c r="P139" i="11"/>
  <c r="H285" i="25"/>
  <c r="P284" i="11"/>
  <c r="P114" i="11"/>
  <c r="H115" i="25"/>
  <c r="P234" i="11"/>
  <c r="H235" i="25"/>
  <c r="P97" i="11"/>
  <c r="H98" i="25"/>
  <c r="H97" i="25"/>
  <c r="P96" i="11"/>
  <c r="H188" i="25"/>
  <c r="P187" i="11"/>
  <c r="P137" i="11"/>
  <c r="H138" i="25"/>
  <c r="P71" i="11"/>
  <c r="H72" i="25"/>
  <c r="P81" i="11"/>
  <c r="H82" i="25"/>
  <c r="P61" i="11"/>
  <c r="H62" i="25"/>
  <c r="P79" i="11"/>
  <c r="H80" i="25"/>
  <c r="H69" i="25"/>
  <c r="P68" i="11"/>
  <c r="P221" i="11"/>
  <c r="H222" i="25"/>
  <c r="P26" i="11"/>
  <c r="H27" i="25"/>
  <c r="P237" i="11"/>
  <c r="H238" i="25"/>
  <c r="P16" i="11"/>
  <c r="H17" i="25"/>
  <c r="H165" i="25"/>
  <c r="P164" i="11"/>
  <c r="H25" i="25"/>
  <c r="P24" i="11"/>
  <c r="H149" i="25"/>
  <c r="P148" i="11"/>
  <c r="P268" i="11"/>
  <c r="H269" i="25"/>
  <c r="H206" i="25"/>
  <c r="P205" i="11"/>
  <c r="H145" i="25"/>
  <c r="P144" i="11"/>
  <c r="P261" i="11"/>
  <c r="H262" i="25"/>
  <c r="P92" i="11"/>
  <c r="H93" i="25"/>
  <c r="P262" i="11"/>
  <c r="H263" i="25"/>
  <c r="H182" i="25"/>
  <c r="P181" i="11"/>
  <c r="P87" i="11"/>
  <c r="H88" i="25"/>
  <c r="H153" i="25"/>
  <c r="P152" i="11"/>
  <c r="H195" i="25"/>
  <c r="P194" i="11"/>
  <c r="P243" i="11"/>
  <c r="H244" i="25"/>
  <c r="H304" i="25"/>
  <c r="P303" i="11"/>
  <c r="P228" i="11"/>
  <c r="H229" i="25"/>
  <c r="P217" i="11"/>
  <c r="H218" i="25"/>
  <c r="P136" i="11"/>
  <c r="H137" i="25"/>
  <c r="P80" i="11"/>
  <c r="H81" i="25"/>
  <c r="H236" i="25"/>
  <c r="P235" i="11"/>
  <c r="P31" i="11"/>
  <c r="H32" i="25"/>
  <c r="P30" i="11"/>
  <c r="H31" i="25"/>
  <c r="P222" i="11"/>
  <c r="H223" i="25"/>
  <c r="H320" i="25"/>
  <c r="P319" i="11"/>
  <c r="H53" i="25"/>
  <c r="P52" i="11"/>
  <c r="P14" i="11"/>
  <c r="H15" i="25"/>
  <c r="H42" i="25"/>
  <c r="P41" i="11"/>
  <c r="H174" i="25"/>
  <c r="P173" i="11"/>
  <c r="P192" i="11"/>
  <c r="H193" i="25"/>
  <c r="P259" i="11"/>
  <c r="H260" i="25"/>
  <c r="H298" i="25"/>
  <c r="P297" i="11"/>
  <c r="P11" i="11"/>
  <c r="H12" i="25"/>
  <c r="P49" i="11"/>
  <c r="H50" i="25"/>
  <c r="H183" i="25"/>
  <c r="P182" i="11"/>
  <c r="P313" i="11"/>
  <c r="H314" i="25"/>
  <c r="P19" i="11"/>
  <c r="H20" i="25"/>
  <c r="H252" i="25"/>
  <c r="P251" i="11"/>
  <c r="P147" i="11"/>
  <c r="H148" i="25"/>
  <c r="P20" i="11"/>
  <c r="H21" i="25"/>
  <c r="H10" i="25"/>
  <c r="P9" i="11"/>
  <c r="P213" i="11"/>
  <c r="H214" i="25"/>
  <c r="P270" i="11"/>
  <c r="H271" i="25"/>
  <c r="P305" i="11"/>
  <c r="H306" i="25"/>
  <c r="P271" i="11"/>
  <c r="H272" i="25"/>
  <c r="P197" i="11"/>
  <c r="H198" i="25"/>
  <c r="P55" i="11"/>
  <c r="H56" i="25"/>
  <c r="P102" i="11"/>
  <c r="H103" i="25"/>
  <c r="P98" i="11"/>
  <c r="H99" i="25"/>
  <c r="H34" i="25"/>
  <c r="P33" i="11"/>
  <c r="H313" i="25"/>
  <c r="P312" i="11"/>
  <c r="P165" i="11"/>
  <c r="H166" i="25"/>
  <c r="H66" i="25"/>
  <c r="P65" i="11"/>
  <c r="P209" i="11"/>
  <c r="H210" i="25"/>
  <c r="P23" i="11"/>
  <c r="H24" i="25"/>
  <c r="H147" i="25"/>
  <c r="P146" i="11"/>
  <c r="P288" i="11"/>
  <c r="H289" i="25"/>
  <c r="H282" i="25"/>
  <c r="P281" i="11"/>
  <c r="H213" i="25"/>
  <c r="P212" i="11"/>
  <c r="P239" i="11"/>
  <c r="H240" i="25"/>
  <c r="P172" i="11"/>
  <c r="H173" i="25"/>
  <c r="P275" i="11"/>
  <c r="H276" i="25"/>
  <c r="H122" i="25"/>
  <c r="P121" i="11"/>
  <c r="H127" i="25"/>
  <c r="P126" i="11"/>
  <c r="H157" i="25"/>
  <c r="P156" i="11"/>
  <c r="H26" i="25"/>
  <c r="P25" i="11"/>
  <c r="P266" i="11"/>
  <c r="H267" i="25"/>
  <c r="H219" i="25"/>
  <c r="P218" i="11"/>
  <c r="H275" i="25"/>
  <c r="P274" i="11"/>
  <c r="H23" i="25"/>
  <c r="P22" i="11"/>
  <c r="P273" i="11"/>
  <c r="H274" i="25"/>
  <c r="P183" i="11"/>
  <c r="H184" i="25"/>
  <c r="P162" i="11"/>
  <c r="H163" i="25"/>
  <c r="P301" i="11"/>
  <c r="H302" i="25"/>
  <c r="F21" i="12" l="1"/>
  <c r="F45" i="39"/>
  <c r="F64" i="12"/>
  <c r="F129" i="39"/>
  <c r="F258" i="12"/>
  <c r="F106" i="39"/>
  <c r="F307" i="39"/>
  <c r="F269" i="12"/>
  <c r="F116" i="12"/>
  <c r="F43" i="39"/>
  <c r="F176" i="12"/>
  <c r="F154" i="12"/>
  <c r="F163" i="39"/>
  <c r="F163" i="12"/>
  <c r="F108" i="12"/>
  <c r="F321" i="12"/>
  <c r="F110" i="12"/>
  <c r="F50" i="39"/>
  <c r="F185" i="39"/>
  <c r="F211" i="12"/>
  <c r="F238" i="12"/>
  <c r="F168" i="39"/>
  <c r="F310" i="12"/>
  <c r="F138" i="12"/>
  <c r="F138" i="39"/>
  <c r="F231" i="12"/>
  <c r="F73" i="12"/>
  <c r="F7" i="12"/>
  <c r="F216" i="39"/>
  <c r="F216" i="12"/>
  <c r="F179" i="12"/>
  <c r="F179" i="39"/>
  <c r="F203" i="12"/>
  <c r="F203" i="39"/>
  <c r="F18" i="39"/>
  <c r="F18" i="12"/>
  <c r="F130" i="39"/>
  <c r="F130" i="12"/>
  <c r="F105" i="39"/>
  <c r="F105" i="12"/>
  <c r="F35" i="12"/>
  <c r="F35" i="39"/>
  <c r="F32" i="39"/>
  <c r="F32" i="12"/>
  <c r="F253" i="39"/>
  <c r="F253" i="12"/>
  <c r="F109" i="39"/>
  <c r="F109" i="12"/>
  <c r="F242" i="12"/>
  <c r="F242" i="39"/>
  <c r="F299" i="39"/>
  <c r="F299" i="12"/>
  <c r="F210" i="39"/>
  <c r="F210" i="12"/>
  <c r="F82" i="39"/>
  <c r="F44" i="12"/>
  <c r="F44" i="39"/>
  <c r="F40" i="12"/>
  <c r="F40" i="39"/>
  <c r="F249" i="12"/>
  <c r="F249" i="39"/>
  <c r="F132" i="12"/>
  <c r="F132" i="39"/>
  <c r="F180" i="12"/>
  <c r="F180" i="39"/>
  <c r="F89" i="39"/>
  <c r="F89" i="12"/>
  <c r="F214" i="12"/>
  <c r="F214" i="39"/>
  <c r="F77" i="12"/>
  <c r="F77" i="39"/>
  <c r="F188" i="39"/>
  <c r="F188" i="12"/>
  <c r="F290" i="39"/>
  <c r="F290" i="12"/>
  <c r="F304" i="12"/>
  <c r="F304" i="39"/>
  <c r="F34" i="12"/>
  <c r="F34" i="39"/>
  <c r="F39" i="39"/>
  <c r="F39" i="12"/>
  <c r="F191" i="12"/>
  <c r="F191" i="39"/>
  <c r="F60" i="39"/>
  <c r="F60" i="12"/>
  <c r="F156" i="12"/>
  <c r="F156" i="39"/>
  <c r="F275" i="39"/>
  <c r="F275" i="12"/>
  <c r="F209" i="39"/>
  <c r="F209" i="12"/>
  <c r="F197" i="12"/>
  <c r="F197" i="39"/>
  <c r="F213" i="39"/>
  <c r="F213" i="12"/>
  <c r="F49" i="39"/>
  <c r="F49" i="12"/>
  <c r="F222" i="39"/>
  <c r="F222" i="12"/>
  <c r="F80" i="39"/>
  <c r="F80" i="12"/>
  <c r="F87" i="39"/>
  <c r="F87" i="12"/>
  <c r="F262" i="39"/>
  <c r="F262" i="12"/>
  <c r="F221" i="39"/>
  <c r="F221" i="12"/>
  <c r="F81" i="12"/>
  <c r="F81" i="39"/>
  <c r="F107" i="39"/>
  <c r="F107" i="12"/>
  <c r="F233" i="39"/>
  <c r="F233" i="12"/>
  <c r="F151" i="12"/>
  <c r="F151" i="39"/>
  <c r="F134" i="12"/>
  <c r="F134" i="39"/>
  <c r="F202" i="12"/>
  <c r="F202" i="39"/>
  <c r="F74" i="39"/>
  <c r="F74" i="12"/>
  <c r="F123" i="12"/>
  <c r="F123" i="39"/>
  <c r="F314" i="12"/>
  <c r="F314" i="39"/>
  <c r="F38" i="12"/>
  <c r="F38" i="39"/>
  <c r="F28" i="39"/>
  <c r="F28" i="12"/>
  <c r="F311" i="12"/>
  <c r="F311" i="39"/>
  <c r="F236" i="12"/>
  <c r="F236" i="39"/>
  <c r="F155" i="39"/>
  <c r="F155" i="12"/>
  <c r="F86" i="39"/>
  <c r="F86" i="12"/>
  <c r="F223" i="39"/>
  <c r="F223" i="12"/>
  <c r="F46" i="12"/>
  <c r="F46" i="39"/>
  <c r="F285" i="12"/>
  <c r="F285" i="39"/>
  <c r="F62" i="39"/>
  <c r="F62" i="12"/>
  <c r="F162" i="39"/>
  <c r="F162" i="12"/>
  <c r="F273" i="12"/>
  <c r="F273" i="39"/>
  <c r="F266" i="12"/>
  <c r="F266" i="39"/>
  <c r="F121" i="12"/>
  <c r="F121" i="39"/>
  <c r="F212" i="39"/>
  <c r="F212" i="12"/>
  <c r="F312" i="12"/>
  <c r="F312" i="39"/>
  <c r="F182" i="12"/>
  <c r="F182" i="39"/>
  <c r="F319" i="12"/>
  <c r="F319" i="39"/>
  <c r="F235" i="12"/>
  <c r="F235" i="39"/>
  <c r="F152" i="12"/>
  <c r="F152" i="39"/>
  <c r="F24" i="12"/>
  <c r="F24" i="39"/>
  <c r="F187" i="12"/>
  <c r="F187" i="39"/>
  <c r="F128" i="39"/>
  <c r="F128" i="12"/>
  <c r="F215" i="39"/>
  <c r="F215" i="12"/>
  <c r="F252" i="12"/>
  <c r="F252" i="39"/>
  <c r="F264" i="39"/>
  <c r="F264" i="12"/>
  <c r="F57" i="39"/>
  <c r="F57" i="12"/>
  <c r="F88" i="12"/>
  <c r="F88" i="39"/>
  <c r="F111" i="12"/>
  <c r="F111" i="39"/>
  <c r="F56" i="12"/>
  <c r="F56" i="39"/>
  <c r="F143" i="39"/>
  <c r="F143" i="12"/>
  <c r="F113" i="12"/>
  <c r="F113" i="39"/>
  <c r="F17" i="39"/>
  <c r="F17" i="12"/>
  <c r="F244" i="39"/>
  <c r="F244" i="12"/>
  <c r="F286" i="12"/>
  <c r="F286" i="39"/>
  <c r="F29" i="39"/>
  <c r="F29" i="12"/>
  <c r="F95" i="12"/>
  <c r="F95" i="39"/>
  <c r="F204" i="12"/>
  <c r="F204" i="39"/>
  <c r="F300" i="39"/>
  <c r="F300" i="12"/>
  <c r="F10" i="12"/>
  <c r="F10" i="39"/>
  <c r="F178" i="39"/>
  <c r="F178" i="12"/>
  <c r="F246" i="39"/>
  <c r="F246" i="12"/>
  <c r="F161" i="12"/>
  <c r="F161" i="39"/>
  <c r="F22" i="39"/>
  <c r="F22" i="12"/>
  <c r="F218" i="39"/>
  <c r="F218" i="12"/>
  <c r="F25" i="39"/>
  <c r="F25" i="12"/>
  <c r="F126" i="12"/>
  <c r="F126" i="39"/>
  <c r="F172" i="12"/>
  <c r="F172" i="39"/>
  <c r="F288" i="12"/>
  <c r="F288" i="39"/>
  <c r="F23" i="39"/>
  <c r="F23" i="12"/>
  <c r="F98" i="12"/>
  <c r="F98" i="39"/>
  <c r="F55" i="12"/>
  <c r="F55" i="39"/>
  <c r="F271" i="12"/>
  <c r="F271" i="39"/>
  <c r="F270" i="12"/>
  <c r="F270" i="39"/>
  <c r="F147" i="12"/>
  <c r="F147" i="39"/>
  <c r="F19" i="12"/>
  <c r="F19" i="39"/>
  <c r="F11" i="39"/>
  <c r="F11" i="12"/>
  <c r="F259" i="39"/>
  <c r="F259" i="12"/>
  <c r="F14" i="12"/>
  <c r="F14" i="39"/>
  <c r="F30" i="39"/>
  <c r="F30" i="12"/>
  <c r="F136" i="12"/>
  <c r="F136" i="39"/>
  <c r="F228" i="12"/>
  <c r="F228" i="39"/>
  <c r="F243" i="12"/>
  <c r="F243" i="39"/>
  <c r="F92" i="39"/>
  <c r="F92" i="12"/>
  <c r="F268" i="39"/>
  <c r="F268" i="12"/>
  <c r="F16" i="39"/>
  <c r="F16" i="12"/>
  <c r="F26" i="39"/>
  <c r="F26" i="12"/>
  <c r="F61" i="39"/>
  <c r="F61" i="12"/>
  <c r="F71" i="12"/>
  <c r="F71" i="39"/>
  <c r="F97" i="39"/>
  <c r="F97" i="12"/>
  <c r="F114" i="39"/>
  <c r="F114" i="12"/>
  <c r="F306" i="39"/>
  <c r="F306" i="12"/>
  <c r="F142" i="39"/>
  <c r="F142" i="12"/>
  <c r="F224" i="12"/>
  <c r="F224" i="39"/>
  <c r="F294" i="39"/>
  <c r="F294" i="12"/>
  <c r="F318" i="39"/>
  <c r="F318" i="12"/>
  <c r="F120" i="39"/>
  <c r="F120" i="12"/>
  <c r="F254" i="12"/>
  <c r="F254" i="39"/>
  <c r="F145" i="12"/>
  <c r="F145" i="39"/>
  <c r="F150" i="12"/>
  <c r="F150" i="39"/>
  <c r="F67" i="12"/>
  <c r="F67" i="39"/>
  <c r="F256" i="39"/>
  <c r="F256" i="12"/>
  <c r="F200" i="12"/>
  <c r="F200" i="39"/>
  <c r="F289" i="12"/>
  <c r="F289" i="39"/>
  <c r="F66" i="12"/>
  <c r="F66" i="39"/>
  <c r="F58" i="12"/>
  <c r="F58" i="39"/>
  <c r="F277" i="12"/>
  <c r="F277" i="39"/>
  <c r="F84" i="39"/>
  <c r="F84" i="12"/>
  <c r="F219" i="12"/>
  <c r="F219" i="39"/>
  <c r="F104" i="12"/>
  <c r="F104" i="39"/>
  <c r="F267" i="12"/>
  <c r="F267" i="39"/>
  <c r="F189" i="12"/>
  <c r="F189" i="39"/>
  <c r="F248" i="12"/>
  <c r="F248" i="39"/>
  <c r="F298" i="39"/>
  <c r="F298" i="12"/>
  <c r="F69" i="12"/>
  <c r="F69" i="39"/>
  <c r="F322" i="12"/>
  <c r="F322" i="39"/>
  <c r="F295" i="39"/>
  <c r="F295" i="12"/>
  <c r="F272" i="39"/>
  <c r="F272" i="12"/>
  <c r="F257" i="12"/>
  <c r="F257" i="39"/>
  <c r="F37" i="12"/>
  <c r="F37" i="39"/>
  <c r="P323" i="11"/>
  <c r="C7" i="34"/>
  <c r="H324" i="25"/>
  <c r="F274" i="12"/>
  <c r="F274" i="39"/>
  <c r="F239" i="39"/>
  <c r="F239" i="12"/>
  <c r="F165" i="12"/>
  <c r="F165" i="39"/>
  <c r="F102" i="39"/>
  <c r="F102" i="12"/>
  <c r="F305" i="39"/>
  <c r="F305" i="12"/>
  <c r="F20" i="12"/>
  <c r="F20" i="39"/>
  <c r="F313" i="39"/>
  <c r="F313" i="12"/>
  <c r="F192" i="39"/>
  <c r="F192" i="12"/>
  <c r="F31" i="12"/>
  <c r="F31" i="39"/>
  <c r="F217" i="12"/>
  <c r="F217" i="39"/>
  <c r="F261" i="12"/>
  <c r="F261" i="39"/>
  <c r="F237" i="39"/>
  <c r="F237" i="12"/>
  <c r="F79" i="12"/>
  <c r="F79" i="39"/>
  <c r="F137" i="12"/>
  <c r="F137" i="39"/>
  <c r="F234" i="39"/>
  <c r="F234" i="12"/>
  <c r="F103" i="39"/>
  <c r="F103" i="12"/>
  <c r="F83" i="39"/>
  <c r="F83" i="12"/>
  <c r="F51" i="39"/>
  <c r="F51" i="12"/>
  <c r="F169" i="39"/>
  <c r="F169" i="12"/>
  <c r="F101" i="39"/>
  <c r="F101" i="12"/>
  <c r="F133" i="39"/>
  <c r="F133" i="12"/>
  <c r="F135" i="39"/>
  <c r="F135" i="12"/>
  <c r="F263" i="39"/>
  <c r="F263" i="12"/>
  <c r="F15" i="39"/>
  <c r="F15" i="12"/>
  <c r="F85" i="39"/>
  <c r="F85" i="12"/>
  <c r="F225" i="12"/>
  <c r="F225" i="39"/>
  <c r="F278" i="39"/>
  <c r="F278" i="12"/>
  <c r="F65" i="12"/>
  <c r="F65" i="39"/>
  <c r="F9" i="39"/>
  <c r="F9" i="12"/>
  <c r="F173" i="39"/>
  <c r="F173" i="12"/>
  <c r="F181" i="39"/>
  <c r="F181" i="12"/>
  <c r="F144" i="39"/>
  <c r="F144" i="12"/>
  <c r="F68" i="39"/>
  <c r="F68" i="12"/>
  <c r="F139" i="12"/>
  <c r="F139" i="39"/>
  <c r="F260" i="39"/>
  <c r="F260" i="12"/>
  <c r="F119" i="39"/>
  <c r="F119" i="12"/>
  <c r="F63" i="12"/>
  <c r="F63" i="39"/>
  <c r="F302" i="12"/>
  <c r="F302" i="39"/>
  <c r="F175" i="12"/>
  <c r="F175" i="39"/>
  <c r="F199" i="39"/>
  <c r="F199" i="12"/>
  <c r="F279" i="39"/>
  <c r="F279" i="12"/>
  <c r="F157" i="12"/>
  <c r="F157" i="39"/>
  <c r="F241" i="39"/>
  <c r="F241" i="12"/>
  <c r="F301" i="12"/>
  <c r="F301" i="39"/>
  <c r="F183" i="12"/>
  <c r="F183" i="39"/>
  <c r="F281" i="12"/>
  <c r="F281" i="39"/>
  <c r="F146" i="39"/>
  <c r="F146" i="12"/>
  <c r="F33" i="12"/>
  <c r="F33" i="39"/>
  <c r="F251" i="12"/>
  <c r="F251" i="39"/>
  <c r="F297" i="12"/>
  <c r="F297" i="39"/>
  <c r="F41" i="39"/>
  <c r="F41" i="12"/>
  <c r="F52" i="12"/>
  <c r="F52" i="39"/>
  <c r="F303" i="12"/>
  <c r="F303" i="39"/>
  <c r="F194" i="12"/>
  <c r="F194" i="39"/>
  <c r="F205" i="12"/>
  <c r="F205" i="39"/>
  <c r="F148" i="39"/>
  <c r="F148" i="12"/>
  <c r="F164" i="39"/>
  <c r="F164" i="12"/>
  <c r="F96" i="12"/>
  <c r="F96" i="39"/>
  <c r="F284" i="39"/>
  <c r="F284" i="12"/>
  <c r="F153" i="12"/>
  <c r="F153" i="39"/>
  <c r="F240" i="39"/>
  <c r="F240" i="12"/>
  <c r="F131" i="12"/>
  <c r="F131" i="39"/>
  <c r="F8" i="12"/>
  <c r="F8" i="39"/>
  <c r="F112" i="39"/>
  <c r="F112" i="12"/>
  <c r="F140" i="39"/>
  <c r="F140" i="12"/>
  <c r="F287" i="12"/>
  <c r="F287" i="39"/>
  <c r="F230" i="12"/>
  <c r="F230" i="39"/>
  <c r="F94" i="12"/>
  <c r="F94" i="39"/>
  <c r="F282" i="39"/>
  <c r="F282" i="12"/>
  <c r="F122" i="12"/>
  <c r="F122" i="39"/>
  <c r="F170" i="12"/>
  <c r="F170" i="39"/>
  <c r="F93" i="39"/>
  <c r="F93" i="12"/>
  <c r="F100" i="39"/>
  <c r="F100" i="12"/>
  <c r="F27" i="39"/>
  <c r="F27" i="12"/>
  <c r="F232" i="39"/>
  <c r="F232" i="12"/>
  <c r="F255" i="39"/>
  <c r="F255" i="12"/>
  <c r="F293" i="39"/>
  <c r="F293" i="12"/>
  <c r="F90" i="39"/>
  <c r="F90" i="12"/>
  <c r="F317" i="12"/>
  <c r="F317" i="39"/>
  <c r="F118" i="39"/>
  <c r="F118" i="12"/>
  <c r="F177" i="12"/>
  <c r="F177" i="39"/>
  <c r="F193" i="12"/>
  <c r="F193" i="39"/>
  <c r="F184" i="39"/>
  <c r="F184" i="12"/>
  <c r="F13" i="39"/>
  <c r="F13" i="12"/>
  <c r="F296" i="39"/>
  <c r="F296" i="12"/>
  <c r="F159" i="39"/>
  <c r="F159" i="12"/>
  <c r="F208" i="39"/>
  <c r="F208" i="12"/>
  <c r="F195" i="12"/>
  <c r="F195" i="39"/>
  <c r="F315" i="12"/>
  <c r="F315" i="39"/>
  <c r="F308" i="39"/>
  <c r="F308" i="12"/>
  <c r="F5" i="12"/>
  <c r="F5" i="39"/>
  <c r="F125" i="12"/>
  <c r="F125" i="39"/>
  <c r="F171" i="39"/>
  <c r="F171" i="12"/>
  <c r="D7" i="34" l="1"/>
  <c r="D9" i="34" s="1"/>
  <c r="E15" i="34" s="1"/>
  <c r="E334" i="34" s="1"/>
  <c r="I334" i="34" s="1"/>
  <c r="C9" i="34"/>
  <c r="F323" i="12"/>
  <c r="F323" i="39"/>
  <c r="E261" i="34" l="1"/>
  <c r="I261" i="34" s="1"/>
  <c r="E164" i="34"/>
  <c r="I164" i="34" s="1"/>
  <c r="E218" i="34"/>
  <c r="I218" i="34" s="1"/>
  <c r="E233" i="34"/>
  <c r="I233" i="34" s="1"/>
  <c r="E34" i="34"/>
  <c r="I34" i="34" s="1"/>
  <c r="E50" i="34"/>
  <c r="I50" i="34" s="1"/>
  <c r="E59" i="34"/>
  <c r="I59" i="34" s="1"/>
  <c r="E118" i="34"/>
  <c r="I118" i="34" s="1"/>
  <c r="E324" i="34"/>
  <c r="I324" i="34" s="1"/>
  <c r="E267" i="34"/>
  <c r="I267" i="34" s="1"/>
  <c r="E150" i="34"/>
  <c r="I150" i="34" s="1"/>
  <c r="E325" i="34"/>
  <c r="I325" i="34" s="1"/>
  <c r="E326" i="34"/>
  <c r="I326" i="34" s="1"/>
  <c r="E172" i="34"/>
  <c r="I172" i="34" s="1"/>
  <c r="E251" i="34"/>
  <c r="I251" i="34" s="1"/>
  <c r="E134" i="34"/>
  <c r="I134" i="34" s="1"/>
  <c r="E284" i="34"/>
  <c r="I284" i="34" s="1"/>
  <c r="E202" i="34"/>
  <c r="I202" i="34" s="1"/>
  <c r="E305" i="34"/>
  <c r="I305" i="34" s="1"/>
  <c r="E39" i="34"/>
  <c r="I39" i="34" s="1"/>
  <c r="E78" i="34"/>
  <c r="I78" i="34" s="1"/>
  <c r="E307" i="34"/>
  <c r="I307" i="34" s="1"/>
  <c r="E22" i="34"/>
  <c r="I22" i="34" s="1"/>
  <c r="E136" i="34"/>
  <c r="I136" i="34" s="1"/>
  <c r="E253" i="34"/>
  <c r="I253" i="34" s="1"/>
  <c r="E327" i="34"/>
  <c r="I327" i="34" s="1"/>
  <c r="E187" i="34"/>
  <c r="I187" i="34" s="1"/>
  <c r="E241" i="34"/>
  <c r="I241" i="34" s="1"/>
  <c r="E316" i="34"/>
  <c r="I316" i="34" s="1"/>
  <c r="E19" i="34"/>
  <c r="I19" i="34" s="1"/>
  <c r="E27" i="34"/>
  <c r="I27" i="34" s="1"/>
  <c r="E291" i="34"/>
  <c r="I291" i="34" s="1"/>
  <c r="E312" i="34"/>
  <c r="I312" i="34" s="1"/>
  <c r="E220" i="34"/>
  <c r="I220" i="34" s="1"/>
  <c r="E281" i="34"/>
  <c r="I281" i="34" s="1"/>
  <c r="E215" i="34"/>
  <c r="I215" i="34" s="1"/>
  <c r="E60" i="34"/>
  <c r="I60" i="34" s="1"/>
  <c r="E314" i="34"/>
  <c r="I314" i="34" s="1"/>
  <c r="E162" i="34"/>
  <c r="I162" i="34" s="1"/>
  <c r="E115" i="34"/>
  <c r="I115" i="34" s="1"/>
  <c r="E180" i="34"/>
  <c r="I180" i="34" s="1"/>
  <c r="E205" i="34"/>
  <c r="I205" i="34" s="1"/>
  <c r="E38" i="34"/>
  <c r="I38" i="34" s="1"/>
  <c r="E146" i="34"/>
  <c r="I146" i="34" s="1"/>
  <c r="E303" i="34"/>
  <c r="I303" i="34" s="1"/>
  <c r="E36" i="34"/>
  <c r="I36" i="34" s="1"/>
  <c r="E121" i="34"/>
  <c r="I121" i="34" s="1"/>
  <c r="E140" i="34"/>
  <c r="I140" i="34" s="1"/>
  <c r="E175" i="34"/>
  <c r="I175" i="34" s="1"/>
  <c r="E264" i="34"/>
  <c r="I264" i="34" s="1"/>
  <c r="E295" i="34"/>
  <c r="I295" i="34" s="1"/>
  <c r="E65" i="34"/>
  <c r="I65" i="34" s="1"/>
  <c r="E89" i="34"/>
  <c r="I89" i="34" s="1"/>
  <c r="E203" i="34"/>
  <c r="I203" i="34" s="1"/>
  <c r="E52" i="34"/>
  <c r="I52" i="34" s="1"/>
  <c r="E28" i="34"/>
  <c r="I28" i="34" s="1"/>
  <c r="E318" i="34"/>
  <c r="I318" i="34" s="1"/>
  <c r="E153" i="34"/>
  <c r="I153" i="34" s="1"/>
  <c r="E63" i="34"/>
  <c r="I63" i="34" s="1"/>
  <c r="E117" i="34"/>
  <c r="I117" i="34" s="1"/>
  <c r="E114" i="34"/>
  <c r="I114" i="34" s="1"/>
  <c r="E100" i="34"/>
  <c r="I100" i="34" s="1"/>
  <c r="E209" i="34"/>
  <c r="I209" i="34" s="1"/>
  <c r="E58" i="34"/>
  <c r="I58" i="34" s="1"/>
  <c r="E265" i="34"/>
  <c r="I265" i="34" s="1"/>
  <c r="E74" i="34"/>
  <c r="I74" i="34" s="1"/>
  <c r="E152" i="34"/>
  <c r="I152" i="34" s="1"/>
  <c r="E239" i="34"/>
  <c r="I239" i="34" s="1"/>
  <c r="E159" i="34"/>
  <c r="I159" i="34" s="1"/>
  <c r="E149" i="34"/>
  <c r="I149" i="34" s="1"/>
  <c r="E225" i="34"/>
  <c r="I225" i="34" s="1"/>
  <c r="E71" i="34"/>
  <c r="I71" i="34" s="1"/>
  <c r="E113" i="34"/>
  <c r="I113" i="34" s="1"/>
  <c r="E123" i="34"/>
  <c r="I123" i="34" s="1"/>
  <c r="E90" i="34"/>
  <c r="I90" i="34" s="1"/>
  <c r="E282" i="34"/>
  <c r="I282" i="34" s="1"/>
  <c r="E248" i="34"/>
  <c r="I248" i="34" s="1"/>
  <c r="E137" i="34"/>
  <c r="I137" i="34" s="1"/>
  <c r="E76" i="34"/>
  <c r="I76" i="34" s="1"/>
  <c r="E268" i="34"/>
  <c r="I268" i="34" s="1"/>
  <c r="E49" i="34"/>
  <c r="I49" i="34" s="1"/>
  <c r="E158" i="34"/>
  <c r="I158" i="34" s="1"/>
  <c r="E167" i="34"/>
  <c r="I167" i="34" s="1"/>
  <c r="E53" i="34"/>
  <c r="I53" i="34" s="1"/>
  <c r="E211" i="34"/>
  <c r="I211" i="34" s="1"/>
  <c r="E101" i="34"/>
  <c r="I101" i="34" s="1"/>
  <c r="E179" i="34"/>
  <c r="I179" i="34" s="1"/>
  <c r="E83" i="34"/>
  <c r="I83" i="34" s="1"/>
  <c r="E188" i="34"/>
  <c r="I188" i="34" s="1"/>
  <c r="E254" i="34"/>
  <c r="I254" i="34" s="1"/>
  <c r="E298" i="34"/>
  <c r="I298" i="34" s="1"/>
  <c r="E272" i="34"/>
  <c r="I272" i="34" s="1"/>
  <c r="E243" i="34"/>
  <c r="I243" i="34" s="1"/>
  <c r="E43" i="34"/>
  <c r="I43" i="34" s="1"/>
  <c r="E48" i="34"/>
  <c r="I48" i="34" s="1"/>
  <c r="E25" i="34"/>
  <c r="I25" i="34" s="1"/>
  <c r="E64" i="34"/>
  <c r="I64" i="34" s="1"/>
  <c r="E252" i="34"/>
  <c r="I252" i="34" s="1"/>
  <c r="E29" i="34"/>
  <c r="I29" i="34" s="1"/>
  <c r="E104" i="34"/>
  <c r="I104" i="34" s="1"/>
  <c r="E330" i="34"/>
  <c r="I330" i="34" s="1"/>
  <c r="E96" i="34"/>
  <c r="I96" i="34" s="1"/>
  <c r="E86" i="34"/>
  <c r="I86" i="34" s="1"/>
  <c r="E216" i="34"/>
  <c r="I216" i="34" s="1"/>
  <c r="E189" i="34"/>
  <c r="I189" i="34" s="1"/>
  <c r="E256" i="34"/>
  <c r="I256" i="34" s="1"/>
  <c r="E102" i="34"/>
  <c r="I102" i="34" s="1"/>
  <c r="E85" i="34"/>
  <c r="I85" i="34" s="1"/>
  <c r="E322" i="34"/>
  <c r="I322" i="34" s="1"/>
  <c r="E321" i="34"/>
  <c r="I321" i="34" s="1"/>
  <c r="E273" i="34"/>
  <c r="I273" i="34" s="1"/>
  <c r="E108" i="34"/>
  <c r="I108" i="34" s="1"/>
  <c r="E310" i="34"/>
  <c r="I310" i="34" s="1"/>
  <c r="E259" i="34"/>
  <c r="I259" i="34" s="1"/>
  <c r="E18" i="34"/>
  <c r="I18" i="34" s="1"/>
  <c r="E184" i="34"/>
  <c r="I184" i="34" s="1"/>
  <c r="E182" i="34"/>
  <c r="I182" i="34" s="1"/>
  <c r="E296" i="34"/>
  <c r="I296" i="34" s="1"/>
  <c r="E308" i="34"/>
  <c r="I308" i="34" s="1"/>
  <c r="E51" i="34"/>
  <c r="I51" i="34" s="1"/>
  <c r="E17" i="34"/>
  <c r="I17" i="34" s="1"/>
  <c r="E280" i="34"/>
  <c r="I280" i="34" s="1"/>
  <c r="E127" i="34"/>
  <c r="I127" i="34" s="1"/>
  <c r="E47" i="34"/>
  <c r="I47" i="34" s="1"/>
  <c r="E244" i="34"/>
  <c r="I244" i="34" s="1"/>
  <c r="E311" i="34"/>
  <c r="I311" i="34" s="1"/>
  <c r="E234" i="34"/>
  <c r="I234" i="34" s="1"/>
  <c r="E143" i="34"/>
  <c r="I143" i="34" s="1"/>
  <c r="E138" i="34"/>
  <c r="I138" i="34" s="1"/>
  <c r="E185" i="34"/>
  <c r="I185" i="34" s="1"/>
  <c r="E302" i="34"/>
  <c r="I302" i="34" s="1"/>
  <c r="E320" i="34"/>
  <c r="I320" i="34" s="1"/>
  <c r="E315" i="34"/>
  <c r="I315" i="34" s="1"/>
  <c r="E289" i="34"/>
  <c r="I289" i="34" s="1"/>
  <c r="E229" i="34"/>
  <c r="I229" i="34" s="1"/>
  <c r="E26" i="34"/>
  <c r="I26" i="34" s="1"/>
  <c r="E139" i="34"/>
  <c r="I139" i="34" s="1"/>
  <c r="E35" i="34"/>
  <c r="I35" i="34" s="1"/>
  <c r="E169" i="34"/>
  <c r="I169" i="34" s="1"/>
  <c r="E224" i="34"/>
  <c r="I224" i="34" s="1"/>
  <c r="E120" i="34"/>
  <c r="I120" i="34" s="1"/>
  <c r="E69" i="34"/>
  <c r="I69" i="34" s="1"/>
  <c r="E226" i="34"/>
  <c r="I226" i="34" s="1"/>
  <c r="E294" i="34"/>
  <c r="I294" i="34" s="1"/>
  <c r="E160" i="34"/>
  <c r="I160" i="34" s="1"/>
  <c r="E77" i="34"/>
  <c r="I77" i="34" s="1"/>
  <c r="E262" i="34"/>
  <c r="I262" i="34" s="1"/>
  <c r="E266" i="34"/>
  <c r="I266" i="34" s="1"/>
  <c r="E30" i="34"/>
  <c r="I30" i="34" s="1"/>
  <c r="E201" i="34"/>
  <c r="I201" i="34" s="1"/>
  <c r="E67" i="34"/>
  <c r="I67" i="34" s="1"/>
  <c r="E33" i="34"/>
  <c r="I33" i="34" s="1"/>
  <c r="E84" i="34"/>
  <c r="I84" i="34" s="1"/>
  <c r="E332" i="34"/>
  <c r="I332" i="34" s="1"/>
  <c r="E263" i="34"/>
  <c r="I263" i="34" s="1"/>
  <c r="E297" i="34"/>
  <c r="I297" i="34" s="1"/>
  <c r="E227" i="34"/>
  <c r="I227" i="34" s="1"/>
  <c r="E250" i="34"/>
  <c r="I250" i="34" s="1"/>
  <c r="E214" i="34"/>
  <c r="I214" i="34" s="1"/>
  <c r="E70" i="34"/>
  <c r="I70" i="34" s="1"/>
  <c r="E20" i="34"/>
  <c r="I20" i="34" s="1"/>
  <c r="E196" i="34"/>
  <c r="I196" i="34" s="1"/>
  <c r="E106" i="34"/>
  <c r="I106" i="34" s="1"/>
  <c r="E285" i="34"/>
  <c r="I285" i="34" s="1"/>
  <c r="E46" i="34"/>
  <c r="I46" i="34" s="1"/>
  <c r="E270" i="34"/>
  <c r="I270" i="34" s="1"/>
  <c r="E72" i="34"/>
  <c r="I72" i="34" s="1"/>
  <c r="E122" i="34"/>
  <c r="I122" i="34" s="1"/>
  <c r="E192" i="34"/>
  <c r="I192" i="34" s="1"/>
  <c r="E194" i="34"/>
  <c r="I194" i="34" s="1"/>
  <c r="E161" i="34"/>
  <c r="I161" i="34" s="1"/>
  <c r="E222" i="34"/>
  <c r="I222" i="34" s="1"/>
  <c r="E94" i="34"/>
  <c r="I94" i="34" s="1"/>
  <c r="E95" i="34"/>
  <c r="I95" i="34" s="1"/>
  <c r="E91" i="34"/>
  <c r="I91" i="34" s="1"/>
  <c r="E93" i="34"/>
  <c r="I93" i="34" s="1"/>
  <c r="E246" i="34"/>
  <c r="I246" i="34" s="1"/>
  <c r="E286" i="34"/>
  <c r="I286" i="34" s="1"/>
  <c r="E173" i="34"/>
  <c r="I173" i="34" s="1"/>
  <c r="E132" i="34"/>
  <c r="I132" i="34" s="1"/>
  <c r="E23" i="34"/>
  <c r="I23" i="34" s="1"/>
  <c r="E79" i="34"/>
  <c r="I79" i="34" s="1"/>
  <c r="E275" i="34"/>
  <c r="I275" i="34" s="1"/>
  <c r="E287" i="34"/>
  <c r="I287" i="34" s="1"/>
  <c r="E313" i="34"/>
  <c r="I313" i="34" s="1"/>
  <c r="E98" i="34"/>
  <c r="I98" i="34" s="1"/>
  <c r="E103" i="34"/>
  <c r="I103" i="34" s="1"/>
  <c r="E178" i="34"/>
  <c r="I178" i="34" s="1"/>
  <c r="E278" i="34"/>
  <c r="I278" i="34" s="1"/>
  <c r="E221" i="34"/>
  <c r="I221" i="34" s="1"/>
  <c r="E213" i="34"/>
  <c r="I213" i="34" s="1"/>
  <c r="E16" i="34"/>
  <c r="E130" i="34"/>
  <c r="I130" i="34" s="1"/>
  <c r="E97" i="34"/>
  <c r="I97" i="34" s="1"/>
  <c r="E329" i="34"/>
  <c r="I329" i="34" s="1"/>
  <c r="E73" i="34"/>
  <c r="I73" i="34" s="1"/>
  <c r="E276" i="34"/>
  <c r="I276" i="34" s="1"/>
  <c r="E212" i="34"/>
  <c r="I212" i="34" s="1"/>
  <c r="E56" i="34"/>
  <c r="I56" i="34" s="1"/>
  <c r="E183" i="34"/>
  <c r="I183" i="34" s="1"/>
  <c r="E293" i="34"/>
  <c r="I293" i="34" s="1"/>
  <c r="E45" i="34"/>
  <c r="I45" i="34" s="1"/>
  <c r="E317" i="34"/>
  <c r="I317" i="34" s="1"/>
  <c r="E288" i="34"/>
  <c r="I288" i="34" s="1"/>
  <c r="E306" i="34"/>
  <c r="I306" i="34" s="1"/>
  <c r="E145" i="34"/>
  <c r="I145" i="34" s="1"/>
  <c r="E197" i="34"/>
  <c r="I197" i="34" s="1"/>
  <c r="E191" i="34"/>
  <c r="I191" i="34" s="1"/>
  <c r="E87" i="34"/>
  <c r="I87" i="34" s="1"/>
  <c r="E258" i="34"/>
  <c r="I258" i="34" s="1"/>
  <c r="E186" i="34"/>
  <c r="I186" i="34" s="1"/>
  <c r="E208" i="34"/>
  <c r="I208" i="34" s="1"/>
  <c r="E57" i="34"/>
  <c r="I57" i="34" s="1"/>
  <c r="E269" i="34"/>
  <c r="I269" i="34" s="1"/>
  <c r="E126" i="34"/>
  <c r="I126" i="34" s="1"/>
  <c r="E81" i="34"/>
  <c r="I81" i="34" s="1"/>
  <c r="E125" i="34"/>
  <c r="I125" i="34" s="1"/>
  <c r="E232" i="34"/>
  <c r="I232" i="34" s="1"/>
  <c r="E116" i="34"/>
  <c r="I116" i="34" s="1"/>
  <c r="E200" i="34"/>
  <c r="I200" i="34" s="1"/>
  <c r="E142" i="34"/>
  <c r="I142" i="34" s="1"/>
  <c r="E277" i="34"/>
  <c r="I277" i="34" s="1"/>
  <c r="E133" i="34"/>
  <c r="I133" i="34" s="1"/>
  <c r="E99" i="34"/>
  <c r="I99" i="34" s="1"/>
  <c r="E61" i="34"/>
  <c r="I61" i="34" s="1"/>
  <c r="E111" i="34"/>
  <c r="I111" i="34" s="1"/>
  <c r="E177" i="34"/>
  <c r="I177" i="34" s="1"/>
  <c r="E260" i="34"/>
  <c r="I260" i="34" s="1"/>
  <c r="E163" i="34"/>
  <c r="I163" i="34" s="1"/>
  <c r="E210" i="34"/>
  <c r="I210" i="34" s="1"/>
  <c r="E157" i="34"/>
  <c r="I157" i="34" s="1"/>
  <c r="E40" i="34"/>
  <c r="I40" i="34" s="1"/>
  <c r="E328" i="34"/>
  <c r="I328" i="34" s="1"/>
  <c r="E190" i="34"/>
  <c r="I190" i="34" s="1"/>
  <c r="E148" i="34"/>
  <c r="I148" i="34" s="1"/>
  <c r="E129" i="34"/>
  <c r="I129" i="34" s="1"/>
  <c r="E237" i="34"/>
  <c r="I237" i="34" s="1"/>
  <c r="E166" i="34"/>
  <c r="I166" i="34" s="1"/>
  <c r="E255" i="34"/>
  <c r="I255" i="34" s="1"/>
  <c r="E283" i="34"/>
  <c r="I283" i="34" s="1"/>
  <c r="E135" i="34"/>
  <c r="I135" i="34" s="1"/>
  <c r="E55" i="34"/>
  <c r="I55" i="34" s="1"/>
  <c r="E271" i="34"/>
  <c r="I271" i="34" s="1"/>
  <c r="E207" i="34"/>
  <c r="I207" i="34" s="1"/>
  <c r="E181" i="34"/>
  <c r="I181" i="34" s="1"/>
  <c r="E235" i="34"/>
  <c r="I235" i="34" s="1"/>
  <c r="E199" i="34"/>
  <c r="I199" i="34" s="1"/>
  <c r="E105" i="34"/>
  <c r="I105" i="34" s="1"/>
  <c r="E154" i="34"/>
  <c r="I154" i="34" s="1"/>
  <c r="E31" i="34"/>
  <c r="I31" i="34" s="1"/>
  <c r="E223" i="34"/>
  <c r="I223" i="34" s="1"/>
  <c r="E176" i="34"/>
  <c r="I176" i="34" s="1"/>
  <c r="E124" i="34"/>
  <c r="I124" i="34" s="1"/>
  <c r="E238" i="34"/>
  <c r="I238" i="34" s="1"/>
  <c r="E168" i="34"/>
  <c r="I168" i="34" s="1"/>
  <c r="E66" i="34"/>
  <c r="I66" i="34" s="1"/>
  <c r="E228" i="34"/>
  <c r="I228" i="34" s="1"/>
  <c r="E24" i="34"/>
  <c r="I24" i="34" s="1"/>
  <c r="E92" i="34"/>
  <c r="I92" i="34" s="1"/>
  <c r="E128" i="34"/>
  <c r="I128" i="34" s="1"/>
  <c r="E301" i="34"/>
  <c r="I301" i="34" s="1"/>
  <c r="E80" i="34"/>
  <c r="I80" i="34" s="1"/>
  <c r="E300" i="34"/>
  <c r="I300" i="34" s="1"/>
  <c r="E88" i="34"/>
  <c r="I88" i="34" s="1"/>
  <c r="E54" i="34"/>
  <c r="I54" i="34" s="1"/>
  <c r="E193" i="34"/>
  <c r="I193" i="34" s="1"/>
  <c r="E165" i="34"/>
  <c r="I165" i="34" s="1"/>
  <c r="E195" i="34"/>
  <c r="I195" i="34" s="1"/>
  <c r="E247" i="34"/>
  <c r="I247" i="34" s="1"/>
  <c r="E147" i="34"/>
  <c r="I147" i="34" s="1"/>
  <c r="E171" i="34"/>
  <c r="I171" i="34" s="1"/>
  <c r="E217" i="34"/>
  <c r="I217" i="34" s="1"/>
  <c r="E141" i="34"/>
  <c r="I141" i="34" s="1"/>
  <c r="E156" i="34"/>
  <c r="I156" i="34" s="1"/>
  <c r="E198" i="34"/>
  <c r="I198" i="34" s="1"/>
  <c r="E37" i="34"/>
  <c r="I37" i="34" s="1"/>
  <c r="E151" i="34"/>
  <c r="I151" i="34" s="1"/>
  <c r="E44" i="34"/>
  <c r="I44" i="34" s="1"/>
  <c r="E292" i="34"/>
  <c r="I292" i="34" s="1"/>
  <c r="E231" i="34"/>
  <c r="I231" i="34" s="1"/>
  <c r="E309" i="34"/>
  <c r="I309" i="34" s="1"/>
  <c r="E112" i="34"/>
  <c r="I112" i="34" s="1"/>
  <c r="E62" i="34"/>
  <c r="I62" i="34" s="1"/>
  <c r="E21" i="34"/>
  <c r="I21" i="34" s="1"/>
  <c r="E279" i="34"/>
  <c r="I279" i="34" s="1"/>
  <c r="E206" i="34"/>
  <c r="I206" i="34" s="1"/>
  <c r="E230" i="34"/>
  <c r="I230" i="34" s="1"/>
  <c r="E68" i="34"/>
  <c r="I68" i="34" s="1"/>
  <c r="E257" i="34"/>
  <c r="I257" i="34" s="1"/>
  <c r="E170" i="34"/>
  <c r="I170" i="34" s="1"/>
  <c r="E245" i="34"/>
  <c r="I245" i="34" s="1"/>
  <c r="E333" i="34"/>
  <c r="I333" i="34" s="1"/>
  <c r="E274" i="34"/>
  <c r="I274" i="34" s="1"/>
  <c r="E109" i="34"/>
  <c r="I109" i="34" s="1"/>
  <c r="E42" i="34"/>
  <c r="I42" i="34" s="1"/>
  <c r="E240" i="34"/>
  <c r="I240" i="34" s="1"/>
  <c r="E41" i="34"/>
  <c r="I41" i="34" s="1"/>
  <c r="E75" i="34"/>
  <c r="I75" i="34" s="1"/>
  <c r="E131" i="34"/>
  <c r="I131" i="34" s="1"/>
  <c r="E299" i="34"/>
  <c r="I299" i="34" s="1"/>
  <c r="E290" i="34"/>
  <c r="I290" i="34" s="1"/>
  <c r="E323" i="34"/>
  <c r="I323" i="34" s="1"/>
  <c r="E242" i="34"/>
  <c r="I242" i="34" s="1"/>
  <c r="E32" i="34"/>
  <c r="I32" i="34" s="1"/>
  <c r="E82" i="34"/>
  <c r="I82" i="34" s="1"/>
  <c r="E249" i="34"/>
  <c r="I249" i="34" s="1"/>
  <c r="E304" i="34"/>
  <c r="I304" i="34" s="1"/>
  <c r="E236" i="34"/>
  <c r="I236" i="34" s="1"/>
  <c r="E155" i="34"/>
  <c r="I155" i="34" s="1"/>
  <c r="E204" i="34"/>
  <c r="I204" i="34" s="1"/>
  <c r="E219" i="34"/>
  <c r="I219" i="34" s="1"/>
  <c r="E319" i="34"/>
  <c r="I319" i="34" s="1"/>
  <c r="E331" i="34"/>
  <c r="I331" i="34" s="1"/>
  <c r="E107" i="34"/>
  <c r="I107" i="34" s="1"/>
  <c r="E110" i="34"/>
  <c r="I110" i="34" s="1"/>
  <c r="E174" i="34"/>
  <c r="I174" i="34" s="1"/>
  <c r="E119" i="34"/>
  <c r="I119" i="34" s="1"/>
  <c r="E144" i="34"/>
  <c r="I144" i="34" s="1"/>
  <c r="E208" i="12" l="1"/>
  <c r="G208" i="12" s="1"/>
  <c r="G209" i="25"/>
  <c r="E208" i="39"/>
  <c r="G208" i="39" s="1"/>
  <c r="H208" i="39" s="1"/>
  <c r="I208" i="39" s="1"/>
  <c r="J208" i="39" s="1"/>
  <c r="I209" i="25" s="1"/>
  <c r="E231" i="39"/>
  <c r="G231" i="39" s="1"/>
  <c r="H231" i="39" s="1"/>
  <c r="I231" i="39" s="1"/>
  <c r="J231" i="39" s="1"/>
  <c r="I232" i="25" s="1"/>
  <c r="E231" i="12"/>
  <c r="G231" i="12" s="1"/>
  <c r="G232" i="25"/>
  <c r="G32" i="25"/>
  <c r="E31" i="39"/>
  <c r="G31" i="39" s="1"/>
  <c r="H31" i="39" s="1"/>
  <c r="I31" i="39" s="1"/>
  <c r="J31" i="39" s="1"/>
  <c r="I32" i="25" s="1"/>
  <c r="E31" i="12"/>
  <c r="G31" i="12" s="1"/>
  <c r="E219" i="12"/>
  <c r="G219" i="12" s="1"/>
  <c r="G220" i="25"/>
  <c r="E219" i="39"/>
  <c r="G219" i="39" s="1"/>
  <c r="H219" i="39" s="1"/>
  <c r="I219" i="39" s="1"/>
  <c r="J219" i="39" s="1"/>
  <c r="I220" i="25" s="1"/>
  <c r="E281" i="12"/>
  <c r="G281" i="12" s="1"/>
  <c r="E281" i="39"/>
  <c r="G281" i="39" s="1"/>
  <c r="H281" i="39" s="1"/>
  <c r="I281" i="39" s="1"/>
  <c r="J281" i="39" s="1"/>
  <c r="I282" i="25" s="1"/>
  <c r="G282" i="25"/>
  <c r="E160" i="12"/>
  <c r="G160" i="12" s="1"/>
  <c r="G161" i="25"/>
  <c r="E160" i="39"/>
  <c r="G160" i="39" s="1"/>
  <c r="H160" i="39" s="1"/>
  <c r="I160" i="39" s="1"/>
  <c r="J160" i="39" s="1"/>
  <c r="I161" i="25" s="1"/>
  <c r="E289" i="39"/>
  <c r="G289" i="39" s="1"/>
  <c r="H289" i="39" s="1"/>
  <c r="I289" i="39" s="1"/>
  <c r="J289" i="39" s="1"/>
  <c r="I290" i="25" s="1"/>
  <c r="G290" i="25"/>
  <c r="E289" i="12"/>
  <c r="G289" i="12" s="1"/>
  <c r="E157" i="12"/>
  <c r="G157" i="12" s="1"/>
  <c r="G158" i="25"/>
  <c r="E157" i="39"/>
  <c r="G157" i="39" s="1"/>
  <c r="H157" i="39" s="1"/>
  <c r="I157" i="39" s="1"/>
  <c r="J157" i="39" s="1"/>
  <c r="I158" i="25" s="1"/>
  <c r="E188" i="12"/>
  <c r="G188" i="12" s="1"/>
  <c r="G189" i="25"/>
  <c r="E188" i="39"/>
  <c r="G188" i="39" s="1"/>
  <c r="H188" i="39" s="1"/>
  <c r="I188" i="39" s="1"/>
  <c r="J188" i="39" s="1"/>
  <c r="I189" i="25" s="1"/>
  <c r="G273" i="25"/>
  <c r="E272" i="39"/>
  <c r="G272" i="39" s="1"/>
  <c r="H272" i="39" s="1"/>
  <c r="I272" i="39" s="1"/>
  <c r="J272" i="39" s="1"/>
  <c r="I273" i="25" s="1"/>
  <c r="E272" i="12"/>
  <c r="G272" i="12" s="1"/>
  <c r="E29" i="12"/>
  <c r="G29" i="12" s="1"/>
  <c r="E29" i="39"/>
  <c r="G29" i="39" s="1"/>
  <c r="H29" i="39" s="1"/>
  <c r="I29" i="39" s="1"/>
  <c r="J29" i="39" s="1"/>
  <c r="I30" i="25" s="1"/>
  <c r="G30" i="25"/>
  <c r="E88" i="12"/>
  <c r="G88" i="12" s="1"/>
  <c r="G89" i="25"/>
  <c r="E88" i="39"/>
  <c r="G88" i="39" s="1"/>
  <c r="H88" i="39" s="1"/>
  <c r="I88" i="39" s="1"/>
  <c r="J88" i="39" s="1"/>
  <c r="I89" i="25" s="1"/>
  <c r="G71" i="25"/>
  <c r="E70" i="12"/>
  <c r="G70" i="12" s="1"/>
  <c r="E70" i="39"/>
  <c r="G70" i="39" s="1"/>
  <c r="H70" i="39" s="1"/>
  <c r="I70" i="39" s="1"/>
  <c r="J70" i="39" s="1"/>
  <c r="I71" i="25" s="1"/>
  <c r="E180" i="39"/>
  <c r="G180" i="39" s="1"/>
  <c r="H180" i="39" s="1"/>
  <c r="I180" i="39" s="1"/>
  <c r="J180" i="39" s="1"/>
  <c r="I181" i="25" s="1"/>
  <c r="G181" i="25"/>
  <c r="E180" i="12"/>
  <c r="G180" i="12" s="1"/>
  <c r="E172" i="12"/>
  <c r="G172" i="12" s="1"/>
  <c r="E172" i="39"/>
  <c r="G172" i="39" s="1"/>
  <c r="H172" i="39" s="1"/>
  <c r="I172" i="39" s="1"/>
  <c r="J172" i="39" s="1"/>
  <c r="I173" i="25" s="1"/>
  <c r="G173" i="25"/>
  <c r="I16" i="34"/>
  <c r="F39" i="48"/>
  <c r="G277" i="25"/>
  <c r="E276" i="12"/>
  <c r="G276" i="12" s="1"/>
  <c r="E276" i="39"/>
  <c r="G276" i="39" s="1"/>
  <c r="H276" i="39" s="1"/>
  <c r="I276" i="39" s="1"/>
  <c r="J276" i="39" s="1"/>
  <c r="I277" i="25" s="1"/>
  <c r="E82" i="39"/>
  <c r="G82" i="39" s="1"/>
  <c r="H82" i="39" s="1"/>
  <c r="I82" i="39" s="1"/>
  <c r="J82" i="39" s="1"/>
  <c r="I83" i="25" s="1"/>
  <c r="E82" i="12"/>
  <c r="G82" i="12" s="1"/>
  <c r="G83" i="25"/>
  <c r="E111" i="12"/>
  <c r="G111" i="12" s="1"/>
  <c r="G112" i="25"/>
  <c r="E111" i="39"/>
  <c r="G111" i="39" s="1"/>
  <c r="H111" i="39" s="1"/>
  <c r="I111" i="39" s="1"/>
  <c r="J111" i="39" s="1"/>
  <c r="I112" i="25" s="1"/>
  <c r="E59" i="39"/>
  <c r="G59" i="39" s="1"/>
  <c r="H59" i="39" s="1"/>
  <c r="I59" i="39" s="1"/>
  <c r="J59" i="39" s="1"/>
  <c r="I60" i="25" s="1"/>
  <c r="G60" i="25"/>
  <c r="E59" i="12"/>
  <c r="G59" i="12" s="1"/>
  <c r="E22" i="39"/>
  <c r="G22" i="39" s="1"/>
  <c r="H22" i="39" s="1"/>
  <c r="I22" i="39" s="1"/>
  <c r="J22" i="39" s="1"/>
  <c r="I23" i="25" s="1"/>
  <c r="E22" i="12"/>
  <c r="G22" i="12" s="1"/>
  <c r="G23" i="25"/>
  <c r="E283" i="39"/>
  <c r="G283" i="39" s="1"/>
  <c r="H283" i="39" s="1"/>
  <c r="I283" i="39" s="1"/>
  <c r="J283" i="39" s="1"/>
  <c r="I284" i="25" s="1"/>
  <c r="E283" i="12"/>
  <c r="G283" i="12" s="1"/>
  <c r="G284" i="25"/>
  <c r="E15" i="39"/>
  <c r="G15" i="39" s="1"/>
  <c r="H15" i="39" s="1"/>
  <c r="I15" i="39" s="1"/>
  <c r="J15" i="39" s="1"/>
  <c r="I16" i="25" s="1"/>
  <c r="G16" i="25"/>
  <c r="E15" i="12"/>
  <c r="G15" i="12" s="1"/>
  <c r="G133" i="25"/>
  <c r="E132" i="39"/>
  <c r="G132" i="39" s="1"/>
  <c r="H132" i="39" s="1"/>
  <c r="I132" i="39" s="1"/>
  <c r="J132" i="39" s="1"/>
  <c r="I133" i="25" s="1"/>
  <c r="E132" i="12"/>
  <c r="G132" i="12" s="1"/>
  <c r="E40" i="39"/>
  <c r="G40" i="39" s="1"/>
  <c r="H40" i="39" s="1"/>
  <c r="I40" i="39" s="1"/>
  <c r="J40" i="39" s="1"/>
  <c r="I41" i="25" s="1"/>
  <c r="E40" i="12"/>
  <c r="G40" i="12" s="1"/>
  <c r="G41" i="25"/>
  <c r="G98" i="25"/>
  <c r="E97" i="12"/>
  <c r="G97" i="12" s="1"/>
  <c r="E97" i="39"/>
  <c r="G97" i="39" s="1"/>
  <c r="H97" i="39" s="1"/>
  <c r="I97" i="39" s="1"/>
  <c r="J97" i="39" s="1"/>
  <c r="I98" i="25" s="1"/>
  <c r="G206" i="25"/>
  <c r="E205" i="12"/>
  <c r="G205" i="12" s="1"/>
  <c r="E205" i="39"/>
  <c r="G205" i="39" s="1"/>
  <c r="H205" i="39" s="1"/>
  <c r="I205" i="39" s="1"/>
  <c r="J205" i="39" s="1"/>
  <c r="I206" i="25" s="1"/>
  <c r="E14" i="12"/>
  <c r="G14" i="12" s="1"/>
  <c r="G15" i="25"/>
  <c r="E14" i="39"/>
  <c r="G14" i="39" s="1"/>
  <c r="H14" i="39" s="1"/>
  <c r="I14" i="39" s="1"/>
  <c r="J14" i="39" s="1"/>
  <c r="I15" i="25" s="1"/>
  <c r="G73" i="25"/>
  <c r="E72" i="39"/>
  <c r="G72" i="39" s="1"/>
  <c r="H72" i="39" s="1"/>
  <c r="I72" i="39" s="1"/>
  <c r="J72" i="39" s="1"/>
  <c r="I73" i="25" s="1"/>
  <c r="E72" i="12"/>
  <c r="G72" i="12" s="1"/>
  <c r="E257" i="39"/>
  <c r="G257" i="39" s="1"/>
  <c r="H257" i="39" s="1"/>
  <c r="I257" i="39" s="1"/>
  <c r="J257" i="39" s="1"/>
  <c r="I258" i="25" s="1"/>
  <c r="E257" i="12"/>
  <c r="G257" i="12" s="1"/>
  <c r="G258" i="25"/>
  <c r="E60" i="39"/>
  <c r="G60" i="39" s="1"/>
  <c r="H60" i="39" s="1"/>
  <c r="I60" i="39" s="1"/>
  <c r="J60" i="39" s="1"/>
  <c r="I61" i="25" s="1"/>
  <c r="G61" i="25"/>
  <c r="E60" i="12"/>
  <c r="G60" i="12" s="1"/>
  <c r="G48" i="25"/>
  <c r="E47" i="12"/>
  <c r="G47" i="12" s="1"/>
  <c r="E47" i="39"/>
  <c r="G47" i="39" s="1"/>
  <c r="H47" i="39" s="1"/>
  <c r="I47" i="39" s="1"/>
  <c r="J47" i="39" s="1"/>
  <c r="I48" i="25" s="1"/>
  <c r="G18" i="25"/>
  <c r="E17" i="39"/>
  <c r="G17" i="39" s="1"/>
  <c r="H17" i="39" s="1"/>
  <c r="I17" i="39" s="1"/>
  <c r="J17" i="39" s="1"/>
  <c r="I18" i="25" s="1"/>
  <c r="E17" i="12"/>
  <c r="G17" i="12" s="1"/>
  <c r="E129" i="12"/>
  <c r="G129" i="12" s="1"/>
  <c r="G130" i="25"/>
  <c r="E129" i="39"/>
  <c r="G129" i="39" s="1"/>
  <c r="H129" i="39" s="1"/>
  <c r="I129" i="39" s="1"/>
  <c r="J129" i="39" s="1"/>
  <c r="I130" i="25" s="1"/>
  <c r="E104" i="12"/>
  <c r="G104" i="12" s="1"/>
  <c r="G105" i="25"/>
  <c r="E104" i="39"/>
  <c r="G104" i="39" s="1"/>
  <c r="H104" i="39" s="1"/>
  <c r="I104" i="39" s="1"/>
  <c r="J104" i="39" s="1"/>
  <c r="I105" i="25" s="1"/>
  <c r="G281" i="25"/>
  <c r="E280" i="39"/>
  <c r="G280" i="39" s="1"/>
  <c r="H280" i="39" s="1"/>
  <c r="I280" i="39" s="1"/>
  <c r="J280" i="39" s="1"/>
  <c r="I281" i="25" s="1"/>
  <c r="E280" i="12"/>
  <c r="G280" i="12" s="1"/>
  <c r="E125" i="12"/>
  <c r="G125" i="12" s="1"/>
  <c r="E125" i="39"/>
  <c r="G125" i="39" s="1"/>
  <c r="H125" i="39" s="1"/>
  <c r="I125" i="39" s="1"/>
  <c r="J125" i="39" s="1"/>
  <c r="I126" i="25" s="1"/>
  <c r="G126" i="25"/>
  <c r="E123" i="39"/>
  <c r="G123" i="39" s="1"/>
  <c r="H123" i="39" s="1"/>
  <c r="I123" i="39" s="1"/>
  <c r="J123" i="39" s="1"/>
  <c r="I124" i="25" s="1"/>
  <c r="G124" i="25"/>
  <c r="E123" i="12"/>
  <c r="G123" i="12" s="1"/>
  <c r="E222" i="39"/>
  <c r="G222" i="39" s="1"/>
  <c r="H222" i="39" s="1"/>
  <c r="I222" i="39" s="1"/>
  <c r="J222" i="39" s="1"/>
  <c r="I223" i="25" s="1"/>
  <c r="G223" i="25"/>
  <c r="E222" i="12"/>
  <c r="G222" i="12" s="1"/>
  <c r="E96" i="39"/>
  <c r="G96" i="39" s="1"/>
  <c r="H96" i="39" s="1"/>
  <c r="I96" i="39" s="1"/>
  <c r="J96" i="39" s="1"/>
  <c r="I97" i="25" s="1"/>
  <c r="E96" i="12"/>
  <c r="G96" i="12" s="1"/>
  <c r="G97" i="25"/>
  <c r="G239" i="25"/>
  <c r="E238" i="12"/>
  <c r="G238" i="12" s="1"/>
  <c r="E238" i="39"/>
  <c r="G238" i="39" s="1"/>
  <c r="H238" i="39" s="1"/>
  <c r="I238" i="39" s="1"/>
  <c r="J238" i="39" s="1"/>
  <c r="I239" i="25" s="1"/>
  <c r="E64" i="12"/>
  <c r="G64" i="12" s="1"/>
  <c r="G65" i="25"/>
  <c r="E64" i="39"/>
  <c r="G64" i="39" s="1"/>
  <c r="H64" i="39" s="1"/>
  <c r="I64" i="39" s="1"/>
  <c r="J64" i="39" s="1"/>
  <c r="I65" i="25" s="1"/>
  <c r="G160" i="25"/>
  <c r="E159" i="39"/>
  <c r="G159" i="39" s="1"/>
  <c r="H159" i="39" s="1"/>
  <c r="I159" i="39" s="1"/>
  <c r="J159" i="39" s="1"/>
  <c r="I160" i="25" s="1"/>
  <c r="E159" i="12"/>
  <c r="G159" i="12" s="1"/>
  <c r="E101" i="39"/>
  <c r="G101" i="39" s="1"/>
  <c r="H101" i="39" s="1"/>
  <c r="I101" i="39" s="1"/>
  <c r="J101" i="39" s="1"/>
  <c r="I102" i="25" s="1"/>
  <c r="G102" i="25"/>
  <c r="E101" i="12"/>
  <c r="G101" i="12" s="1"/>
  <c r="E145" i="12"/>
  <c r="G145" i="12" s="1"/>
  <c r="G146" i="25"/>
  <c r="E145" i="39"/>
  <c r="G145" i="39" s="1"/>
  <c r="H145" i="39" s="1"/>
  <c r="I145" i="39" s="1"/>
  <c r="J145" i="39" s="1"/>
  <c r="I146" i="25" s="1"/>
  <c r="E182" i="12"/>
  <c r="G182" i="12" s="1"/>
  <c r="E182" i="39"/>
  <c r="G182" i="39" s="1"/>
  <c r="H182" i="39" s="1"/>
  <c r="I182" i="39" s="1"/>
  <c r="J182" i="39" s="1"/>
  <c r="I183" i="25" s="1"/>
  <c r="G183" i="25"/>
  <c r="E13" i="12"/>
  <c r="G13" i="12" s="1"/>
  <c r="E13" i="39"/>
  <c r="G13" i="39" s="1"/>
  <c r="H13" i="39" s="1"/>
  <c r="I13" i="39" s="1"/>
  <c r="J13" i="39" s="1"/>
  <c r="I14" i="25" s="1"/>
  <c r="G14" i="25"/>
  <c r="G21" i="25"/>
  <c r="E20" i="12"/>
  <c r="G20" i="12" s="1"/>
  <c r="E20" i="39"/>
  <c r="G20" i="39" s="1"/>
  <c r="H20" i="39" s="1"/>
  <c r="I20" i="39" s="1"/>
  <c r="J20" i="39" s="1"/>
  <c r="I21" i="25" s="1"/>
  <c r="G45" i="25"/>
  <c r="E44" i="39"/>
  <c r="G44" i="39" s="1"/>
  <c r="H44" i="39" s="1"/>
  <c r="I44" i="39" s="1"/>
  <c r="J44" i="39" s="1"/>
  <c r="I45" i="25" s="1"/>
  <c r="E44" i="12"/>
  <c r="G44" i="12" s="1"/>
  <c r="E137" i="39"/>
  <c r="G137" i="39" s="1"/>
  <c r="H137" i="39" s="1"/>
  <c r="I137" i="39" s="1"/>
  <c r="J137" i="39" s="1"/>
  <c r="I138" i="25" s="1"/>
  <c r="G138" i="25"/>
  <c r="E137" i="12"/>
  <c r="G137" i="12" s="1"/>
  <c r="E166" i="12"/>
  <c r="G166" i="12" s="1"/>
  <c r="E166" i="39"/>
  <c r="G166" i="39" s="1"/>
  <c r="H166" i="39" s="1"/>
  <c r="I166" i="39" s="1"/>
  <c r="J166" i="39" s="1"/>
  <c r="I167" i="25" s="1"/>
  <c r="G167" i="25"/>
  <c r="E105" i="39"/>
  <c r="G105" i="39" s="1"/>
  <c r="H105" i="39" s="1"/>
  <c r="I105" i="39" s="1"/>
  <c r="J105" i="39" s="1"/>
  <c r="I106" i="25" s="1"/>
  <c r="E105" i="12"/>
  <c r="G105" i="12" s="1"/>
  <c r="G106" i="25"/>
  <c r="G176" i="25"/>
  <c r="E175" i="12"/>
  <c r="G175" i="12" s="1"/>
  <c r="E175" i="39"/>
  <c r="G175" i="39" s="1"/>
  <c r="H175" i="39" s="1"/>
  <c r="I175" i="39" s="1"/>
  <c r="J175" i="39" s="1"/>
  <c r="I176" i="25" s="1"/>
  <c r="G307" i="25"/>
  <c r="E306" i="39"/>
  <c r="G306" i="39" s="1"/>
  <c r="H306" i="39" s="1"/>
  <c r="I306" i="39" s="1"/>
  <c r="J306" i="39" s="1"/>
  <c r="I307" i="25" s="1"/>
  <c r="E306" i="12"/>
  <c r="G306" i="12" s="1"/>
  <c r="E318" i="12"/>
  <c r="G318" i="12" s="1"/>
  <c r="E318" i="39"/>
  <c r="G318" i="39" s="1"/>
  <c r="H318" i="39" s="1"/>
  <c r="I318" i="39" s="1"/>
  <c r="J318" i="39" s="1"/>
  <c r="I319" i="25" s="1"/>
  <c r="G319" i="25"/>
  <c r="E92" i="12"/>
  <c r="G92" i="12" s="1"/>
  <c r="G93" i="25"/>
  <c r="E92" i="39"/>
  <c r="G92" i="39" s="1"/>
  <c r="H92" i="39" s="1"/>
  <c r="I92" i="39" s="1"/>
  <c r="J92" i="39" s="1"/>
  <c r="I93" i="25" s="1"/>
  <c r="E162" i="12"/>
  <c r="G162" i="12" s="1"/>
  <c r="G163" i="25"/>
  <c r="E162" i="39"/>
  <c r="G162" i="39" s="1"/>
  <c r="H162" i="39" s="1"/>
  <c r="I162" i="39" s="1"/>
  <c r="J162" i="39" s="1"/>
  <c r="I163" i="25" s="1"/>
  <c r="E150" i="39"/>
  <c r="G150" i="39" s="1"/>
  <c r="H150" i="39" s="1"/>
  <c r="I150" i="39" s="1"/>
  <c r="J150" i="39" s="1"/>
  <c r="I151" i="25" s="1"/>
  <c r="E150" i="12"/>
  <c r="G150" i="12" s="1"/>
  <c r="G151" i="25"/>
  <c r="G96" i="25"/>
  <c r="E95" i="12"/>
  <c r="G95" i="12" s="1"/>
  <c r="E95" i="39"/>
  <c r="G95" i="39" s="1"/>
  <c r="H95" i="39" s="1"/>
  <c r="I95" i="39" s="1"/>
  <c r="J95" i="39" s="1"/>
  <c r="I96" i="25" s="1"/>
  <c r="E252" i="39"/>
  <c r="G252" i="39" s="1"/>
  <c r="H252" i="39" s="1"/>
  <c r="I252" i="39" s="1"/>
  <c r="J252" i="39" s="1"/>
  <c r="I253" i="25" s="1"/>
  <c r="E252" i="12"/>
  <c r="G252" i="12" s="1"/>
  <c r="G253" i="25"/>
  <c r="E251" i="39"/>
  <c r="G251" i="39" s="1"/>
  <c r="H251" i="39" s="1"/>
  <c r="I251" i="39" s="1"/>
  <c r="J251" i="39" s="1"/>
  <c r="I252" i="25" s="1"/>
  <c r="G252" i="25"/>
  <c r="E251" i="12"/>
  <c r="G251" i="12" s="1"/>
  <c r="G219" i="25"/>
  <c r="E218" i="12"/>
  <c r="G218" i="12" s="1"/>
  <c r="E218" i="39"/>
  <c r="G218" i="39" s="1"/>
  <c r="H218" i="39" s="1"/>
  <c r="I218" i="39" s="1"/>
  <c r="J218" i="39" s="1"/>
  <c r="I219" i="25" s="1"/>
  <c r="G224" i="25"/>
  <c r="E223" i="12"/>
  <c r="G223" i="12" s="1"/>
  <c r="E223" i="39"/>
  <c r="G223" i="39" s="1"/>
  <c r="H223" i="39" s="1"/>
  <c r="I223" i="39" s="1"/>
  <c r="J223" i="39" s="1"/>
  <c r="I224" i="25" s="1"/>
  <c r="E297" i="39"/>
  <c r="G297" i="39" s="1"/>
  <c r="H297" i="39" s="1"/>
  <c r="I297" i="39" s="1"/>
  <c r="J297" i="39" s="1"/>
  <c r="I298" i="25" s="1"/>
  <c r="E297" i="12"/>
  <c r="G297" i="12" s="1"/>
  <c r="G298" i="25"/>
  <c r="G263" i="25"/>
  <c r="E262" i="12"/>
  <c r="G262" i="12" s="1"/>
  <c r="E262" i="39"/>
  <c r="G262" i="39" s="1"/>
  <c r="H262" i="39" s="1"/>
  <c r="I262" i="39" s="1"/>
  <c r="J262" i="39" s="1"/>
  <c r="I263" i="25" s="1"/>
  <c r="G76" i="25"/>
  <c r="E75" i="12"/>
  <c r="G75" i="12" s="1"/>
  <c r="E75" i="39"/>
  <c r="G75" i="39" s="1"/>
  <c r="H75" i="39" s="1"/>
  <c r="I75" i="39" s="1"/>
  <c r="J75" i="39" s="1"/>
  <c r="I76" i="25" s="1"/>
  <c r="E18" i="39"/>
  <c r="G18" i="39" s="1"/>
  <c r="H18" i="39" s="1"/>
  <c r="I18" i="39" s="1"/>
  <c r="J18" i="39" s="1"/>
  <c r="I19" i="25" s="1"/>
  <c r="E18" i="12"/>
  <c r="G18" i="12" s="1"/>
  <c r="G19" i="25"/>
  <c r="G288" i="25"/>
  <c r="E287" i="12"/>
  <c r="G287" i="12" s="1"/>
  <c r="E287" i="39"/>
  <c r="G287" i="39" s="1"/>
  <c r="H287" i="39" s="1"/>
  <c r="I287" i="39" s="1"/>
  <c r="J287" i="39" s="1"/>
  <c r="I288" i="25" s="1"/>
  <c r="E168" i="12"/>
  <c r="G168" i="12" s="1"/>
  <c r="E168" i="39"/>
  <c r="G168" i="39" s="1"/>
  <c r="H168" i="39" s="1"/>
  <c r="I168" i="39" s="1"/>
  <c r="J168" i="39" s="1"/>
  <c r="I169" i="25" s="1"/>
  <c r="G169" i="25"/>
  <c r="G157" i="25"/>
  <c r="E156" i="39"/>
  <c r="G156" i="39" s="1"/>
  <c r="H156" i="39" s="1"/>
  <c r="I156" i="39" s="1"/>
  <c r="J156" i="39" s="1"/>
  <c r="I157" i="25" s="1"/>
  <c r="E156" i="12"/>
  <c r="G156" i="12" s="1"/>
  <c r="E65" i="12"/>
  <c r="G65" i="12" s="1"/>
  <c r="E65" i="39"/>
  <c r="G65" i="39" s="1"/>
  <c r="H65" i="39" s="1"/>
  <c r="I65" i="39" s="1"/>
  <c r="J65" i="39" s="1"/>
  <c r="I66" i="25" s="1"/>
  <c r="G66" i="25"/>
  <c r="E79" i="39"/>
  <c r="G79" i="39" s="1"/>
  <c r="H79" i="39" s="1"/>
  <c r="I79" i="39" s="1"/>
  <c r="J79" i="39" s="1"/>
  <c r="I80" i="25" s="1"/>
  <c r="E79" i="12"/>
  <c r="G79" i="12" s="1"/>
  <c r="G80" i="25"/>
  <c r="E214" i="12"/>
  <c r="G214" i="12" s="1"/>
  <c r="E214" i="39"/>
  <c r="G214" i="39" s="1"/>
  <c r="H214" i="39" s="1"/>
  <c r="I214" i="39" s="1"/>
  <c r="J214" i="39" s="1"/>
  <c r="I215" i="25" s="1"/>
  <c r="G215" i="25"/>
  <c r="E141" i="39"/>
  <c r="G141" i="39" s="1"/>
  <c r="H141" i="39" s="1"/>
  <c r="I141" i="39" s="1"/>
  <c r="J141" i="39" s="1"/>
  <c r="I142" i="25" s="1"/>
  <c r="E141" i="12"/>
  <c r="G141" i="12" s="1"/>
  <c r="G142" i="25"/>
  <c r="E198" i="12"/>
  <c r="G198" i="12" s="1"/>
  <c r="E198" i="39"/>
  <c r="G198" i="39" s="1"/>
  <c r="H198" i="39" s="1"/>
  <c r="I198" i="39" s="1"/>
  <c r="J198" i="39" s="1"/>
  <c r="I199" i="25" s="1"/>
  <c r="G199" i="25"/>
  <c r="E52" i="39"/>
  <c r="G52" i="39" s="1"/>
  <c r="H52" i="39" s="1"/>
  <c r="I52" i="39" s="1"/>
  <c r="J52" i="39" s="1"/>
  <c r="I53" i="25" s="1"/>
  <c r="E52" i="12"/>
  <c r="G52" i="12" s="1"/>
  <c r="G53" i="25"/>
  <c r="E41" i="39"/>
  <c r="G41" i="39" s="1"/>
  <c r="H41" i="39" s="1"/>
  <c r="I41" i="39" s="1"/>
  <c r="J41" i="39" s="1"/>
  <c r="I42" i="25" s="1"/>
  <c r="G42" i="25"/>
  <c r="E41" i="12"/>
  <c r="G41" i="12" s="1"/>
  <c r="G285" i="25"/>
  <c r="E284" i="39"/>
  <c r="G284" i="39" s="1"/>
  <c r="H284" i="39" s="1"/>
  <c r="I284" i="39" s="1"/>
  <c r="J284" i="39" s="1"/>
  <c r="I285" i="25" s="1"/>
  <c r="E284" i="12"/>
  <c r="G284" i="12" s="1"/>
  <c r="E110" i="12"/>
  <c r="G110" i="12" s="1"/>
  <c r="E110" i="39"/>
  <c r="G110" i="39" s="1"/>
  <c r="H110" i="39" s="1"/>
  <c r="I110" i="39" s="1"/>
  <c r="J110" i="39" s="1"/>
  <c r="I111" i="25" s="1"/>
  <c r="G111" i="25"/>
  <c r="E27" i="12"/>
  <c r="G27" i="12" s="1"/>
  <c r="E27" i="39"/>
  <c r="G27" i="39" s="1"/>
  <c r="H27" i="39" s="1"/>
  <c r="I27" i="39" s="1"/>
  <c r="J27" i="39" s="1"/>
  <c r="I28" i="25" s="1"/>
  <c r="G28" i="25"/>
  <c r="E151" i="39"/>
  <c r="G151" i="39" s="1"/>
  <c r="H151" i="39" s="1"/>
  <c r="I151" i="39" s="1"/>
  <c r="J151" i="39" s="1"/>
  <c r="I152" i="25" s="1"/>
  <c r="G152" i="25"/>
  <c r="E151" i="12"/>
  <c r="G151" i="12" s="1"/>
  <c r="G271" i="25"/>
  <c r="E270" i="12"/>
  <c r="G270" i="12" s="1"/>
  <c r="E270" i="39"/>
  <c r="G270" i="39" s="1"/>
  <c r="H270" i="39" s="1"/>
  <c r="I270" i="39" s="1"/>
  <c r="J270" i="39" s="1"/>
  <c r="I271" i="25" s="1"/>
  <c r="E16" i="12"/>
  <c r="G16" i="12" s="1"/>
  <c r="G17" i="25"/>
  <c r="E16" i="39"/>
  <c r="G16" i="39" s="1"/>
  <c r="H16" i="39" s="1"/>
  <c r="I16" i="39" s="1"/>
  <c r="J16" i="39" s="1"/>
  <c r="I17" i="25" s="1"/>
  <c r="G177" i="25"/>
  <c r="E176" i="12"/>
  <c r="G176" i="12" s="1"/>
  <c r="E176" i="39"/>
  <c r="G176" i="39" s="1"/>
  <c r="H176" i="39" s="1"/>
  <c r="I176" i="39" s="1"/>
  <c r="J176" i="39" s="1"/>
  <c r="I177" i="25" s="1"/>
  <c r="G295" i="25"/>
  <c r="E294" i="39"/>
  <c r="G294" i="39" s="1"/>
  <c r="H294" i="39" s="1"/>
  <c r="I294" i="39" s="1"/>
  <c r="J294" i="39" s="1"/>
  <c r="I295" i="25" s="1"/>
  <c r="E294" i="12"/>
  <c r="G294" i="12" s="1"/>
  <c r="E240" i="12"/>
  <c r="G240" i="12" s="1"/>
  <c r="E240" i="39"/>
  <c r="G240" i="39" s="1"/>
  <c r="H240" i="39" s="1"/>
  <c r="I240" i="39" s="1"/>
  <c r="J240" i="39" s="1"/>
  <c r="I241" i="25" s="1"/>
  <c r="G241" i="25"/>
  <c r="E139" i="39"/>
  <c r="G139" i="39" s="1"/>
  <c r="H139" i="39" s="1"/>
  <c r="I139" i="39" s="1"/>
  <c r="J139" i="39" s="1"/>
  <c r="I140" i="25" s="1"/>
  <c r="E139" i="12"/>
  <c r="G139" i="12" s="1"/>
  <c r="G140" i="25"/>
  <c r="E48" i="12"/>
  <c r="G48" i="12" s="1"/>
  <c r="E48" i="39"/>
  <c r="G48" i="39" s="1"/>
  <c r="H48" i="39" s="1"/>
  <c r="I48" i="39" s="1"/>
  <c r="J48" i="39" s="1"/>
  <c r="I49" i="25" s="1"/>
  <c r="G49" i="25"/>
  <c r="E207" i="39"/>
  <c r="G207" i="39" s="1"/>
  <c r="H207" i="39" s="1"/>
  <c r="I207" i="39" s="1"/>
  <c r="J207" i="39" s="1"/>
  <c r="I208" i="25" s="1"/>
  <c r="E207" i="12"/>
  <c r="G207" i="12" s="1"/>
  <c r="G208" i="25"/>
  <c r="E108" i="12"/>
  <c r="G108" i="12" s="1"/>
  <c r="E108" i="39"/>
  <c r="G108" i="39" s="1"/>
  <c r="H108" i="39" s="1"/>
  <c r="I108" i="39" s="1"/>
  <c r="J108" i="39" s="1"/>
  <c r="I109" i="25" s="1"/>
  <c r="G109" i="25"/>
  <c r="E320" i="12"/>
  <c r="G320" i="12" s="1"/>
  <c r="G321" i="25"/>
  <c r="E320" i="39"/>
  <c r="G320" i="39" s="1"/>
  <c r="H320" i="39" s="1"/>
  <c r="I320" i="39" s="1"/>
  <c r="J320" i="39" s="1"/>
  <c r="I321" i="25" s="1"/>
  <c r="E144" i="39"/>
  <c r="G144" i="39" s="1"/>
  <c r="H144" i="39" s="1"/>
  <c r="I144" i="39" s="1"/>
  <c r="J144" i="39" s="1"/>
  <c r="I145" i="25" s="1"/>
  <c r="G145" i="25"/>
  <c r="E144" i="12"/>
  <c r="G144" i="12" s="1"/>
  <c r="E71" i="12"/>
  <c r="G71" i="12" s="1"/>
  <c r="G72" i="25"/>
  <c r="E71" i="39"/>
  <c r="G71" i="39" s="1"/>
  <c r="H71" i="39" s="1"/>
  <c r="I71" i="39" s="1"/>
  <c r="J71" i="39" s="1"/>
  <c r="I72" i="25" s="1"/>
  <c r="E279" i="39"/>
  <c r="G279" i="39" s="1"/>
  <c r="H279" i="39" s="1"/>
  <c r="I279" i="39" s="1"/>
  <c r="J279" i="39" s="1"/>
  <c r="I280" i="25" s="1"/>
  <c r="G280" i="25"/>
  <c r="E279" i="12"/>
  <c r="G279" i="12" s="1"/>
  <c r="E30" i="12"/>
  <c r="G30" i="12" s="1"/>
  <c r="G31" i="25"/>
  <c r="E30" i="39"/>
  <c r="G30" i="39" s="1"/>
  <c r="H30" i="39" s="1"/>
  <c r="I30" i="39" s="1"/>
  <c r="J30" i="39" s="1"/>
  <c r="I31" i="25" s="1"/>
  <c r="E263" i="39"/>
  <c r="G263" i="39" s="1"/>
  <c r="H263" i="39" s="1"/>
  <c r="I263" i="39" s="1"/>
  <c r="J263" i="39" s="1"/>
  <c r="I264" i="25" s="1"/>
  <c r="G264" i="25"/>
  <c r="E263" i="12"/>
  <c r="G263" i="12" s="1"/>
  <c r="G247" i="25"/>
  <c r="E246" i="39"/>
  <c r="G246" i="39" s="1"/>
  <c r="H246" i="39" s="1"/>
  <c r="I246" i="39" s="1"/>
  <c r="J246" i="39" s="1"/>
  <c r="I247" i="25" s="1"/>
  <c r="E246" i="12"/>
  <c r="G246" i="12" s="1"/>
  <c r="G269" i="25"/>
  <c r="E268" i="12"/>
  <c r="G268" i="12" s="1"/>
  <c r="E268" i="39"/>
  <c r="G268" i="39" s="1"/>
  <c r="H268" i="39" s="1"/>
  <c r="I268" i="39" s="1"/>
  <c r="J268" i="39" s="1"/>
  <c r="I269" i="25" s="1"/>
  <c r="G299" i="25"/>
  <c r="E298" i="39"/>
  <c r="G298" i="39" s="1"/>
  <c r="H298" i="39" s="1"/>
  <c r="I298" i="39" s="1"/>
  <c r="J298" i="39" s="1"/>
  <c r="I299" i="25" s="1"/>
  <c r="E298" i="12"/>
  <c r="G298" i="12" s="1"/>
  <c r="E140" i="12"/>
  <c r="G140" i="12" s="1"/>
  <c r="E140" i="39"/>
  <c r="G140" i="39" s="1"/>
  <c r="H140" i="39" s="1"/>
  <c r="I140" i="39" s="1"/>
  <c r="J140" i="39" s="1"/>
  <c r="I141" i="25" s="1"/>
  <c r="G141" i="25"/>
  <c r="G131" i="25"/>
  <c r="E130" i="12"/>
  <c r="G130" i="12" s="1"/>
  <c r="E130" i="39"/>
  <c r="G130" i="39" s="1"/>
  <c r="H130" i="39" s="1"/>
  <c r="I130" i="39" s="1"/>
  <c r="J130" i="39" s="1"/>
  <c r="I131" i="25" s="1"/>
  <c r="G237" i="25"/>
  <c r="E236" i="39"/>
  <c r="G236" i="39" s="1"/>
  <c r="H236" i="39" s="1"/>
  <c r="I236" i="39" s="1"/>
  <c r="J236" i="39" s="1"/>
  <c r="I237" i="25" s="1"/>
  <c r="E236" i="12"/>
  <c r="G236" i="12" s="1"/>
  <c r="G44" i="25"/>
  <c r="E43" i="39"/>
  <c r="G43" i="39" s="1"/>
  <c r="H43" i="39" s="1"/>
  <c r="I43" i="39" s="1"/>
  <c r="J43" i="39" s="1"/>
  <c r="I44" i="25" s="1"/>
  <c r="E43" i="12"/>
  <c r="G43" i="12" s="1"/>
  <c r="E290" i="12"/>
  <c r="G290" i="12" s="1"/>
  <c r="G291" i="25"/>
  <c r="E290" i="39"/>
  <c r="G290" i="39" s="1"/>
  <c r="H290" i="39" s="1"/>
  <c r="I290" i="39" s="1"/>
  <c r="J290" i="39" s="1"/>
  <c r="I291" i="25" s="1"/>
  <c r="E217" i="39"/>
  <c r="G217" i="39" s="1"/>
  <c r="H217" i="39" s="1"/>
  <c r="I217" i="39" s="1"/>
  <c r="J217" i="39" s="1"/>
  <c r="I218" i="25" s="1"/>
  <c r="G218" i="25"/>
  <c r="E217" i="12"/>
  <c r="G217" i="12" s="1"/>
  <c r="G114" i="25"/>
  <c r="E113" i="12"/>
  <c r="G113" i="12" s="1"/>
  <c r="E113" i="39"/>
  <c r="G113" i="39" s="1"/>
  <c r="H113" i="39" s="1"/>
  <c r="I113" i="39" s="1"/>
  <c r="J113" i="39" s="1"/>
  <c r="I114" i="25" s="1"/>
  <c r="E143" i="12"/>
  <c r="G143" i="12" s="1"/>
  <c r="G144" i="25"/>
  <c r="E143" i="39"/>
  <c r="G143" i="39" s="1"/>
  <c r="H143" i="39" s="1"/>
  <c r="I143" i="39" s="1"/>
  <c r="J143" i="39" s="1"/>
  <c r="I144" i="25" s="1"/>
  <c r="E170" i="12"/>
  <c r="G170" i="12" s="1"/>
  <c r="G171" i="25"/>
  <c r="E170" i="39"/>
  <c r="G170" i="39" s="1"/>
  <c r="H170" i="39" s="1"/>
  <c r="I170" i="39" s="1"/>
  <c r="J170" i="39" s="1"/>
  <c r="I171" i="25" s="1"/>
  <c r="C4" i="34"/>
  <c r="C10" i="34" s="1"/>
  <c r="G156" i="25"/>
  <c r="E155" i="39"/>
  <c r="G155" i="39" s="1"/>
  <c r="H155" i="39" s="1"/>
  <c r="I155" i="39" s="1"/>
  <c r="J155" i="39" s="1"/>
  <c r="I156" i="25" s="1"/>
  <c r="E155" i="12"/>
  <c r="G155" i="12" s="1"/>
  <c r="E179" i="39"/>
  <c r="G179" i="39" s="1"/>
  <c r="H179" i="39" s="1"/>
  <c r="I179" i="39" s="1"/>
  <c r="J179" i="39" s="1"/>
  <c r="I180" i="25" s="1"/>
  <c r="G180" i="25"/>
  <c r="E179" i="12"/>
  <c r="G179" i="12" s="1"/>
  <c r="G200" i="25"/>
  <c r="E199" i="12"/>
  <c r="G199" i="12" s="1"/>
  <c r="E199" i="39"/>
  <c r="G199" i="39" s="1"/>
  <c r="H199" i="39" s="1"/>
  <c r="I199" i="39" s="1"/>
  <c r="J199" i="39" s="1"/>
  <c r="I200" i="25" s="1"/>
  <c r="E100" i="39"/>
  <c r="G100" i="39" s="1"/>
  <c r="H100" i="39" s="1"/>
  <c r="I100" i="39" s="1"/>
  <c r="J100" i="39" s="1"/>
  <c r="I101" i="25" s="1"/>
  <c r="G101" i="25"/>
  <c r="E100" i="12"/>
  <c r="G100" i="12" s="1"/>
  <c r="E266" i="12"/>
  <c r="G266" i="12" s="1"/>
  <c r="E266" i="39"/>
  <c r="G266" i="39" s="1"/>
  <c r="H266" i="39" s="1"/>
  <c r="I266" i="39" s="1"/>
  <c r="J266" i="39" s="1"/>
  <c r="I267" i="25" s="1"/>
  <c r="G267" i="25"/>
  <c r="E221" i="39"/>
  <c r="G221" i="39" s="1"/>
  <c r="H221" i="39" s="1"/>
  <c r="I221" i="39" s="1"/>
  <c r="J221" i="39" s="1"/>
  <c r="I222" i="25" s="1"/>
  <c r="E221" i="12"/>
  <c r="G221" i="12" s="1"/>
  <c r="G222" i="25"/>
  <c r="G259" i="25"/>
  <c r="E258" i="12"/>
  <c r="G258" i="12" s="1"/>
  <c r="E258" i="39"/>
  <c r="G258" i="39" s="1"/>
  <c r="H258" i="39" s="1"/>
  <c r="I258" i="39" s="1"/>
  <c r="J258" i="39" s="1"/>
  <c r="I259" i="25" s="1"/>
  <c r="E247" i="12"/>
  <c r="G247" i="12" s="1"/>
  <c r="E247" i="39"/>
  <c r="G247" i="39" s="1"/>
  <c r="H247" i="39" s="1"/>
  <c r="I247" i="39" s="1"/>
  <c r="J247" i="39" s="1"/>
  <c r="I248" i="25" s="1"/>
  <c r="G248" i="25"/>
  <c r="G135" i="25"/>
  <c r="E134" i="12"/>
  <c r="G134" i="12" s="1"/>
  <c r="E134" i="39"/>
  <c r="G134" i="39" s="1"/>
  <c r="H134" i="39" s="1"/>
  <c r="I134" i="39" s="1"/>
  <c r="J134" i="39" s="1"/>
  <c r="I135" i="25" s="1"/>
  <c r="E34" i="12"/>
  <c r="G34" i="12" s="1"/>
  <c r="G35" i="25"/>
  <c r="E34" i="39"/>
  <c r="G34" i="39" s="1"/>
  <c r="H34" i="39" s="1"/>
  <c r="I34" i="39" s="1"/>
  <c r="J34" i="39" s="1"/>
  <c r="I35" i="25" s="1"/>
  <c r="E201" i="39"/>
  <c r="G201" i="39" s="1"/>
  <c r="H201" i="39" s="1"/>
  <c r="I201" i="39" s="1"/>
  <c r="J201" i="39" s="1"/>
  <c r="I202" i="25" s="1"/>
  <c r="G202" i="25"/>
  <c r="E201" i="12"/>
  <c r="G201" i="12" s="1"/>
  <c r="G87" i="25"/>
  <c r="E86" i="39"/>
  <c r="G86" i="39" s="1"/>
  <c r="H86" i="39" s="1"/>
  <c r="I86" i="39" s="1"/>
  <c r="J86" i="39" s="1"/>
  <c r="I87" i="25" s="1"/>
  <c r="E86" i="12"/>
  <c r="G86" i="12" s="1"/>
  <c r="G211" i="25"/>
  <c r="E210" i="12"/>
  <c r="G210" i="12" s="1"/>
  <c r="E210" i="39"/>
  <c r="G210" i="39" s="1"/>
  <c r="H210" i="39" s="1"/>
  <c r="I210" i="39" s="1"/>
  <c r="J210" i="39" s="1"/>
  <c r="I211" i="25" s="1"/>
  <c r="G88" i="25"/>
  <c r="E87" i="12"/>
  <c r="G87" i="12" s="1"/>
  <c r="E87" i="39"/>
  <c r="G87" i="39" s="1"/>
  <c r="H87" i="39" s="1"/>
  <c r="I87" i="39" s="1"/>
  <c r="J87" i="39" s="1"/>
  <c r="I88" i="25" s="1"/>
  <c r="G69" i="25"/>
  <c r="E68" i="39"/>
  <c r="G68" i="39" s="1"/>
  <c r="H68" i="39" s="1"/>
  <c r="I68" i="39" s="1"/>
  <c r="J68" i="39" s="1"/>
  <c r="I69" i="25" s="1"/>
  <c r="E68" i="12"/>
  <c r="G68" i="12" s="1"/>
  <c r="E275" i="39"/>
  <c r="G275" i="39" s="1"/>
  <c r="H275" i="39" s="1"/>
  <c r="I275" i="39" s="1"/>
  <c r="J275" i="39" s="1"/>
  <c r="I276" i="25" s="1"/>
  <c r="E275" i="12"/>
  <c r="G275" i="12" s="1"/>
  <c r="G276" i="25"/>
  <c r="G85" i="25"/>
  <c r="E84" i="39"/>
  <c r="G84" i="39" s="1"/>
  <c r="H84" i="39" s="1"/>
  <c r="I84" i="39" s="1"/>
  <c r="J84" i="39" s="1"/>
  <c r="I85" i="25" s="1"/>
  <c r="E84" i="12"/>
  <c r="G84" i="12" s="1"/>
  <c r="G184" i="25"/>
  <c r="E183" i="39"/>
  <c r="G183" i="39" s="1"/>
  <c r="H183" i="39" s="1"/>
  <c r="I183" i="39" s="1"/>
  <c r="J183" i="39" s="1"/>
  <c r="I184" i="25" s="1"/>
  <c r="E183" i="12"/>
  <c r="G183" i="12" s="1"/>
  <c r="E259" i="12"/>
  <c r="G259" i="12" s="1"/>
  <c r="G260" i="25"/>
  <c r="E259" i="39"/>
  <c r="G259" i="39" s="1"/>
  <c r="H259" i="39" s="1"/>
  <c r="I259" i="39" s="1"/>
  <c r="J259" i="39" s="1"/>
  <c r="I260" i="25" s="1"/>
  <c r="E185" i="39"/>
  <c r="G185" i="39" s="1"/>
  <c r="H185" i="39" s="1"/>
  <c r="I185" i="39" s="1"/>
  <c r="J185" i="39" s="1"/>
  <c r="I186" i="25" s="1"/>
  <c r="G186" i="25"/>
  <c r="E185" i="12"/>
  <c r="G185" i="12" s="1"/>
  <c r="E239" i="12"/>
  <c r="G239" i="12" s="1"/>
  <c r="E239" i="39"/>
  <c r="G239" i="39" s="1"/>
  <c r="H239" i="39" s="1"/>
  <c r="I239" i="39" s="1"/>
  <c r="J239" i="39" s="1"/>
  <c r="I240" i="25" s="1"/>
  <c r="G240" i="25"/>
  <c r="E321" i="39"/>
  <c r="G321" i="39" s="1"/>
  <c r="H321" i="39" s="1"/>
  <c r="I321" i="39" s="1"/>
  <c r="J321" i="39" s="1"/>
  <c r="I322" i="25" s="1"/>
  <c r="G322" i="25"/>
  <c r="E321" i="12"/>
  <c r="G321" i="12" s="1"/>
  <c r="E190" i="39"/>
  <c r="G190" i="39" s="1"/>
  <c r="H190" i="39" s="1"/>
  <c r="I190" i="39" s="1"/>
  <c r="J190" i="39" s="1"/>
  <c r="I191" i="25" s="1"/>
  <c r="G191" i="25"/>
  <c r="E190" i="12"/>
  <c r="G190" i="12" s="1"/>
  <c r="E66" i="12"/>
  <c r="G66" i="12" s="1"/>
  <c r="G67" i="25"/>
  <c r="E66" i="39"/>
  <c r="G66" i="39" s="1"/>
  <c r="H66" i="39" s="1"/>
  <c r="I66" i="39" s="1"/>
  <c r="J66" i="39" s="1"/>
  <c r="I67" i="25" s="1"/>
  <c r="G59" i="25"/>
  <c r="E58" i="39"/>
  <c r="G58" i="39" s="1"/>
  <c r="H58" i="39" s="1"/>
  <c r="I58" i="39" s="1"/>
  <c r="J58" i="39" s="1"/>
  <c r="I59" i="25" s="1"/>
  <c r="E58" i="12"/>
  <c r="G58" i="12" s="1"/>
  <c r="E24" i="12"/>
  <c r="G24" i="12" s="1"/>
  <c r="E24" i="39"/>
  <c r="G24" i="39" s="1"/>
  <c r="H24" i="39" s="1"/>
  <c r="I24" i="39" s="1"/>
  <c r="J24" i="39" s="1"/>
  <c r="I25" i="25" s="1"/>
  <c r="G25" i="25"/>
  <c r="G279" i="25"/>
  <c r="E278" i="39"/>
  <c r="G278" i="39" s="1"/>
  <c r="H278" i="39" s="1"/>
  <c r="I278" i="39" s="1"/>
  <c r="J278" i="39" s="1"/>
  <c r="I279" i="25" s="1"/>
  <c r="E278" i="12"/>
  <c r="G278" i="12" s="1"/>
  <c r="E174" i="39"/>
  <c r="G174" i="39" s="1"/>
  <c r="H174" i="39" s="1"/>
  <c r="I174" i="39" s="1"/>
  <c r="J174" i="39" s="1"/>
  <c r="I175" i="25" s="1"/>
  <c r="E174" i="12"/>
  <c r="G174" i="12" s="1"/>
  <c r="G175" i="25"/>
  <c r="G301" i="25"/>
  <c r="E300" i="12"/>
  <c r="G300" i="12" s="1"/>
  <c r="E300" i="39"/>
  <c r="G300" i="39" s="1"/>
  <c r="H300" i="39" s="1"/>
  <c r="I300" i="39" s="1"/>
  <c r="J300" i="39" s="1"/>
  <c r="I301" i="25" s="1"/>
  <c r="E269" i="12"/>
  <c r="G269" i="12" s="1"/>
  <c r="G270" i="25"/>
  <c r="E269" i="39"/>
  <c r="G269" i="39" s="1"/>
  <c r="H269" i="39" s="1"/>
  <c r="I269" i="39" s="1"/>
  <c r="J269" i="39" s="1"/>
  <c r="I270" i="25" s="1"/>
  <c r="E285" i="39"/>
  <c r="G285" i="39" s="1"/>
  <c r="H285" i="39" s="1"/>
  <c r="I285" i="39" s="1"/>
  <c r="J285" i="39" s="1"/>
  <c r="I286" i="25" s="1"/>
  <c r="E285" i="12"/>
  <c r="G285" i="12" s="1"/>
  <c r="G286" i="25"/>
  <c r="G249" i="25"/>
  <c r="E248" i="39"/>
  <c r="G248" i="39" s="1"/>
  <c r="H248" i="39" s="1"/>
  <c r="I248" i="39" s="1"/>
  <c r="J248" i="39" s="1"/>
  <c r="I249" i="25" s="1"/>
  <c r="E248" i="12"/>
  <c r="G248" i="12" s="1"/>
  <c r="G311" i="25"/>
  <c r="E310" i="39"/>
  <c r="G310" i="39" s="1"/>
  <c r="H310" i="39" s="1"/>
  <c r="I310" i="39" s="1"/>
  <c r="J310" i="39" s="1"/>
  <c r="I311" i="25" s="1"/>
  <c r="E310" i="12"/>
  <c r="G310" i="12" s="1"/>
  <c r="E245" i="12"/>
  <c r="G245" i="12" s="1"/>
  <c r="E245" i="39"/>
  <c r="G245" i="39" s="1"/>
  <c r="H245" i="39" s="1"/>
  <c r="I245" i="39" s="1"/>
  <c r="J245" i="39" s="1"/>
  <c r="I246" i="25" s="1"/>
  <c r="G246" i="25"/>
  <c r="G86" i="25"/>
  <c r="E85" i="12"/>
  <c r="G85" i="12" s="1"/>
  <c r="E85" i="39"/>
  <c r="G85" i="39" s="1"/>
  <c r="H85" i="39" s="1"/>
  <c r="I85" i="39" s="1"/>
  <c r="J85" i="39" s="1"/>
  <c r="I86" i="25" s="1"/>
  <c r="E241" i="39"/>
  <c r="G241" i="39" s="1"/>
  <c r="H241" i="39" s="1"/>
  <c r="I241" i="39" s="1"/>
  <c r="J241" i="39" s="1"/>
  <c r="I242" i="25" s="1"/>
  <c r="G242" i="25"/>
  <c r="E241" i="12"/>
  <c r="G241" i="12" s="1"/>
  <c r="E32" i="12"/>
  <c r="G32" i="12" s="1"/>
  <c r="E32" i="39"/>
  <c r="G32" i="39" s="1"/>
  <c r="H32" i="39" s="1"/>
  <c r="I32" i="39" s="1"/>
  <c r="J32" i="39" s="1"/>
  <c r="I33" i="25" s="1"/>
  <c r="G33" i="25"/>
  <c r="E243" i="12"/>
  <c r="G243" i="12" s="1"/>
  <c r="E243" i="39"/>
  <c r="G243" i="39" s="1"/>
  <c r="H243" i="39" s="1"/>
  <c r="I243" i="39" s="1"/>
  <c r="J243" i="39" s="1"/>
  <c r="I244" i="25" s="1"/>
  <c r="G244" i="25"/>
  <c r="E90" i="12"/>
  <c r="G90" i="12" s="1"/>
  <c r="G91" i="25"/>
  <c r="E90" i="39"/>
  <c r="G90" i="39" s="1"/>
  <c r="H90" i="39" s="1"/>
  <c r="I90" i="39" s="1"/>
  <c r="J90" i="39" s="1"/>
  <c r="I91" i="25" s="1"/>
  <c r="E147" i="12"/>
  <c r="G147" i="12" s="1"/>
  <c r="G148" i="25"/>
  <c r="E147" i="39"/>
  <c r="G147" i="39" s="1"/>
  <c r="H147" i="39" s="1"/>
  <c r="I147" i="39" s="1"/>
  <c r="J147" i="39" s="1"/>
  <c r="I148" i="25" s="1"/>
  <c r="E126" i="39"/>
  <c r="G126" i="39" s="1"/>
  <c r="H126" i="39" s="1"/>
  <c r="I126" i="39" s="1"/>
  <c r="J126" i="39" s="1"/>
  <c r="I127" i="25" s="1"/>
  <c r="G127" i="25"/>
  <c r="E126" i="12"/>
  <c r="G126" i="12" s="1"/>
  <c r="E112" i="12"/>
  <c r="G112" i="12" s="1"/>
  <c r="E112" i="39"/>
  <c r="G112" i="39" s="1"/>
  <c r="H112" i="39" s="1"/>
  <c r="I112" i="39" s="1"/>
  <c r="J112" i="39" s="1"/>
  <c r="I113" i="25" s="1"/>
  <c r="G113" i="25"/>
  <c r="E138" i="12"/>
  <c r="G138" i="12" s="1"/>
  <c r="G139" i="25"/>
  <c r="E138" i="39"/>
  <c r="G138" i="39" s="1"/>
  <c r="H138" i="39" s="1"/>
  <c r="I138" i="39" s="1"/>
  <c r="J138" i="39" s="1"/>
  <c r="I139" i="25" s="1"/>
  <c r="E63" i="12"/>
  <c r="G63" i="12" s="1"/>
  <c r="E63" i="39"/>
  <c r="G63" i="39" s="1"/>
  <c r="H63" i="39" s="1"/>
  <c r="I63" i="39" s="1"/>
  <c r="J63" i="39" s="1"/>
  <c r="I64" i="25" s="1"/>
  <c r="G64" i="25"/>
  <c r="G90" i="25"/>
  <c r="E89" i="12"/>
  <c r="G89" i="12" s="1"/>
  <c r="E89" i="39"/>
  <c r="G89" i="39" s="1"/>
  <c r="H89" i="39" s="1"/>
  <c r="I89" i="39" s="1"/>
  <c r="J89" i="39" s="1"/>
  <c r="I90" i="25" s="1"/>
  <c r="E142" i="12"/>
  <c r="G142" i="12" s="1"/>
  <c r="E142" i="39"/>
  <c r="G142" i="39" s="1"/>
  <c r="H142" i="39" s="1"/>
  <c r="I142" i="39" s="1"/>
  <c r="J142" i="39" s="1"/>
  <c r="I143" i="25" s="1"/>
  <c r="G143" i="25"/>
  <c r="G193" i="25"/>
  <c r="E192" i="39"/>
  <c r="G192" i="39" s="1"/>
  <c r="H192" i="39" s="1"/>
  <c r="I192" i="39" s="1"/>
  <c r="J192" i="39" s="1"/>
  <c r="I193" i="25" s="1"/>
  <c r="E192" i="12"/>
  <c r="G192" i="12" s="1"/>
  <c r="E253" i="12"/>
  <c r="G253" i="12" s="1"/>
  <c r="E253" i="39"/>
  <c r="G253" i="39" s="1"/>
  <c r="H253" i="39" s="1"/>
  <c r="I253" i="39" s="1"/>
  <c r="J253" i="39" s="1"/>
  <c r="I254" i="25" s="1"/>
  <c r="G254" i="25"/>
  <c r="G26" i="25"/>
  <c r="E25" i="12"/>
  <c r="G25" i="12" s="1"/>
  <c r="E25" i="39"/>
  <c r="G25" i="39" s="1"/>
  <c r="H25" i="39" s="1"/>
  <c r="I25" i="39" s="1"/>
  <c r="J25" i="39" s="1"/>
  <c r="I26" i="25" s="1"/>
  <c r="E194" i="12"/>
  <c r="G194" i="12" s="1"/>
  <c r="G195" i="25"/>
  <c r="E194" i="39"/>
  <c r="G194" i="39" s="1"/>
  <c r="H194" i="39" s="1"/>
  <c r="I194" i="39" s="1"/>
  <c r="J194" i="39" s="1"/>
  <c r="I195" i="25" s="1"/>
  <c r="E303" i="39"/>
  <c r="G303" i="39" s="1"/>
  <c r="H303" i="39" s="1"/>
  <c r="I303" i="39" s="1"/>
  <c r="J303" i="39" s="1"/>
  <c r="I304" i="25" s="1"/>
  <c r="G304" i="25"/>
  <c r="E303" i="12"/>
  <c r="G303" i="12" s="1"/>
  <c r="E209" i="39"/>
  <c r="G209" i="39" s="1"/>
  <c r="H209" i="39" s="1"/>
  <c r="I209" i="39" s="1"/>
  <c r="J209" i="39" s="1"/>
  <c r="I210" i="25" s="1"/>
  <c r="G210" i="25"/>
  <c r="E209" i="12"/>
  <c r="G209" i="12" s="1"/>
  <c r="E8" i="12"/>
  <c r="G8" i="12" s="1"/>
  <c r="G9" i="25"/>
  <c r="E8" i="39"/>
  <c r="G8" i="39" s="1"/>
  <c r="H8" i="39" s="1"/>
  <c r="I8" i="39" s="1"/>
  <c r="J8" i="39" s="1"/>
  <c r="I9" i="25" s="1"/>
  <c r="G317" i="25"/>
  <c r="E316" i="39"/>
  <c r="G316" i="39" s="1"/>
  <c r="H316" i="39" s="1"/>
  <c r="I316" i="39" s="1"/>
  <c r="J316" i="39" s="1"/>
  <c r="I317" i="25" s="1"/>
  <c r="E316" i="12"/>
  <c r="G316" i="12" s="1"/>
  <c r="E296" i="39"/>
  <c r="G296" i="39" s="1"/>
  <c r="H296" i="39" s="1"/>
  <c r="I296" i="39" s="1"/>
  <c r="J296" i="39" s="1"/>
  <c r="I297" i="25" s="1"/>
  <c r="E296" i="12"/>
  <c r="G296" i="12" s="1"/>
  <c r="G297" i="25"/>
  <c r="E191" i="12"/>
  <c r="G191" i="12" s="1"/>
  <c r="G192" i="25"/>
  <c r="E191" i="39"/>
  <c r="G191" i="39" s="1"/>
  <c r="H191" i="39" s="1"/>
  <c r="I191" i="39" s="1"/>
  <c r="J191" i="39" s="1"/>
  <c r="I192" i="25" s="1"/>
  <c r="E161" i="12"/>
  <c r="G161" i="12" s="1"/>
  <c r="G162" i="25"/>
  <c r="E161" i="39"/>
  <c r="G161" i="39" s="1"/>
  <c r="H161" i="39" s="1"/>
  <c r="I161" i="39" s="1"/>
  <c r="J161" i="39" s="1"/>
  <c r="I162" i="25" s="1"/>
  <c r="E256" i="12"/>
  <c r="G256" i="12" s="1"/>
  <c r="E256" i="39"/>
  <c r="G256" i="39" s="1"/>
  <c r="H256" i="39" s="1"/>
  <c r="I256" i="39" s="1"/>
  <c r="J256" i="39" s="1"/>
  <c r="I257" i="25" s="1"/>
  <c r="G257" i="25"/>
  <c r="G40" i="25"/>
  <c r="E39" i="39"/>
  <c r="G39" i="39" s="1"/>
  <c r="H39" i="39" s="1"/>
  <c r="I39" i="39" s="1"/>
  <c r="J39" i="39" s="1"/>
  <c r="I40" i="25" s="1"/>
  <c r="E39" i="12"/>
  <c r="G39" i="12" s="1"/>
  <c r="G154" i="25"/>
  <c r="E153" i="39"/>
  <c r="G153" i="39" s="1"/>
  <c r="H153" i="39" s="1"/>
  <c r="I153" i="39" s="1"/>
  <c r="J153" i="39" s="1"/>
  <c r="I154" i="25" s="1"/>
  <c r="E153" i="12"/>
  <c r="G153" i="12" s="1"/>
  <c r="E99" i="39"/>
  <c r="G99" i="39" s="1"/>
  <c r="H99" i="39" s="1"/>
  <c r="I99" i="39" s="1"/>
  <c r="J99" i="39" s="1"/>
  <c r="I100" i="25" s="1"/>
  <c r="E99" i="12"/>
  <c r="G99" i="12" s="1"/>
  <c r="G100" i="25"/>
  <c r="E293" i="12"/>
  <c r="G293" i="12" s="1"/>
  <c r="E293" i="39"/>
  <c r="G293" i="39" s="1"/>
  <c r="H293" i="39" s="1"/>
  <c r="I293" i="39" s="1"/>
  <c r="J293" i="39" s="1"/>
  <c r="I294" i="25" s="1"/>
  <c r="G294" i="25"/>
  <c r="E120" i="39"/>
  <c r="G120" i="39" s="1"/>
  <c r="H120" i="39" s="1"/>
  <c r="I120" i="39" s="1"/>
  <c r="J120" i="39" s="1"/>
  <c r="I121" i="25" s="1"/>
  <c r="G121" i="25"/>
  <c r="E120" i="12"/>
  <c r="G120" i="12" s="1"/>
  <c r="E234" i="12"/>
  <c r="G234" i="12" s="1"/>
  <c r="E234" i="39"/>
  <c r="G234" i="39" s="1"/>
  <c r="H234" i="39" s="1"/>
  <c r="I234" i="39" s="1"/>
  <c r="J234" i="39" s="1"/>
  <c r="I235" i="25" s="1"/>
  <c r="G235" i="25"/>
  <c r="E51" i="12"/>
  <c r="G51" i="12" s="1"/>
  <c r="G52" i="25"/>
  <c r="E51" i="39"/>
  <c r="G51" i="39" s="1"/>
  <c r="H51" i="39" s="1"/>
  <c r="I51" i="39" s="1"/>
  <c r="J51" i="39" s="1"/>
  <c r="I52" i="25" s="1"/>
  <c r="E187" i="12"/>
  <c r="G187" i="12" s="1"/>
  <c r="G188" i="25"/>
  <c r="E187" i="39"/>
  <c r="G187" i="39" s="1"/>
  <c r="H187" i="39" s="1"/>
  <c r="I187" i="39" s="1"/>
  <c r="J187" i="39" s="1"/>
  <c r="I188" i="25" s="1"/>
  <c r="E154" i="39"/>
  <c r="G154" i="39" s="1"/>
  <c r="H154" i="39" s="1"/>
  <c r="I154" i="39" s="1"/>
  <c r="J154" i="39" s="1"/>
  <c r="I155" i="25" s="1"/>
  <c r="E154" i="12"/>
  <c r="G154" i="12" s="1"/>
  <c r="G155" i="25"/>
  <c r="E81" i="39"/>
  <c r="G81" i="39" s="1"/>
  <c r="H81" i="39" s="1"/>
  <c r="I81" i="39" s="1"/>
  <c r="J81" i="39" s="1"/>
  <c r="I82" i="25" s="1"/>
  <c r="G82" i="25"/>
  <c r="E81" i="12"/>
  <c r="G81" i="12" s="1"/>
  <c r="E212" i="39"/>
  <c r="G212" i="39" s="1"/>
  <c r="H212" i="39" s="1"/>
  <c r="I212" i="39" s="1"/>
  <c r="J212" i="39" s="1"/>
  <c r="I213" i="25" s="1"/>
  <c r="G213" i="25"/>
  <c r="E212" i="12"/>
  <c r="G212" i="12" s="1"/>
  <c r="G261" i="25"/>
  <c r="E260" i="39"/>
  <c r="G260" i="39" s="1"/>
  <c r="H260" i="39" s="1"/>
  <c r="I260" i="39" s="1"/>
  <c r="J260" i="39" s="1"/>
  <c r="I261" i="25" s="1"/>
  <c r="E260" i="12"/>
  <c r="G260" i="12" s="1"/>
  <c r="E118" i="39"/>
  <c r="G118" i="39" s="1"/>
  <c r="H118" i="39" s="1"/>
  <c r="I118" i="39" s="1"/>
  <c r="J118" i="39" s="1"/>
  <c r="I119" i="25" s="1"/>
  <c r="E118" i="12"/>
  <c r="G118" i="12" s="1"/>
  <c r="G119" i="25"/>
  <c r="E249" i="39"/>
  <c r="G249" i="39" s="1"/>
  <c r="H249" i="39" s="1"/>
  <c r="I249" i="39" s="1"/>
  <c r="J249" i="39" s="1"/>
  <c r="I250" i="25" s="1"/>
  <c r="G250" i="25"/>
  <c r="E249" i="12"/>
  <c r="G249" i="12" s="1"/>
  <c r="G190" i="25"/>
  <c r="E189" i="39"/>
  <c r="G189" i="39" s="1"/>
  <c r="H189" i="39" s="1"/>
  <c r="I189" i="39" s="1"/>
  <c r="J189" i="39" s="1"/>
  <c r="I190" i="25" s="1"/>
  <c r="E189" i="12"/>
  <c r="G189" i="12" s="1"/>
  <c r="G198" i="25"/>
  <c r="E197" i="39"/>
  <c r="G197" i="39" s="1"/>
  <c r="H197" i="39" s="1"/>
  <c r="I197" i="39" s="1"/>
  <c r="J197" i="39" s="1"/>
  <c r="I198" i="25" s="1"/>
  <c r="E197" i="12"/>
  <c r="G197" i="12" s="1"/>
  <c r="G278" i="25"/>
  <c r="E277" i="12"/>
  <c r="G277" i="12" s="1"/>
  <c r="E277" i="39"/>
  <c r="G277" i="39" s="1"/>
  <c r="H277" i="39" s="1"/>
  <c r="I277" i="39" s="1"/>
  <c r="J277" i="39" s="1"/>
  <c r="I278" i="25" s="1"/>
  <c r="E62" i="12"/>
  <c r="G62" i="12" s="1"/>
  <c r="G63" i="25"/>
  <c r="E62" i="39"/>
  <c r="G62" i="39" s="1"/>
  <c r="H62" i="39" s="1"/>
  <c r="I62" i="39" s="1"/>
  <c r="J62" i="39" s="1"/>
  <c r="I63" i="25" s="1"/>
  <c r="E167" i="39"/>
  <c r="G167" i="39" s="1"/>
  <c r="H167" i="39" s="1"/>
  <c r="I167" i="39" s="1"/>
  <c r="J167" i="39" s="1"/>
  <c r="I168" i="25" s="1"/>
  <c r="E167" i="12"/>
  <c r="G167" i="12" s="1"/>
  <c r="G168" i="25"/>
  <c r="E121" i="39"/>
  <c r="G121" i="39" s="1"/>
  <c r="H121" i="39" s="1"/>
  <c r="I121" i="39" s="1"/>
  <c r="J121" i="39" s="1"/>
  <c r="I122" i="25" s="1"/>
  <c r="E121" i="12"/>
  <c r="G121" i="12" s="1"/>
  <c r="G122" i="25"/>
  <c r="E211" i="12"/>
  <c r="G211" i="12" s="1"/>
  <c r="G212" i="25"/>
  <c r="E211" i="39"/>
  <c r="G211" i="39" s="1"/>
  <c r="H211" i="39" s="1"/>
  <c r="I211" i="39" s="1"/>
  <c r="J211" i="39" s="1"/>
  <c r="I212" i="25" s="1"/>
  <c r="G275" i="25"/>
  <c r="E274" i="39"/>
  <c r="G274" i="39" s="1"/>
  <c r="H274" i="39" s="1"/>
  <c r="I274" i="39" s="1"/>
  <c r="J274" i="39" s="1"/>
  <c r="I275" i="25" s="1"/>
  <c r="E274" i="12"/>
  <c r="G274" i="12" s="1"/>
  <c r="E286" i="12"/>
  <c r="G286" i="12" s="1"/>
  <c r="G287" i="25"/>
  <c r="E286" i="39"/>
  <c r="G286" i="39" s="1"/>
  <c r="H286" i="39" s="1"/>
  <c r="I286" i="39" s="1"/>
  <c r="J286" i="39" s="1"/>
  <c r="I287" i="25" s="1"/>
  <c r="E255" i="39"/>
  <c r="G255" i="39" s="1"/>
  <c r="H255" i="39" s="1"/>
  <c r="I255" i="39" s="1"/>
  <c r="J255" i="39" s="1"/>
  <c r="I256" i="25" s="1"/>
  <c r="G256" i="25"/>
  <c r="E255" i="12"/>
  <c r="G255" i="12" s="1"/>
  <c r="G214" i="25"/>
  <c r="E213" i="39"/>
  <c r="G213" i="39" s="1"/>
  <c r="H213" i="39" s="1"/>
  <c r="I213" i="39" s="1"/>
  <c r="J213" i="39" s="1"/>
  <c r="I214" i="25" s="1"/>
  <c r="E213" i="12"/>
  <c r="G213" i="12" s="1"/>
  <c r="E309" i="39"/>
  <c r="G309" i="39" s="1"/>
  <c r="H309" i="39" s="1"/>
  <c r="I309" i="39" s="1"/>
  <c r="J309" i="39" s="1"/>
  <c r="I310" i="25" s="1"/>
  <c r="G310" i="25"/>
  <c r="E309" i="12"/>
  <c r="G309" i="12" s="1"/>
  <c r="E36" i="12"/>
  <c r="G36" i="12" s="1"/>
  <c r="E36" i="39"/>
  <c r="G36" i="39" s="1"/>
  <c r="H36" i="39" s="1"/>
  <c r="I36" i="39" s="1"/>
  <c r="J36" i="39" s="1"/>
  <c r="I37" i="25" s="1"/>
  <c r="G37" i="25"/>
  <c r="G174" i="25"/>
  <c r="E173" i="12"/>
  <c r="G173" i="12" s="1"/>
  <c r="E173" i="39"/>
  <c r="G173" i="39" s="1"/>
  <c r="H173" i="39" s="1"/>
  <c r="I173" i="39" s="1"/>
  <c r="J173" i="39" s="1"/>
  <c r="I174" i="25" s="1"/>
  <c r="E74" i="39"/>
  <c r="G74" i="39" s="1"/>
  <c r="H74" i="39" s="1"/>
  <c r="I74" i="39" s="1"/>
  <c r="J74" i="39" s="1"/>
  <c r="I75" i="25" s="1"/>
  <c r="G75" i="25"/>
  <c r="E74" i="12"/>
  <c r="G74" i="12" s="1"/>
  <c r="G94" i="25"/>
  <c r="E93" i="12"/>
  <c r="G93" i="12" s="1"/>
  <c r="E93" i="39"/>
  <c r="G93" i="39" s="1"/>
  <c r="H93" i="39" s="1"/>
  <c r="I93" i="39" s="1"/>
  <c r="J93" i="39" s="1"/>
  <c r="I94" i="25" s="1"/>
  <c r="G262" i="25"/>
  <c r="E261" i="12"/>
  <c r="G261" i="12" s="1"/>
  <c r="E261" i="39"/>
  <c r="G261" i="39" s="1"/>
  <c r="H261" i="39" s="1"/>
  <c r="I261" i="39" s="1"/>
  <c r="J261" i="39" s="1"/>
  <c r="I262" i="25" s="1"/>
  <c r="G43" i="25"/>
  <c r="E42" i="39"/>
  <c r="G42" i="39" s="1"/>
  <c r="H42" i="39" s="1"/>
  <c r="I42" i="39" s="1"/>
  <c r="J42" i="39" s="1"/>
  <c r="I43" i="25" s="1"/>
  <c r="E42" i="12"/>
  <c r="G42" i="12" s="1"/>
  <c r="G272" i="25"/>
  <c r="E271" i="12"/>
  <c r="G271" i="12" s="1"/>
  <c r="E271" i="39"/>
  <c r="G271" i="39" s="1"/>
  <c r="H271" i="39" s="1"/>
  <c r="I271" i="39" s="1"/>
  <c r="J271" i="39" s="1"/>
  <c r="I272" i="25" s="1"/>
  <c r="E228" i="12"/>
  <c r="G228" i="12" s="1"/>
  <c r="G229" i="25"/>
  <c r="E228" i="39"/>
  <c r="G228" i="39" s="1"/>
  <c r="H228" i="39" s="1"/>
  <c r="I228" i="39" s="1"/>
  <c r="J228" i="39" s="1"/>
  <c r="I229" i="25" s="1"/>
  <c r="E106" i="12"/>
  <c r="G106" i="12" s="1"/>
  <c r="G107" i="25"/>
  <c r="E106" i="39"/>
  <c r="G106" i="39" s="1"/>
  <c r="H106" i="39" s="1"/>
  <c r="I106" i="39" s="1"/>
  <c r="J106" i="39" s="1"/>
  <c r="I107" i="25" s="1"/>
  <c r="G55" i="25"/>
  <c r="E54" i="12"/>
  <c r="G54" i="12" s="1"/>
  <c r="E54" i="39"/>
  <c r="G54" i="39" s="1"/>
  <c r="H54" i="39" s="1"/>
  <c r="I54" i="39" s="1"/>
  <c r="J54" i="39" s="1"/>
  <c r="I55" i="25" s="1"/>
  <c r="G136" i="25"/>
  <c r="E135" i="39"/>
  <c r="G135" i="39" s="1"/>
  <c r="H135" i="39" s="1"/>
  <c r="I135" i="39" s="1"/>
  <c r="J135" i="39" s="1"/>
  <c r="I136" i="25" s="1"/>
  <c r="E135" i="12"/>
  <c r="G135" i="12" s="1"/>
  <c r="E204" i="12"/>
  <c r="G204" i="12" s="1"/>
  <c r="E204" i="39"/>
  <c r="G204" i="39" s="1"/>
  <c r="H204" i="39" s="1"/>
  <c r="I204" i="39" s="1"/>
  <c r="J204" i="39" s="1"/>
  <c r="I205" i="25" s="1"/>
  <c r="G205" i="25"/>
  <c r="E230" i="39"/>
  <c r="G230" i="39" s="1"/>
  <c r="H230" i="39" s="1"/>
  <c r="I230" i="39" s="1"/>
  <c r="J230" i="39" s="1"/>
  <c r="I231" i="25" s="1"/>
  <c r="E230" i="12"/>
  <c r="G230" i="12" s="1"/>
  <c r="G231" i="25"/>
  <c r="E28" i="39"/>
  <c r="G28" i="39" s="1"/>
  <c r="H28" i="39" s="1"/>
  <c r="I28" i="39" s="1"/>
  <c r="J28" i="39" s="1"/>
  <c r="I29" i="25" s="1"/>
  <c r="E28" i="12"/>
  <c r="G28" i="12" s="1"/>
  <c r="G29" i="25"/>
  <c r="G315" i="25"/>
  <c r="E314" i="12"/>
  <c r="G314" i="12" s="1"/>
  <c r="E314" i="39"/>
  <c r="G314" i="39" s="1"/>
  <c r="H314" i="39" s="1"/>
  <c r="I314" i="39" s="1"/>
  <c r="J314" i="39" s="1"/>
  <c r="I315" i="25" s="1"/>
  <c r="E107" i="39"/>
  <c r="G107" i="39" s="1"/>
  <c r="H107" i="39" s="1"/>
  <c r="I107" i="39" s="1"/>
  <c r="J107" i="39" s="1"/>
  <c r="I108" i="25" s="1"/>
  <c r="E107" i="12"/>
  <c r="G107" i="12" s="1"/>
  <c r="G108" i="25"/>
  <c r="G134" i="25"/>
  <c r="E133" i="39"/>
  <c r="G133" i="39" s="1"/>
  <c r="H133" i="39" s="1"/>
  <c r="I133" i="39" s="1"/>
  <c r="J133" i="39" s="1"/>
  <c r="I134" i="25" s="1"/>
  <c r="E133" i="12"/>
  <c r="G133" i="12" s="1"/>
  <c r="E193" i="12"/>
  <c r="G193" i="12" s="1"/>
  <c r="G194" i="25"/>
  <c r="E193" i="39"/>
  <c r="G193" i="39" s="1"/>
  <c r="H193" i="39" s="1"/>
  <c r="I193" i="39" s="1"/>
  <c r="J193" i="39" s="1"/>
  <c r="I194" i="25" s="1"/>
  <c r="G313" i="25"/>
  <c r="E312" i="39"/>
  <c r="G312" i="39" s="1"/>
  <c r="H312" i="39" s="1"/>
  <c r="I312" i="39" s="1"/>
  <c r="J312" i="39" s="1"/>
  <c r="I313" i="25" s="1"/>
  <c r="E312" i="12"/>
  <c r="G312" i="12" s="1"/>
  <c r="E98" i="12"/>
  <c r="G98" i="12" s="1"/>
  <c r="E98" i="39"/>
  <c r="G98" i="39" s="1"/>
  <c r="H98" i="39" s="1"/>
  <c r="I98" i="39" s="1"/>
  <c r="J98" i="39" s="1"/>
  <c r="I99" i="25" s="1"/>
  <c r="G99" i="25"/>
  <c r="E195" i="12"/>
  <c r="G195" i="12" s="1"/>
  <c r="E195" i="39"/>
  <c r="G195" i="39" s="1"/>
  <c r="H195" i="39" s="1"/>
  <c r="I195" i="39" s="1"/>
  <c r="J195" i="39" s="1"/>
  <c r="I196" i="25" s="1"/>
  <c r="G196" i="25"/>
  <c r="E33" i="12"/>
  <c r="G33" i="12" s="1"/>
  <c r="E33" i="39"/>
  <c r="G33" i="39" s="1"/>
  <c r="H33" i="39" s="1"/>
  <c r="I33" i="39" s="1"/>
  <c r="J33" i="39" s="1"/>
  <c r="I34" i="25" s="1"/>
  <c r="G34" i="25"/>
  <c r="E136" i="39"/>
  <c r="G136" i="39" s="1"/>
  <c r="H136" i="39" s="1"/>
  <c r="I136" i="39" s="1"/>
  <c r="J136" i="39" s="1"/>
  <c r="I137" i="25" s="1"/>
  <c r="G137" i="25"/>
  <c r="E136" i="12"/>
  <c r="G136" i="12" s="1"/>
  <c r="G70" i="25"/>
  <c r="E69" i="39"/>
  <c r="G69" i="39" s="1"/>
  <c r="H69" i="39" s="1"/>
  <c r="I69" i="39" s="1"/>
  <c r="J69" i="39" s="1"/>
  <c r="I70" i="25" s="1"/>
  <c r="E69" i="12"/>
  <c r="G69" i="12" s="1"/>
  <c r="E227" i="39"/>
  <c r="G227" i="39" s="1"/>
  <c r="H227" i="39" s="1"/>
  <c r="I227" i="39" s="1"/>
  <c r="J227" i="39" s="1"/>
  <c r="I228" i="25" s="1"/>
  <c r="G228" i="25"/>
  <c r="E227" i="12"/>
  <c r="G227" i="12" s="1"/>
  <c r="E224" i="39"/>
  <c r="G224" i="39" s="1"/>
  <c r="H224" i="39" s="1"/>
  <c r="I224" i="39" s="1"/>
  <c r="J224" i="39" s="1"/>
  <c r="I225" i="25" s="1"/>
  <c r="G225" i="25"/>
  <c r="E224" i="12"/>
  <c r="G224" i="12" s="1"/>
  <c r="G245" i="25"/>
  <c r="E244" i="39"/>
  <c r="G244" i="39" s="1"/>
  <c r="H244" i="39" s="1"/>
  <c r="I244" i="39" s="1"/>
  <c r="J244" i="39" s="1"/>
  <c r="I245" i="25" s="1"/>
  <c r="E244" i="12"/>
  <c r="G244" i="12" s="1"/>
  <c r="E146" i="12"/>
  <c r="G146" i="12" s="1"/>
  <c r="E146" i="39"/>
  <c r="G146" i="39" s="1"/>
  <c r="H146" i="39" s="1"/>
  <c r="I146" i="39" s="1"/>
  <c r="J146" i="39" s="1"/>
  <c r="I147" i="25" s="1"/>
  <c r="G147" i="25"/>
  <c r="E122" i="12"/>
  <c r="G122" i="12" s="1"/>
  <c r="E122" i="39"/>
  <c r="G122" i="39" s="1"/>
  <c r="H122" i="39" s="1"/>
  <c r="I122" i="39" s="1"/>
  <c r="J122" i="39" s="1"/>
  <c r="I123" i="25" s="1"/>
  <c r="G123" i="25"/>
  <c r="E115" i="39"/>
  <c r="G115" i="39" s="1"/>
  <c r="H115" i="39" s="1"/>
  <c r="I115" i="39" s="1"/>
  <c r="J115" i="39" s="1"/>
  <c r="I116" i="25" s="1"/>
  <c r="E115" i="12"/>
  <c r="G115" i="12" s="1"/>
  <c r="G116" i="25"/>
  <c r="G187" i="25"/>
  <c r="E186" i="12"/>
  <c r="G186" i="12" s="1"/>
  <c r="E186" i="39"/>
  <c r="G186" i="39" s="1"/>
  <c r="H186" i="39" s="1"/>
  <c r="I186" i="39" s="1"/>
  <c r="J186" i="39" s="1"/>
  <c r="I187" i="25" s="1"/>
  <c r="G46" i="25"/>
  <c r="E45" i="12"/>
  <c r="G45" i="12" s="1"/>
  <c r="E45" i="39"/>
  <c r="G45" i="39" s="1"/>
  <c r="H45" i="39" s="1"/>
  <c r="I45" i="39" s="1"/>
  <c r="J45" i="39" s="1"/>
  <c r="I46" i="25" s="1"/>
  <c r="G203" i="25"/>
  <c r="E202" i="12"/>
  <c r="G202" i="12" s="1"/>
  <c r="E202" i="39"/>
  <c r="G202" i="39" s="1"/>
  <c r="H202" i="39" s="1"/>
  <c r="I202" i="39" s="1"/>
  <c r="J202" i="39" s="1"/>
  <c r="I203" i="25" s="1"/>
  <c r="E264" i="12"/>
  <c r="G264" i="12" s="1"/>
  <c r="E264" i="39"/>
  <c r="G264" i="39" s="1"/>
  <c r="H264" i="39" s="1"/>
  <c r="I264" i="39" s="1"/>
  <c r="J264" i="39" s="1"/>
  <c r="I265" i="25" s="1"/>
  <c r="G265" i="25"/>
  <c r="E80" i="39"/>
  <c r="G80" i="39" s="1"/>
  <c r="H80" i="39" s="1"/>
  <c r="I80" i="39" s="1"/>
  <c r="J80" i="39" s="1"/>
  <c r="I81" i="25" s="1"/>
  <c r="E80" i="12"/>
  <c r="G80" i="12" s="1"/>
  <c r="G81" i="25"/>
  <c r="E61" i="39"/>
  <c r="G61" i="39" s="1"/>
  <c r="H61" i="39" s="1"/>
  <c r="I61" i="39" s="1"/>
  <c r="J61" i="39" s="1"/>
  <c r="I62" i="25" s="1"/>
  <c r="E61" i="12"/>
  <c r="G61" i="12" s="1"/>
  <c r="G62" i="25"/>
  <c r="E203" i="12"/>
  <c r="G203" i="12" s="1"/>
  <c r="E203" i="39"/>
  <c r="G203" i="39" s="1"/>
  <c r="H203" i="39" s="1"/>
  <c r="I203" i="39" s="1"/>
  <c r="J203" i="39" s="1"/>
  <c r="I204" i="25" s="1"/>
  <c r="G204" i="25"/>
  <c r="E56" i="39"/>
  <c r="G56" i="39" s="1"/>
  <c r="H56" i="39" s="1"/>
  <c r="I56" i="39" s="1"/>
  <c r="J56" i="39" s="1"/>
  <c r="I57" i="25" s="1"/>
  <c r="G57" i="25"/>
  <c r="E56" i="12"/>
  <c r="G56" i="12" s="1"/>
  <c r="E215" i="12"/>
  <c r="G215" i="12" s="1"/>
  <c r="G216" i="25"/>
  <c r="E215" i="39"/>
  <c r="G215" i="39" s="1"/>
  <c r="H215" i="39" s="1"/>
  <c r="I215" i="39" s="1"/>
  <c r="J215" i="39" s="1"/>
  <c r="I216" i="25" s="1"/>
  <c r="E158" i="12"/>
  <c r="G158" i="12" s="1"/>
  <c r="E158" i="39"/>
  <c r="G158" i="39" s="1"/>
  <c r="H158" i="39" s="1"/>
  <c r="I158" i="39" s="1"/>
  <c r="J158" i="39" s="1"/>
  <c r="I159" i="25" s="1"/>
  <c r="G159" i="25"/>
  <c r="G292" i="25"/>
  <c r="E291" i="39"/>
  <c r="G291" i="39" s="1"/>
  <c r="H291" i="39" s="1"/>
  <c r="I291" i="39" s="1"/>
  <c r="J291" i="39" s="1"/>
  <c r="I292" i="25" s="1"/>
  <c r="E291" i="12"/>
  <c r="G291" i="12" s="1"/>
  <c r="E116" i="12"/>
  <c r="G116" i="12" s="1"/>
  <c r="G117" i="25"/>
  <c r="E116" i="39"/>
  <c r="G116" i="39" s="1"/>
  <c r="H116" i="39" s="1"/>
  <c r="I116" i="39" s="1"/>
  <c r="J116" i="39" s="1"/>
  <c r="I117" i="25" s="1"/>
  <c r="E7" i="12"/>
  <c r="G7" i="12" s="1"/>
  <c r="E7" i="39"/>
  <c r="G7" i="39" s="1"/>
  <c r="H7" i="39" s="1"/>
  <c r="I7" i="39" s="1"/>
  <c r="J7" i="39" s="1"/>
  <c r="I8" i="25" s="1"/>
  <c r="G8" i="25"/>
  <c r="E91" i="12"/>
  <c r="G91" i="12" s="1"/>
  <c r="E91" i="39"/>
  <c r="G91" i="39" s="1"/>
  <c r="H91" i="39" s="1"/>
  <c r="I91" i="39" s="1"/>
  <c r="J91" i="39" s="1"/>
  <c r="I92" i="25" s="1"/>
  <c r="G92" i="25"/>
  <c r="E37" i="12"/>
  <c r="G37" i="12" s="1"/>
  <c r="G38" i="25"/>
  <c r="E37" i="39"/>
  <c r="G37" i="39" s="1"/>
  <c r="H37" i="39" s="1"/>
  <c r="I37" i="39" s="1"/>
  <c r="J37" i="39" s="1"/>
  <c r="I38" i="25" s="1"/>
  <c r="E11" i="12"/>
  <c r="G11" i="12" s="1"/>
  <c r="G12" i="25"/>
  <c r="E11" i="39"/>
  <c r="G11" i="39" s="1"/>
  <c r="H11" i="39" s="1"/>
  <c r="I11" i="39" s="1"/>
  <c r="J11" i="39" s="1"/>
  <c r="I12" i="25" s="1"/>
  <c r="E163" i="39"/>
  <c r="G163" i="39" s="1"/>
  <c r="H163" i="39" s="1"/>
  <c r="I163" i="39" s="1"/>
  <c r="J163" i="39" s="1"/>
  <c r="I164" i="25" s="1"/>
  <c r="G164" i="25"/>
  <c r="E163" i="12"/>
  <c r="G163" i="12" s="1"/>
  <c r="E308" i="12"/>
  <c r="G308" i="12" s="1"/>
  <c r="E308" i="39"/>
  <c r="G308" i="39" s="1"/>
  <c r="H308" i="39" s="1"/>
  <c r="I308" i="39" s="1"/>
  <c r="J308" i="39" s="1"/>
  <c r="I309" i="25" s="1"/>
  <c r="G309" i="25"/>
  <c r="G226" i="25"/>
  <c r="E225" i="12"/>
  <c r="G225" i="12" s="1"/>
  <c r="E225" i="39"/>
  <c r="G225" i="39" s="1"/>
  <c r="H225" i="39" s="1"/>
  <c r="I225" i="39" s="1"/>
  <c r="J225" i="39" s="1"/>
  <c r="I226" i="25" s="1"/>
  <c r="G22" i="25"/>
  <c r="E21" i="12"/>
  <c r="G21" i="12" s="1"/>
  <c r="E21" i="39"/>
  <c r="G21" i="39" s="1"/>
  <c r="H21" i="39" s="1"/>
  <c r="I21" i="39" s="1"/>
  <c r="J21" i="39" s="1"/>
  <c r="I22" i="25" s="1"/>
  <c r="E288" i="12"/>
  <c r="G288" i="12" s="1"/>
  <c r="G289" i="25"/>
  <c r="E288" i="39"/>
  <c r="G288" i="39" s="1"/>
  <c r="H288" i="39" s="1"/>
  <c r="I288" i="39" s="1"/>
  <c r="J288" i="39" s="1"/>
  <c r="I289" i="25" s="1"/>
  <c r="E229" i="12"/>
  <c r="G229" i="12" s="1"/>
  <c r="E229" i="39"/>
  <c r="G229" i="39" s="1"/>
  <c r="H229" i="39" s="1"/>
  <c r="I229" i="39" s="1"/>
  <c r="J229" i="39" s="1"/>
  <c r="I230" i="25" s="1"/>
  <c r="G230" i="25"/>
  <c r="E322" i="12"/>
  <c r="G322" i="12" s="1"/>
  <c r="G323" i="25"/>
  <c r="E322" i="39"/>
  <c r="G322" i="39" s="1"/>
  <c r="H322" i="39" s="1"/>
  <c r="I322" i="39" s="1"/>
  <c r="J322" i="39" s="1"/>
  <c r="I323" i="25" s="1"/>
  <c r="G58" i="25"/>
  <c r="E57" i="12"/>
  <c r="G57" i="12" s="1"/>
  <c r="E57" i="39"/>
  <c r="G57" i="39" s="1"/>
  <c r="H57" i="39" s="1"/>
  <c r="I57" i="39" s="1"/>
  <c r="J57" i="39" s="1"/>
  <c r="I58" i="25" s="1"/>
  <c r="E10" i="12"/>
  <c r="G10" i="12" s="1"/>
  <c r="E10" i="39"/>
  <c r="G10" i="39" s="1"/>
  <c r="H10" i="39" s="1"/>
  <c r="I10" i="39" s="1"/>
  <c r="J10" i="39" s="1"/>
  <c r="I11" i="25" s="1"/>
  <c r="G11" i="25"/>
  <c r="E220" i="39"/>
  <c r="G220" i="39" s="1"/>
  <c r="H220" i="39" s="1"/>
  <c r="I220" i="39" s="1"/>
  <c r="J220" i="39" s="1"/>
  <c r="I221" i="25" s="1"/>
  <c r="G221" i="25"/>
  <c r="E220" i="12"/>
  <c r="G220" i="12" s="1"/>
  <c r="E26" i="39"/>
  <c r="G26" i="39" s="1"/>
  <c r="H26" i="39" s="1"/>
  <c r="I26" i="39" s="1"/>
  <c r="J26" i="39" s="1"/>
  <c r="I27" i="25" s="1"/>
  <c r="E26" i="12"/>
  <c r="G26" i="12" s="1"/>
  <c r="G27" i="25"/>
  <c r="E206" i="39"/>
  <c r="G206" i="39" s="1"/>
  <c r="H206" i="39" s="1"/>
  <c r="I206" i="39" s="1"/>
  <c r="J206" i="39" s="1"/>
  <c r="I207" i="25" s="1"/>
  <c r="G207" i="25"/>
  <c r="E206" i="12"/>
  <c r="G206" i="12" s="1"/>
  <c r="E184" i="39"/>
  <c r="G184" i="39" s="1"/>
  <c r="H184" i="39" s="1"/>
  <c r="I184" i="39" s="1"/>
  <c r="J184" i="39" s="1"/>
  <c r="I185" i="25" s="1"/>
  <c r="E184" i="12"/>
  <c r="G184" i="12" s="1"/>
  <c r="G185" i="25"/>
  <c r="E77" i="12"/>
  <c r="G77" i="12" s="1"/>
  <c r="E77" i="39"/>
  <c r="G77" i="39" s="1"/>
  <c r="H77" i="39" s="1"/>
  <c r="I77" i="39" s="1"/>
  <c r="J77" i="39" s="1"/>
  <c r="I78" i="25" s="1"/>
  <c r="G78" i="25"/>
  <c r="E117" i="39"/>
  <c r="G117" i="39" s="1"/>
  <c r="H117" i="39" s="1"/>
  <c r="I117" i="39" s="1"/>
  <c r="J117" i="39" s="1"/>
  <c r="I118" i="25" s="1"/>
  <c r="E117" i="12"/>
  <c r="G117" i="12" s="1"/>
  <c r="G118" i="25"/>
  <c r="G56" i="25"/>
  <c r="E55" i="39"/>
  <c r="G55" i="39" s="1"/>
  <c r="H55" i="39" s="1"/>
  <c r="I55" i="39" s="1"/>
  <c r="J55" i="39" s="1"/>
  <c r="I56" i="25" s="1"/>
  <c r="E55" i="12"/>
  <c r="G55" i="12" s="1"/>
  <c r="G166" i="25"/>
  <c r="E165" i="12"/>
  <c r="G165" i="12" s="1"/>
  <c r="E165" i="39"/>
  <c r="G165" i="39" s="1"/>
  <c r="H165" i="39" s="1"/>
  <c r="I165" i="39" s="1"/>
  <c r="J165" i="39" s="1"/>
  <c r="I166" i="25" s="1"/>
  <c r="G95" i="25"/>
  <c r="E94" i="12"/>
  <c r="G94" i="12" s="1"/>
  <c r="E94" i="39"/>
  <c r="G94" i="39" s="1"/>
  <c r="H94" i="39" s="1"/>
  <c r="I94" i="39" s="1"/>
  <c r="J94" i="39" s="1"/>
  <c r="I95" i="25" s="1"/>
  <c r="E196" i="12"/>
  <c r="G196" i="12" s="1"/>
  <c r="G197" i="25"/>
  <c r="E196" i="39"/>
  <c r="G196" i="39" s="1"/>
  <c r="H196" i="39" s="1"/>
  <c r="I196" i="39" s="1"/>
  <c r="J196" i="39" s="1"/>
  <c r="I197" i="25" s="1"/>
  <c r="G125" i="25"/>
  <c r="E124" i="39"/>
  <c r="G124" i="39" s="1"/>
  <c r="H124" i="39" s="1"/>
  <c r="I124" i="39" s="1"/>
  <c r="J124" i="39" s="1"/>
  <c r="I125" i="25" s="1"/>
  <c r="E124" i="12"/>
  <c r="G124" i="12" s="1"/>
  <c r="E226" i="39"/>
  <c r="G226" i="39" s="1"/>
  <c r="H226" i="39" s="1"/>
  <c r="I226" i="39" s="1"/>
  <c r="J226" i="39" s="1"/>
  <c r="I227" i="25" s="1"/>
  <c r="E226" i="12"/>
  <c r="G226" i="12" s="1"/>
  <c r="G227" i="25"/>
  <c r="E317" i="39"/>
  <c r="G317" i="39" s="1"/>
  <c r="H317" i="39" s="1"/>
  <c r="I317" i="39" s="1"/>
  <c r="J317" i="39" s="1"/>
  <c r="I318" i="25" s="1"/>
  <c r="E317" i="12"/>
  <c r="G317" i="12" s="1"/>
  <c r="G318" i="25"/>
  <c r="E152" i="39"/>
  <c r="G152" i="39" s="1"/>
  <c r="H152" i="39" s="1"/>
  <c r="I152" i="39" s="1"/>
  <c r="J152" i="39" s="1"/>
  <c r="I153" i="25" s="1"/>
  <c r="G153" i="25"/>
  <c r="E152" i="12"/>
  <c r="G152" i="12" s="1"/>
  <c r="E50" i="12"/>
  <c r="G50" i="12" s="1"/>
  <c r="E50" i="39"/>
  <c r="G50" i="39" s="1"/>
  <c r="H50" i="39" s="1"/>
  <c r="I50" i="39" s="1"/>
  <c r="J50" i="39" s="1"/>
  <c r="I51" i="25" s="1"/>
  <c r="G51" i="25"/>
  <c r="E131" i="12"/>
  <c r="G131" i="12" s="1"/>
  <c r="E131" i="39"/>
  <c r="G131" i="39" s="1"/>
  <c r="H131" i="39" s="1"/>
  <c r="I131" i="39" s="1"/>
  <c r="J131" i="39" s="1"/>
  <c r="I132" i="25" s="1"/>
  <c r="G132" i="25"/>
  <c r="E114" i="39"/>
  <c r="G114" i="39" s="1"/>
  <c r="H114" i="39" s="1"/>
  <c r="I114" i="39" s="1"/>
  <c r="J114" i="39" s="1"/>
  <c r="I115" i="25" s="1"/>
  <c r="E114" i="12"/>
  <c r="G114" i="12" s="1"/>
  <c r="G115" i="25"/>
  <c r="G47" i="25"/>
  <c r="E46" i="12"/>
  <c r="G46" i="12" s="1"/>
  <c r="E46" i="39"/>
  <c r="G46" i="39" s="1"/>
  <c r="H46" i="39" s="1"/>
  <c r="I46" i="39" s="1"/>
  <c r="J46" i="39" s="1"/>
  <c r="I47" i="25" s="1"/>
  <c r="G77" i="25"/>
  <c r="E76" i="12"/>
  <c r="G76" i="12" s="1"/>
  <c r="E76" i="39"/>
  <c r="G76" i="39" s="1"/>
  <c r="H76" i="39" s="1"/>
  <c r="I76" i="39" s="1"/>
  <c r="J76" i="39" s="1"/>
  <c r="I77" i="25" s="1"/>
  <c r="E295" i="12"/>
  <c r="G295" i="12" s="1"/>
  <c r="G296" i="25"/>
  <c r="E295" i="39"/>
  <c r="G295" i="39" s="1"/>
  <c r="H295" i="39" s="1"/>
  <c r="I295" i="39" s="1"/>
  <c r="J295" i="39" s="1"/>
  <c r="I296" i="25" s="1"/>
  <c r="E282" i="12"/>
  <c r="G282" i="12" s="1"/>
  <c r="G283" i="25"/>
  <c r="E282" i="39"/>
  <c r="G282" i="39" s="1"/>
  <c r="H282" i="39" s="1"/>
  <c r="I282" i="39" s="1"/>
  <c r="J282" i="39" s="1"/>
  <c r="I283" i="25" s="1"/>
  <c r="E265" i="39"/>
  <c r="G265" i="39" s="1"/>
  <c r="H265" i="39" s="1"/>
  <c r="I265" i="39" s="1"/>
  <c r="J265" i="39" s="1"/>
  <c r="I266" i="25" s="1"/>
  <c r="E265" i="12"/>
  <c r="G265" i="12" s="1"/>
  <c r="G266" i="25"/>
  <c r="E119" i="12"/>
  <c r="G119" i="12" s="1"/>
  <c r="G120" i="25"/>
  <c r="E119" i="39"/>
  <c r="G119" i="39" s="1"/>
  <c r="H119" i="39" s="1"/>
  <c r="I119" i="39" s="1"/>
  <c r="J119" i="39" s="1"/>
  <c r="I120" i="25" s="1"/>
  <c r="E267" i="12"/>
  <c r="G267" i="12" s="1"/>
  <c r="E267" i="39"/>
  <c r="G267" i="39" s="1"/>
  <c r="H267" i="39" s="1"/>
  <c r="I267" i="39" s="1"/>
  <c r="J267" i="39" s="1"/>
  <c r="I268" i="25" s="1"/>
  <c r="G268" i="25"/>
  <c r="G303" i="25"/>
  <c r="E302" i="12"/>
  <c r="G302" i="12" s="1"/>
  <c r="E302" i="39"/>
  <c r="G302" i="39" s="1"/>
  <c r="H302" i="39" s="1"/>
  <c r="I302" i="39" s="1"/>
  <c r="J302" i="39" s="1"/>
  <c r="I303" i="25" s="1"/>
  <c r="E12" i="12"/>
  <c r="G12" i="12" s="1"/>
  <c r="E12" i="39"/>
  <c r="G12" i="39" s="1"/>
  <c r="H12" i="39" s="1"/>
  <c r="I12" i="39" s="1"/>
  <c r="J12" i="39" s="1"/>
  <c r="I13" i="25" s="1"/>
  <c r="G13" i="25"/>
  <c r="G236" i="25"/>
  <c r="E235" i="39"/>
  <c r="G235" i="39" s="1"/>
  <c r="H235" i="39" s="1"/>
  <c r="I235" i="39" s="1"/>
  <c r="J235" i="39" s="1"/>
  <c r="I236" i="25" s="1"/>
  <c r="E235" i="12"/>
  <c r="G235" i="12" s="1"/>
  <c r="E83" i="39"/>
  <c r="G83" i="39" s="1"/>
  <c r="H83" i="39" s="1"/>
  <c r="I83" i="39" s="1"/>
  <c r="J83" i="39" s="1"/>
  <c r="I84" i="25" s="1"/>
  <c r="G84" i="25"/>
  <c r="E83" i="12"/>
  <c r="G83" i="12" s="1"/>
  <c r="G182" i="25"/>
  <c r="E181" i="12"/>
  <c r="G181" i="12" s="1"/>
  <c r="E181" i="39"/>
  <c r="G181" i="39" s="1"/>
  <c r="H181" i="39" s="1"/>
  <c r="I181" i="39" s="1"/>
  <c r="J181" i="39" s="1"/>
  <c r="I182" i="25" s="1"/>
  <c r="E35" i="39"/>
  <c r="G35" i="39" s="1"/>
  <c r="H35" i="39" s="1"/>
  <c r="I35" i="39" s="1"/>
  <c r="J35" i="39" s="1"/>
  <c r="I36" i="25" s="1"/>
  <c r="E35" i="12"/>
  <c r="G35" i="12" s="1"/>
  <c r="G36" i="25"/>
  <c r="E9" i="12"/>
  <c r="G9" i="12" s="1"/>
  <c r="E9" i="39"/>
  <c r="G9" i="39" s="1"/>
  <c r="H9" i="39" s="1"/>
  <c r="I9" i="39" s="1"/>
  <c r="J9" i="39" s="1"/>
  <c r="I10" i="25" s="1"/>
  <c r="G10" i="25"/>
  <c r="E216" i="12"/>
  <c r="G216" i="12" s="1"/>
  <c r="E216" i="39"/>
  <c r="G216" i="39" s="1"/>
  <c r="H216" i="39" s="1"/>
  <c r="I216" i="39" s="1"/>
  <c r="J216" i="39" s="1"/>
  <c r="I217" i="25" s="1"/>
  <c r="G217" i="25"/>
  <c r="G74" i="25"/>
  <c r="E73" i="12"/>
  <c r="G73" i="12" s="1"/>
  <c r="E73" i="39"/>
  <c r="G73" i="39" s="1"/>
  <c r="H73" i="39" s="1"/>
  <c r="I73" i="39" s="1"/>
  <c r="J73" i="39" s="1"/>
  <c r="I74" i="25" s="1"/>
  <c r="E19" i="12"/>
  <c r="G19" i="12" s="1"/>
  <c r="E19" i="39"/>
  <c r="G19" i="39" s="1"/>
  <c r="H19" i="39" s="1"/>
  <c r="I19" i="39" s="1"/>
  <c r="J19" i="39" s="1"/>
  <c r="I20" i="25" s="1"/>
  <c r="G20" i="25"/>
  <c r="E149" i="39"/>
  <c r="G149" i="39" s="1"/>
  <c r="H149" i="39" s="1"/>
  <c r="I149" i="39" s="1"/>
  <c r="J149" i="39" s="1"/>
  <c r="I150" i="25" s="1"/>
  <c r="G150" i="25"/>
  <c r="E149" i="12"/>
  <c r="G149" i="12" s="1"/>
  <c r="E109" i="39"/>
  <c r="G109" i="39" s="1"/>
  <c r="H109" i="39" s="1"/>
  <c r="I109" i="39" s="1"/>
  <c r="J109" i="39" s="1"/>
  <c r="I110" i="25" s="1"/>
  <c r="E109" i="12"/>
  <c r="G109" i="12" s="1"/>
  <c r="G110" i="25"/>
  <c r="G129" i="25"/>
  <c r="E128" i="12"/>
  <c r="G128" i="12" s="1"/>
  <c r="E128" i="39"/>
  <c r="G128" i="39" s="1"/>
  <c r="H128" i="39" s="1"/>
  <c r="I128" i="39" s="1"/>
  <c r="J128" i="39" s="1"/>
  <c r="I129" i="25" s="1"/>
  <c r="G305" i="25"/>
  <c r="E304" i="12"/>
  <c r="G304" i="12" s="1"/>
  <c r="E304" i="39"/>
  <c r="G304" i="39" s="1"/>
  <c r="H304" i="39" s="1"/>
  <c r="I304" i="39" s="1"/>
  <c r="J304" i="39" s="1"/>
  <c r="I305" i="25" s="1"/>
  <c r="G128" i="25"/>
  <c r="E127" i="39"/>
  <c r="G127" i="39" s="1"/>
  <c r="H127" i="39" s="1"/>
  <c r="I127" i="39" s="1"/>
  <c r="J127" i="39" s="1"/>
  <c r="I128" i="25" s="1"/>
  <c r="E127" i="12"/>
  <c r="G127" i="12" s="1"/>
  <c r="G234" i="25"/>
  <c r="E233" i="39"/>
  <c r="G233" i="39" s="1"/>
  <c r="H233" i="39" s="1"/>
  <c r="I233" i="39" s="1"/>
  <c r="J233" i="39" s="1"/>
  <c r="I234" i="25" s="1"/>
  <c r="E233" i="12"/>
  <c r="G233" i="12" s="1"/>
  <c r="E6" i="12"/>
  <c r="G6" i="12" s="1"/>
  <c r="E6" i="39"/>
  <c r="G6" i="39" s="1"/>
  <c r="H6" i="39" s="1"/>
  <c r="I6" i="39" s="1"/>
  <c r="J6" i="39" s="1"/>
  <c r="I7" i="25" s="1"/>
  <c r="G7" i="25"/>
  <c r="G172" i="25"/>
  <c r="E171" i="12"/>
  <c r="G171" i="12" s="1"/>
  <c r="E171" i="39"/>
  <c r="G171" i="39" s="1"/>
  <c r="H171" i="39" s="1"/>
  <c r="I171" i="39" s="1"/>
  <c r="J171" i="39" s="1"/>
  <c r="I172" i="25" s="1"/>
  <c r="E299" i="39"/>
  <c r="G299" i="39" s="1"/>
  <c r="H299" i="39" s="1"/>
  <c r="I299" i="39" s="1"/>
  <c r="J299" i="39" s="1"/>
  <c r="I300" i="25" s="1"/>
  <c r="E299" i="12"/>
  <c r="G299" i="12" s="1"/>
  <c r="G300" i="25"/>
  <c r="E311" i="39"/>
  <c r="G311" i="39" s="1"/>
  <c r="H311" i="39" s="1"/>
  <c r="I311" i="39" s="1"/>
  <c r="J311" i="39" s="1"/>
  <c r="I312" i="25" s="1"/>
  <c r="G312" i="25"/>
  <c r="E311" i="12"/>
  <c r="G311" i="12" s="1"/>
  <c r="G179" i="25"/>
  <c r="E178" i="12"/>
  <c r="G178" i="12" s="1"/>
  <c r="E178" i="39"/>
  <c r="G178" i="39" s="1"/>
  <c r="H178" i="39" s="1"/>
  <c r="I178" i="39" s="1"/>
  <c r="J178" i="39" s="1"/>
  <c r="I179" i="25" s="1"/>
  <c r="G320" i="25"/>
  <c r="E319" i="39"/>
  <c r="G319" i="39" s="1"/>
  <c r="H319" i="39" s="1"/>
  <c r="I319" i="39" s="1"/>
  <c r="J319" i="39" s="1"/>
  <c r="I320" i="25" s="1"/>
  <c r="E319" i="12"/>
  <c r="G319" i="12" s="1"/>
  <c r="G54" i="25"/>
  <c r="E53" i="39"/>
  <c r="G53" i="39" s="1"/>
  <c r="H53" i="39" s="1"/>
  <c r="I53" i="39" s="1"/>
  <c r="J53" i="39" s="1"/>
  <c r="I54" i="25" s="1"/>
  <c r="E53" i="12"/>
  <c r="G53" i="12" s="1"/>
  <c r="G233" i="25"/>
  <c r="E232" i="39"/>
  <c r="G232" i="39" s="1"/>
  <c r="H232" i="39" s="1"/>
  <c r="I232" i="39" s="1"/>
  <c r="J232" i="39" s="1"/>
  <c r="I233" i="25" s="1"/>
  <c r="E232" i="12"/>
  <c r="G232" i="12" s="1"/>
  <c r="E177" i="39"/>
  <c r="G177" i="39" s="1"/>
  <c r="H177" i="39" s="1"/>
  <c r="I177" i="39" s="1"/>
  <c r="J177" i="39" s="1"/>
  <c r="I178" i="25" s="1"/>
  <c r="E177" i="12"/>
  <c r="G177" i="12" s="1"/>
  <c r="G178" i="25"/>
  <c r="G201" i="25"/>
  <c r="E200" i="39"/>
  <c r="G200" i="39" s="1"/>
  <c r="H200" i="39" s="1"/>
  <c r="I200" i="39" s="1"/>
  <c r="J200" i="39" s="1"/>
  <c r="I201" i="25" s="1"/>
  <c r="E200" i="12"/>
  <c r="G200" i="12" s="1"/>
  <c r="E38" i="39"/>
  <c r="G38" i="39" s="1"/>
  <c r="H38" i="39" s="1"/>
  <c r="I38" i="39" s="1"/>
  <c r="J38" i="39" s="1"/>
  <c r="I39" i="25" s="1"/>
  <c r="E38" i="12"/>
  <c r="G38" i="12" s="1"/>
  <c r="G39" i="25"/>
  <c r="E237" i="12"/>
  <c r="G237" i="12" s="1"/>
  <c r="G238" i="25"/>
  <c r="E237" i="39"/>
  <c r="G237" i="39" s="1"/>
  <c r="H237" i="39" s="1"/>
  <c r="I237" i="39" s="1"/>
  <c r="J237" i="39" s="1"/>
  <c r="I238" i="25" s="1"/>
  <c r="E102" i="12"/>
  <c r="G102" i="12" s="1"/>
  <c r="E102" i="39"/>
  <c r="G102" i="39" s="1"/>
  <c r="H102" i="39" s="1"/>
  <c r="I102" i="39" s="1"/>
  <c r="J102" i="39" s="1"/>
  <c r="I103" i="25" s="1"/>
  <c r="G103" i="25"/>
  <c r="G149" i="25"/>
  <c r="E148" i="39"/>
  <c r="G148" i="39" s="1"/>
  <c r="H148" i="39" s="1"/>
  <c r="I148" i="39" s="1"/>
  <c r="J148" i="39" s="1"/>
  <c r="I149" i="25" s="1"/>
  <c r="E148" i="12"/>
  <c r="G148" i="12" s="1"/>
  <c r="E254" i="12"/>
  <c r="G254" i="12" s="1"/>
  <c r="G255" i="25"/>
  <c r="E254" i="39"/>
  <c r="G254" i="39" s="1"/>
  <c r="H254" i="39" s="1"/>
  <c r="I254" i="39" s="1"/>
  <c r="J254" i="39" s="1"/>
  <c r="I255" i="25" s="1"/>
  <c r="E103" i="39"/>
  <c r="G103" i="39" s="1"/>
  <c r="H103" i="39" s="1"/>
  <c r="I103" i="39" s="1"/>
  <c r="J103" i="39" s="1"/>
  <c r="I104" i="25" s="1"/>
  <c r="G104" i="25"/>
  <c r="E103" i="12"/>
  <c r="G103" i="12" s="1"/>
  <c r="G308" i="25"/>
  <c r="E307" i="12"/>
  <c r="G307" i="12" s="1"/>
  <c r="E307" i="39"/>
  <c r="G307" i="39" s="1"/>
  <c r="H307" i="39" s="1"/>
  <c r="I307" i="39" s="1"/>
  <c r="J307" i="39" s="1"/>
  <c r="I308" i="25" s="1"/>
  <c r="G79" i="25"/>
  <c r="E78" i="39"/>
  <c r="G78" i="39" s="1"/>
  <c r="H78" i="39" s="1"/>
  <c r="I78" i="39" s="1"/>
  <c r="J78" i="39" s="1"/>
  <c r="I79" i="25" s="1"/>
  <c r="E78" i="12"/>
  <c r="G78" i="12" s="1"/>
  <c r="E164" i="39"/>
  <c r="G164" i="39" s="1"/>
  <c r="H164" i="39" s="1"/>
  <c r="I164" i="39" s="1"/>
  <c r="J164" i="39" s="1"/>
  <c r="I165" i="25" s="1"/>
  <c r="E164" i="12"/>
  <c r="G164" i="12" s="1"/>
  <c r="G165" i="25"/>
  <c r="G293" i="25"/>
  <c r="E292" i="12"/>
  <c r="G292" i="12" s="1"/>
  <c r="E292" i="39"/>
  <c r="G292" i="39" s="1"/>
  <c r="H292" i="39" s="1"/>
  <c r="I292" i="39" s="1"/>
  <c r="J292" i="39" s="1"/>
  <c r="I293" i="25" s="1"/>
  <c r="E169" i="12"/>
  <c r="G169" i="12" s="1"/>
  <c r="E169" i="39"/>
  <c r="G169" i="39" s="1"/>
  <c r="H169" i="39" s="1"/>
  <c r="I169" i="39" s="1"/>
  <c r="J169" i="39" s="1"/>
  <c r="I170" i="25" s="1"/>
  <c r="G170" i="25"/>
  <c r="E49" i="39"/>
  <c r="G49" i="39" s="1"/>
  <c r="H49" i="39" s="1"/>
  <c r="I49" i="39" s="1"/>
  <c r="J49" i="39" s="1"/>
  <c r="I50" i="25" s="1"/>
  <c r="G50" i="25"/>
  <c r="E49" i="12"/>
  <c r="G49" i="12" s="1"/>
  <c r="E301" i="12"/>
  <c r="G301" i="12" s="1"/>
  <c r="E301" i="39"/>
  <c r="G301" i="39" s="1"/>
  <c r="H301" i="39" s="1"/>
  <c r="I301" i="39" s="1"/>
  <c r="J301" i="39" s="1"/>
  <c r="I302" i="25" s="1"/>
  <c r="G302" i="25"/>
  <c r="E305" i="12"/>
  <c r="G305" i="12" s="1"/>
  <c r="G306" i="25"/>
  <c r="E305" i="39"/>
  <c r="G305" i="39" s="1"/>
  <c r="H305" i="39" s="1"/>
  <c r="I305" i="39" s="1"/>
  <c r="J305" i="39" s="1"/>
  <c r="I306" i="25" s="1"/>
  <c r="E242" i="12"/>
  <c r="G242" i="12" s="1"/>
  <c r="E242" i="39"/>
  <c r="G242" i="39" s="1"/>
  <c r="H242" i="39" s="1"/>
  <c r="I242" i="39" s="1"/>
  <c r="J242" i="39" s="1"/>
  <c r="I243" i="25" s="1"/>
  <c r="G243" i="25"/>
  <c r="E67" i="39"/>
  <c r="G67" i="39" s="1"/>
  <c r="H67" i="39" s="1"/>
  <c r="I67" i="39" s="1"/>
  <c r="J67" i="39" s="1"/>
  <c r="I68" i="25" s="1"/>
  <c r="G68" i="25"/>
  <c r="E67" i="12"/>
  <c r="G67" i="12" s="1"/>
  <c r="G274" i="25"/>
  <c r="E273" i="12"/>
  <c r="G273" i="12" s="1"/>
  <c r="E273" i="39"/>
  <c r="G273" i="39" s="1"/>
  <c r="H273" i="39" s="1"/>
  <c r="I273" i="39" s="1"/>
  <c r="J273" i="39" s="1"/>
  <c r="I274" i="25" s="1"/>
  <c r="E315" i="39"/>
  <c r="G315" i="39" s="1"/>
  <c r="H315" i="39" s="1"/>
  <c r="I315" i="39" s="1"/>
  <c r="J315" i="39" s="1"/>
  <c r="I316" i="25" s="1"/>
  <c r="G316" i="25"/>
  <c r="E315" i="12"/>
  <c r="G315" i="12" s="1"/>
  <c r="G314" i="25"/>
  <c r="E313" i="12"/>
  <c r="G313" i="12" s="1"/>
  <c r="E313" i="39"/>
  <c r="G313" i="39" s="1"/>
  <c r="H313" i="39" s="1"/>
  <c r="I313" i="39" s="1"/>
  <c r="J313" i="39" s="1"/>
  <c r="I314" i="25" s="1"/>
  <c r="G24" i="25"/>
  <c r="E23" i="12"/>
  <c r="G23" i="12" s="1"/>
  <c r="E23" i="39"/>
  <c r="G23" i="39" s="1"/>
  <c r="H23" i="39" s="1"/>
  <c r="I23" i="39" s="1"/>
  <c r="J23" i="39" s="1"/>
  <c r="I24" i="25" s="1"/>
  <c r="E250" i="12"/>
  <c r="G250" i="12" s="1"/>
  <c r="G251" i="25"/>
  <c r="E250" i="39"/>
  <c r="G250" i="39" s="1"/>
  <c r="H250" i="39" s="1"/>
  <c r="I250" i="39" s="1"/>
  <c r="J250" i="39" s="1"/>
  <c r="I251" i="25" s="1"/>
  <c r="H301" i="12" l="1"/>
  <c r="I301" i="12" s="1"/>
  <c r="J302" i="25" s="1"/>
  <c r="H292" i="12"/>
  <c r="I292" i="12" s="1"/>
  <c r="J293" i="25" s="1"/>
  <c r="H109" i="12"/>
  <c r="I109" i="12" s="1"/>
  <c r="J110" i="25" s="1"/>
  <c r="H50" i="12"/>
  <c r="I50" i="12" s="1"/>
  <c r="J51" i="25" s="1"/>
  <c r="H184" i="12"/>
  <c r="I184" i="12" s="1"/>
  <c r="J185" i="25" s="1"/>
  <c r="H186" i="12"/>
  <c r="I186" i="12" s="1"/>
  <c r="J187" i="25" s="1"/>
  <c r="H271" i="12"/>
  <c r="I271" i="12" s="1"/>
  <c r="J272" i="25" s="1"/>
  <c r="H274" i="12"/>
  <c r="I274" i="12" s="1"/>
  <c r="J275" i="25" s="1"/>
  <c r="H249" i="12"/>
  <c r="I249" i="12" s="1"/>
  <c r="J250" i="25" s="1"/>
  <c r="H187" i="12"/>
  <c r="I187" i="12" s="1"/>
  <c r="J188" i="25" s="1"/>
  <c r="H293" i="12"/>
  <c r="I293" i="12" s="1"/>
  <c r="J294" i="25" s="1"/>
  <c r="H256" i="12"/>
  <c r="I256" i="12" s="1"/>
  <c r="J257" i="25" s="1"/>
  <c r="H296" i="12"/>
  <c r="I296" i="12" s="1"/>
  <c r="J297" i="25" s="1"/>
  <c r="H112" i="12"/>
  <c r="I112" i="12" s="1"/>
  <c r="J113" i="25" s="1"/>
  <c r="H243" i="12"/>
  <c r="N244" i="13" s="1"/>
  <c r="O244" i="13" s="1"/>
  <c r="H85" i="12"/>
  <c r="I85" i="12" s="1"/>
  <c r="J86" i="25" s="1"/>
  <c r="H248" i="12"/>
  <c r="I248" i="12" s="1"/>
  <c r="J249" i="25" s="1"/>
  <c r="H24" i="12"/>
  <c r="I24" i="12" s="1"/>
  <c r="J25" i="25" s="1"/>
  <c r="H86" i="12"/>
  <c r="I86" i="12" s="1"/>
  <c r="J87" i="25" s="1"/>
  <c r="H34" i="12"/>
  <c r="I34" i="12" s="1"/>
  <c r="J35" i="25" s="1"/>
  <c r="H258" i="12"/>
  <c r="I258" i="12" s="1"/>
  <c r="J259" i="25" s="1"/>
  <c r="H263" i="12"/>
  <c r="I263" i="12" s="1"/>
  <c r="J264" i="25" s="1"/>
  <c r="H144" i="12"/>
  <c r="I144" i="12" s="1"/>
  <c r="J145" i="25" s="1"/>
  <c r="H108" i="12"/>
  <c r="I108" i="12" s="1"/>
  <c r="J109" i="25" s="1"/>
  <c r="H240" i="12"/>
  <c r="I240" i="12" s="1"/>
  <c r="J241" i="25" s="1"/>
  <c r="H223" i="12"/>
  <c r="I223" i="12" s="1"/>
  <c r="J224" i="25" s="1"/>
  <c r="H129" i="12"/>
  <c r="I129" i="12" s="1"/>
  <c r="J130" i="25" s="1"/>
  <c r="H205" i="12"/>
  <c r="I205" i="12" s="1"/>
  <c r="J206" i="25" s="1"/>
  <c r="H172" i="12"/>
  <c r="I172" i="12" s="1"/>
  <c r="J173" i="25" s="1"/>
  <c r="H29" i="12"/>
  <c r="I29" i="12" s="1"/>
  <c r="J30" i="25" s="1"/>
  <c r="H313" i="12"/>
  <c r="I313" i="12" s="1"/>
  <c r="J314" i="25" s="1"/>
  <c r="H307" i="12"/>
  <c r="I307" i="12" s="1"/>
  <c r="J308" i="25" s="1"/>
  <c r="H200" i="12"/>
  <c r="I200" i="12" s="1"/>
  <c r="J201" i="25" s="1"/>
  <c r="H319" i="12"/>
  <c r="I319" i="12" s="1"/>
  <c r="J320" i="25" s="1"/>
  <c r="H216" i="12"/>
  <c r="I216" i="12" s="1"/>
  <c r="J217" i="25" s="1"/>
  <c r="H181" i="12"/>
  <c r="I181" i="12" s="1"/>
  <c r="J182" i="25" s="1"/>
  <c r="H302" i="12"/>
  <c r="I302" i="12" s="1"/>
  <c r="J303" i="25" s="1"/>
  <c r="H131" i="12"/>
  <c r="I131" i="12" s="1"/>
  <c r="J132" i="25" s="1"/>
  <c r="H94" i="12"/>
  <c r="I94" i="12" s="1"/>
  <c r="J95" i="25" s="1"/>
  <c r="H107" i="12"/>
  <c r="I107" i="12" s="1"/>
  <c r="J108" i="25" s="1"/>
  <c r="H126" i="12"/>
  <c r="I126" i="12" s="1"/>
  <c r="J127" i="25" s="1"/>
  <c r="H310" i="12"/>
  <c r="I310" i="12" s="1"/>
  <c r="J311" i="25" s="1"/>
  <c r="H259" i="12"/>
  <c r="I259" i="12" s="1"/>
  <c r="J260" i="25" s="1"/>
  <c r="H217" i="12"/>
  <c r="I217" i="12" s="1"/>
  <c r="J218" i="25" s="1"/>
  <c r="H176" i="12"/>
  <c r="I176" i="12" s="1"/>
  <c r="J177" i="25" s="1"/>
  <c r="H16" i="12"/>
  <c r="I16" i="12" s="1"/>
  <c r="J17" i="25" s="1"/>
  <c r="H151" i="12"/>
  <c r="I151" i="12" s="1"/>
  <c r="J152" i="25" s="1"/>
  <c r="H110" i="12"/>
  <c r="I110" i="12" s="1"/>
  <c r="J111" i="25" s="1"/>
  <c r="H52" i="12"/>
  <c r="I52" i="12" s="1"/>
  <c r="J53" i="25" s="1"/>
  <c r="H65" i="12"/>
  <c r="I65" i="12" s="1"/>
  <c r="J66" i="25" s="1"/>
  <c r="H251" i="12"/>
  <c r="I251" i="12" s="1"/>
  <c r="J252" i="25" s="1"/>
  <c r="H318" i="12"/>
  <c r="I318" i="12" s="1"/>
  <c r="J319" i="25" s="1"/>
  <c r="H105" i="12"/>
  <c r="I105" i="12" s="1"/>
  <c r="J106" i="25" s="1"/>
  <c r="H44" i="12"/>
  <c r="I44" i="12" s="1"/>
  <c r="J45" i="25" s="1"/>
  <c r="H96" i="12"/>
  <c r="N97" i="13" s="1"/>
  <c r="O97" i="13" s="1"/>
  <c r="H315" i="12"/>
  <c r="I315" i="12" s="1"/>
  <c r="J316" i="25" s="1"/>
  <c r="H273" i="12"/>
  <c r="I273" i="12" s="1"/>
  <c r="J274" i="25" s="1"/>
  <c r="H164" i="12"/>
  <c r="I164" i="12" s="1"/>
  <c r="J165" i="25" s="1"/>
  <c r="H103" i="12"/>
  <c r="I103" i="12" s="1"/>
  <c r="J104" i="25" s="1"/>
  <c r="H38" i="12"/>
  <c r="I38" i="12" s="1"/>
  <c r="J39" i="25" s="1"/>
  <c r="H232" i="12"/>
  <c r="I232" i="12" s="1"/>
  <c r="J233" i="25" s="1"/>
  <c r="H311" i="12"/>
  <c r="I311" i="12" s="1"/>
  <c r="J312" i="25" s="1"/>
  <c r="H299" i="12"/>
  <c r="I299" i="12" s="1"/>
  <c r="J300" i="25" s="1"/>
  <c r="H233" i="12"/>
  <c r="I233" i="12" s="1"/>
  <c r="J234" i="25" s="1"/>
  <c r="H19" i="12"/>
  <c r="I19" i="12" s="1"/>
  <c r="J20" i="25" s="1"/>
  <c r="H83" i="12"/>
  <c r="I83" i="12" s="1"/>
  <c r="J84" i="25" s="1"/>
  <c r="H12" i="12"/>
  <c r="I12" i="12" s="1"/>
  <c r="J13" i="25" s="1"/>
  <c r="H76" i="12"/>
  <c r="I76" i="12" s="1"/>
  <c r="J77" i="25" s="1"/>
  <c r="H196" i="12"/>
  <c r="I196" i="12" s="1"/>
  <c r="J197" i="25" s="1"/>
  <c r="H57" i="12"/>
  <c r="I57" i="12" s="1"/>
  <c r="J58" i="25" s="1"/>
  <c r="H322" i="12"/>
  <c r="I322" i="12" s="1"/>
  <c r="J323" i="25" s="1"/>
  <c r="H21" i="12"/>
  <c r="I21" i="12" s="1"/>
  <c r="J22" i="25" s="1"/>
  <c r="H163" i="12"/>
  <c r="I163" i="12" s="1"/>
  <c r="J164" i="25" s="1"/>
  <c r="H37" i="12"/>
  <c r="I37" i="12" s="1"/>
  <c r="J38" i="25" s="1"/>
  <c r="H203" i="12"/>
  <c r="I203" i="12" s="1"/>
  <c r="J204" i="25" s="1"/>
  <c r="H115" i="12"/>
  <c r="I115" i="12" s="1"/>
  <c r="J116" i="25" s="1"/>
  <c r="H122" i="12"/>
  <c r="I122" i="12" s="1"/>
  <c r="J123" i="25" s="1"/>
  <c r="H244" i="12"/>
  <c r="I244" i="12" s="1"/>
  <c r="J245" i="25" s="1"/>
  <c r="H136" i="12"/>
  <c r="I136" i="12" s="1"/>
  <c r="J137" i="25" s="1"/>
  <c r="H195" i="12"/>
  <c r="I195" i="12" s="1"/>
  <c r="J196" i="25" s="1"/>
  <c r="H312" i="12"/>
  <c r="I312" i="12" s="1"/>
  <c r="J313" i="25" s="1"/>
  <c r="H28" i="12"/>
  <c r="I28" i="12" s="1"/>
  <c r="J29" i="25" s="1"/>
  <c r="H135" i="12"/>
  <c r="I135" i="12" s="1"/>
  <c r="J136" i="25" s="1"/>
  <c r="H54" i="12"/>
  <c r="I54" i="12" s="1"/>
  <c r="J55" i="25" s="1"/>
  <c r="H106" i="12"/>
  <c r="I106" i="12" s="1"/>
  <c r="J107" i="25" s="1"/>
  <c r="H74" i="12"/>
  <c r="I74" i="12" s="1"/>
  <c r="J75" i="25" s="1"/>
  <c r="H173" i="12"/>
  <c r="I173" i="12" s="1"/>
  <c r="J174" i="25" s="1"/>
  <c r="H36" i="12"/>
  <c r="I36" i="12" s="1"/>
  <c r="J37" i="25" s="1"/>
  <c r="H213" i="12"/>
  <c r="I213" i="12" s="1"/>
  <c r="J214" i="25" s="1"/>
  <c r="H286" i="12"/>
  <c r="I286" i="12" s="1"/>
  <c r="J287" i="25" s="1"/>
  <c r="H121" i="12"/>
  <c r="I121" i="12" s="1"/>
  <c r="J122" i="25" s="1"/>
  <c r="H51" i="12"/>
  <c r="I51" i="12" s="1"/>
  <c r="J52" i="25" s="1"/>
  <c r="H120" i="12"/>
  <c r="I120" i="12" s="1"/>
  <c r="J121" i="25" s="1"/>
  <c r="H39" i="12"/>
  <c r="I39" i="12" s="1"/>
  <c r="J40" i="25" s="1"/>
  <c r="H161" i="12"/>
  <c r="I161" i="12" s="1"/>
  <c r="J162" i="25" s="1"/>
  <c r="H8" i="12"/>
  <c r="I8" i="12" s="1"/>
  <c r="J9" i="25" s="1"/>
  <c r="H303" i="12"/>
  <c r="I303" i="12" s="1"/>
  <c r="J304" i="25" s="1"/>
  <c r="H192" i="12"/>
  <c r="I192" i="12" s="1"/>
  <c r="J193" i="25" s="1"/>
  <c r="H32" i="12"/>
  <c r="I32" i="12" s="1"/>
  <c r="J33" i="25" s="1"/>
  <c r="H278" i="12"/>
  <c r="I278" i="12" s="1"/>
  <c r="J279" i="25" s="1"/>
  <c r="H190" i="12"/>
  <c r="I190" i="12" s="1"/>
  <c r="J191" i="25" s="1"/>
  <c r="H239" i="12"/>
  <c r="I239" i="12" s="1"/>
  <c r="J240" i="25" s="1"/>
  <c r="H68" i="12"/>
  <c r="I68" i="12" s="1"/>
  <c r="J69" i="25" s="1"/>
  <c r="H87" i="12"/>
  <c r="I87" i="12" s="1"/>
  <c r="J88" i="25" s="1"/>
  <c r="H201" i="12"/>
  <c r="I201" i="12" s="1"/>
  <c r="J202" i="25" s="1"/>
  <c r="H221" i="12"/>
  <c r="I221" i="12" s="1"/>
  <c r="J222" i="25" s="1"/>
  <c r="H266" i="12"/>
  <c r="I266" i="12" s="1"/>
  <c r="J267" i="25" s="1"/>
  <c r="D10" i="34"/>
  <c r="D11" i="34" s="1"/>
  <c r="C11" i="34"/>
  <c r="E323" i="12"/>
  <c r="G323" i="12" s="1"/>
  <c r="J323" i="12" s="1"/>
  <c r="G324" i="25"/>
  <c r="E323" i="39"/>
  <c r="G323" i="39" s="1"/>
  <c r="H323" i="39" s="1"/>
  <c r="H113" i="12"/>
  <c r="I113" i="12" s="1"/>
  <c r="J114" i="25" s="1"/>
  <c r="H43" i="12"/>
  <c r="I43" i="12" s="1"/>
  <c r="J44" i="25" s="1"/>
  <c r="H298" i="12"/>
  <c r="I298" i="12" s="1"/>
  <c r="J299" i="25" s="1"/>
  <c r="H268" i="12"/>
  <c r="I268" i="12" s="1"/>
  <c r="J269" i="25" s="1"/>
  <c r="H71" i="12"/>
  <c r="I71" i="12" s="1"/>
  <c r="J72" i="25" s="1"/>
  <c r="H270" i="12"/>
  <c r="I270" i="12" s="1"/>
  <c r="J271" i="25" s="1"/>
  <c r="H141" i="12"/>
  <c r="I141" i="12" s="1"/>
  <c r="J142" i="25" s="1"/>
  <c r="H214" i="12"/>
  <c r="I214" i="12" s="1"/>
  <c r="J215" i="25" s="1"/>
  <c r="H168" i="12"/>
  <c r="I168" i="12" s="1"/>
  <c r="J169" i="25" s="1"/>
  <c r="H75" i="12"/>
  <c r="I75" i="12" s="1"/>
  <c r="J76" i="25" s="1"/>
  <c r="H218" i="12"/>
  <c r="I218" i="12" s="1"/>
  <c r="J219" i="25" s="1"/>
  <c r="H150" i="12"/>
  <c r="I150" i="12" s="1"/>
  <c r="J151" i="25" s="1"/>
  <c r="H162" i="12"/>
  <c r="N163" i="13" s="1"/>
  <c r="O163" i="13" s="1"/>
  <c r="H145" i="12"/>
  <c r="I145" i="12" s="1"/>
  <c r="J146" i="25" s="1"/>
  <c r="H159" i="12"/>
  <c r="I159" i="12" s="1"/>
  <c r="J160" i="25" s="1"/>
  <c r="H222" i="12"/>
  <c r="I222" i="12" s="1"/>
  <c r="J223" i="25" s="1"/>
  <c r="H125" i="12"/>
  <c r="I125" i="12" s="1"/>
  <c r="J126" i="25" s="1"/>
  <c r="H60" i="12"/>
  <c r="I60" i="12" s="1"/>
  <c r="J61" i="25" s="1"/>
  <c r="H257" i="12"/>
  <c r="I257" i="12" s="1"/>
  <c r="J258" i="25" s="1"/>
  <c r="H97" i="12"/>
  <c r="I97" i="12" s="1"/>
  <c r="J98" i="25" s="1"/>
  <c r="H15" i="12"/>
  <c r="I15" i="12" s="1"/>
  <c r="J16" i="25" s="1"/>
  <c r="H283" i="12"/>
  <c r="I283" i="12" s="1"/>
  <c r="J284" i="25" s="1"/>
  <c r="H82" i="12"/>
  <c r="I82" i="12" s="1"/>
  <c r="J83" i="25" s="1"/>
  <c r="H160" i="12"/>
  <c r="I160" i="12" s="1"/>
  <c r="J161" i="25" s="1"/>
  <c r="H250" i="12"/>
  <c r="I250" i="12" s="1"/>
  <c r="J251" i="25" s="1"/>
  <c r="H254" i="12"/>
  <c r="I254" i="12" s="1"/>
  <c r="J255" i="25" s="1"/>
  <c r="H9" i="12"/>
  <c r="I9" i="12" s="1"/>
  <c r="J10" i="25" s="1"/>
  <c r="H119" i="12"/>
  <c r="I119" i="12" s="1"/>
  <c r="J120" i="25" s="1"/>
  <c r="H226" i="12"/>
  <c r="I226" i="12" s="1"/>
  <c r="J227" i="25" s="1"/>
  <c r="H165" i="12"/>
  <c r="I165" i="12" s="1"/>
  <c r="J166" i="25" s="1"/>
  <c r="H220" i="12"/>
  <c r="I220" i="12" s="1"/>
  <c r="J221" i="25" s="1"/>
  <c r="H11" i="12"/>
  <c r="I11" i="12" s="1"/>
  <c r="J12" i="25" s="1"/>
  <c r="H116" i="12"/>
  <c r="I116" i="12" s="1"/>
  <c r="J117" i="25" s="1"/>
  <c r="H80" i="12"/>
  <c r="I80" i="12" s="1"/>
  <c r="J81" i="25" s="1"/>
  <c r="H264" i="12"/>
  <c r="I264" i="12" s="1"/>
  <c r="J265" i="25" s="1"/>
  <c r="H69" i="12"/>
  <c r="I69" i="12" s="1"/>
  <c r="J70" i="25" s="1"/>
  <c r="H33" i="12"/>
  <c r="I33" i="12" s="1"/>
  <c r="J34" i="25" s="1"/>
  <c r="H193" i="12"/>
  <c r="I193" i="12" s="1"/>
  <c r="J194" i="25" s="1"/>
  <c r="H314" i="12"/>
  <c r="I314" i="12" s="1"/>
  <c r="J315" i="25" s="1"/>
  <c r="H309" i="12"/>
  <c r="I309" i="12" s="1"/>
  <c r="J310" i="25" s="1"/>
  <c r="H277" i="12"/>
  <c r="I277" i="12" s="1"/>
  <c r="J278" i="25" s="1"/>
  <c r="H118" i="12"/>
  <c r="I118" i="12" s="1"/>
  <c r="J119" i="25" s="1"/>
  <c r="H81" i="12"/>
  <c r="I81" i="12" s="1"/>
  <c r="J82" i="25" s="1"/>
  <c r="H154" i="12"/>
  <c r="I154" i="12" s="1"/>
  <c r="J155" i="25" s="1"/>
  <c r="H153" i="12"/>
  <c r="I153" i="12" s="1"/>
  <c r="J154" i="25" s="1"/>
  <c r="H209" i="12"/>
  <c r="I209" i="12" s="1"/>
  <c r="J210" i="25" s="1"/>
  <c r="H194" i="12"/>
  <c r="I194" i="12" s="1"/>
  <c r="J195" i="25" s="1"/>
  <c r="H142" i="12"/>
  <c r="I142" i="12" s="1"/>
  <c r="J143" i="25" s="1"/>
  <c r="H241" i="12"/>
  <c r="I241" i="12" s="1"/>
  <c r="J242" i="25" s="1"/>
  <c r="H245" i="12"/>
  <c r="I245" i="12" s="1"/>
  <c r="J246" i="25" s="1"/>
  <c r="H285" i="12"/>
  <c r="I285" i="12" s="1"/>
  <c r="J286" i="25" s="1"/>
  <c r="H269" i="12"/>
  <c r="I269" i="12" s="1"/>
  <c r="J270" i="25" s="1"/>
  <c r="H185" i="12"/>
  <c r="I185" i="12" s="1"/>
  <c r="J186" i="25" s="1"/>
  <c r="H100" i="12"/>
  <c r="I100" i="12" s="1"/>
  <c r="J101" i="25" s="1"/>
  <c r="H199" i="12"/>
  <c r="I199" i="12" s="1"/>
  <c r="J200" i="25" s="1"/>
  <c r="H139" i="12"/>
  <c r="I139" i="12" s="1"/>
  <c r="J140" i="25" s="1"/>
  <c r="H18" i="12"/>
  <c r="N19" i="13" s="1"/>
  <c r="O19" i="13" s="1"/>
  <c r="H95" i="12"/>
  <c r="I95" i="12" s="1"/>
  <c r="J96" i="25" s="1"/>
  <c r="H182" i="12"/>
  <c r="I182" i="12" s="1"/>
  <c r="J183" i="25" s="1"/>
  <c r="H101" i="12"/>
  <c r="I101" i="12" s="1"/>
  <c r="J102" i="25" s="1"/>
  <c r="H64" i="12"/>
  <c r="I64" i="12" s="1"/>
  <c r="J65" i="25" s="1"/>
  <c r="H280" i="12"/>
  <c r="I280" i="12" s="1"/>
  <c r="J281" i="25" s="1"/>
  <c r="H132" i="12"/>
  <c r="I132" i="12" s="1"/>
  <c r="J133" i="25" s="1"/>
  <c r="H59" i="12"/>
  <c r="I59" i="12" s="1"/>
  <c r="J60" i="25" s="1"/>
  <c r="H67" i="12"/>
  <c r="I67" i="12" s="1"/>
  <c r="J68" i="25" s="1"/>
  <c r="H305" i="12"/>
  <c r="I305" i="12" s="1"/>
  <c r="J306" i="25" s="1"/>
  <c r="H49" i="12"/>
  <c r="I49" i="12" s="1"/>
  <c r="J50" i="25" s="1"/>
  <c r="H78" i="12"/>
  <c r="I78" i="12" s="1"/>
  <c r="J79" i="25" s="1"/>
  <c r="H148" i="12"/>
  <c r="I148" i="12" s="1"/>
  <c r="J149" i="25" s="1"/>
  <c r="H237" i="12"/>
  <c r="I237" i="12" s="1"/>
  <c r="J238" i="25" s="1"/>
  <c r="H177" i="12"/>
  <c r="I177" i="12" s="1"/>
  <c r="J178" i="25" s="1"/>
  <c r="H178" i="12"/>
  <c r="I178" i="12" s="1"/>
  <c r="J179" i="25" s="1"/>
  <c r="H128" i="12"/>
  <c r="I128" i="12" s="1"/>
  <c r="J129" i="25" s="1"/>
  <c r="H73" i="12"/>
  <c r="I73" i="12" s="1"/>
  <c r="J74" i="25" s="1"/>
  <c r="H267" i="12"/>
  <c r="I267" i="12" s="1"/>
  <c r="J268" i="25" s="1"/>
  <c r="H295" i="12"/>
  <c r="I295" i="12" s="1"/>
  <c r="J296" i="25" s="1"/>
  <c r="H114" i="12"/>
  <c r="I114" i="12" s="1"/>
  <c r="J115" i="25" s="1"/>
  <c r="H152" i="12"/>
  <c r="I152" i="12" s="1"/>
  <c r="J153" i="25" s="1"/>
  <c r="H317" i="12"/>
  <c r="I317" i="12" s="1"/>
  <c r="J318" i="25" s="1"/>
  <c r="H10" i="12"/>
  <c r="I10" i="12" s="1"/>
  <c r="J11" i="25" s="1"/>
  <c r="H288" i="12"/>
  <c r="I288" i="12" s="1"/>
  <c r="J289" i="25" s="1"/>
  <c r="H7" i="12"/>
  <c r="I7" i="12" s="1"/>
  <c r="J8" i="25" s="1"/>
  <c r="H291" i="12"/>
  <c r="I291" i="12" s="1"/>
  <c r="J292" i="25" s="1"/>
  <c r="H215" i="12"/>
  <c r="I215" i="12" s="1"/>
  <c r="J216" i="25" s="1"/>
  <c r="H61" i="12"/>
  <c r="I61" i="12" s="1"/>
  <c r="J62" i="25" s="1"/>
  <c r="H45" i="12"/>
  <c r="I45" i="12" s="1"/>
  <c r="J46" i="25" s="1"/>
  <c r="H227" i="12"/>
  <c r="I227" i="12" s="1"/>
  <c r="J228" i="25" s="1"/>
  <c r="H133" i="12"/>
  <c r="I133" i="12" s="1"/>
  <c r="J134" i="25" s="1"/>
  <c r="H93" i="12"/>
  <c r="I93" i="12" s="1"/>
  <c r="J94" i="25" s="1"/>
  <c r="H211" i="12"/>
  <c r="J211" i="12" s="1"/>
  <c r="H189" i="12"/>
  <c r="I189" i="12" s="1"/>
  <c r="J190" i="25" s="1"/>
  <c r="H212" i="12"/>
  <c r="I212" i="12" s="1"/>
  <c r="J213" i="25" s="1"/>
  <c r="H138" i="12"/>
  <c r="I138" i="12" s="1"/>
  <c r="J139" i="25" s="1"/>
  <c r="H90" i="12"/>
  <c r="I90" i="12" s="1"/>
  <c r="J91" i="25" s="1"/>
  <c r="H174" i="12"/>
  <c r="I174" i="12" s="1"/>
  <c r="J175" i="25" s="1"/>
  <c r="H58" i="12"/>
  <c r="I58" i="12" s="1"/>
  <c r="J59" i="25" s="1"/>
  <c r="H84" i="12"/>
  <c r="I84" i="12" s="1"/>
  <c r="J85" i="25" s="1"/>
  <c r="H275" i="12"/>
  <c r="I275" i="12" s="1"/>
  <c r="J276" i="25" s="1"/>
  <c r="H155" i="12"/>
  <c r="I155" i="12" s="1"/>
  <c r="J156" i="25" s="1"/>
  <c r="H143" i="12"/>
  <c r="I143" i="12" s="1"/>
  <c r="J144" i="25" s="1"/>
  <c r="H246" i="12"/>
  <c r="I246" i="12" s="1"/>
  <c r="J247" i="25" s="1"/>
  <c r="H30" i="12"/>
  <c r="I30" i="12" s="1"/>
  <c r="J31" i="25" s="1"/>
  <c r="H320" i="12"/>
  <c r="I320" i="12" s="1"/>
  <c r="J321" i="25" s="1"/>
  <c r="H294" i="12"/>
  <c r="I294" i="12" s="1"/>
  <c r="J295" i="25" s="1"/>
  <c r="H41" i="12"/>
  <c r="I41" i="12" s="1"/>
  <c r="J42" i="25" s="1"/>
  <c r="H198" i="12"/>
  <c r="I198" i="12" s="1"/>
  <c r="J199" i="25" s="1"/>
  <c r="H79" i="12"/>
  <c r="I79" i="12" s="1"/>
  <c r="J80" i="25" s="1"/>
  <c r="H287" i="12"/>
  <c r="N288" i="13" s="1"/>
  <c r="O288" i="13" s="1"/>
  <c r="H297" i="12"/>
  <c r="I297" i="12" s="1"/>
  <c r="J298" i="25" s="1"/>
  <c r="H252" i="12"/>
  <c r="I252" i="12" s="1"/>
  <c r="J253" i="25" s="1"/>
  <c r="H166" i="12"/>
  <c r="I166" i="12" s="1"/>
  <c r="J167" i="25" s="1"/>
  <c r="H20" i="12"/>
  <c r="I20" i="12" s="1"/>
  <c r="J21" i="25" s="1"/>
  <c r="H13" i="12"/>
  <c r="I13" i="12" s="1"/>
  <c r="J14" i="25" s="1"/>
  <c r="H104" i="12"/>
  <c r="I104" i="12" s="1"/>
  <c r="J105" i="25" s="1"/>
  <c r="H17" i="12"/>
  <c r="I17" i="12" s="1"/>
  <c r="J18" i="25" s="1"/>
  <c r="H47" i="12"/>
  <c r="I47" i="12" s="1"/>
  <c r="J48" i="25" s="1"/>
  <c r="H72" i="12"/>
  <c r="J72" i="12" s="1"/>
  <c r="H111" i="12"/>
  <c r="I111" i="12" s="1"/>
  <c r="J112" i="25" s="1"/>
  <c r="G6" i="25"/>
  <c r="E5" i="39"/>
  <c r="G5" i="39" s="1"/>
  <c r="H5" i="39" s="1"/>
  <c r="I5" i="39" s="1"/>
  <c r="J5" i="39" s="1"/>
  <c r="E5" i="12"/>
  <c r="G5" i="12" s="1"/>
  <c r="H180" i="12"/>
  <c r="I180" i="12" s="1"/>
  <c r="J181" i="25" s="1"/>
  <c r="H70" i="12"/>
  <c r="I70" i="12" s="1"/>
  <c r="J71" i="25" s="1"/>
  <c r="H88" i="12"/>
  <c r="I88" i="12" s="1"/>
  <c r="J89" i="25" s="1"/>
  <c r="H272" i="12"/>
  <c r="I272" i="12" s="1"/>
  <c r="J273" i="25" s="1"/>
  <c r="H157" i="12"/>
  <c r="I157" i="12" s="1"/>
  <c r="J158" i="25" s="1"/>
  <c r="H219" i="12"/>
  <c r="I219" i="12" s="1"/>
  <c r="J220" i="25" s="1"/>
  <c r="H23" i="12"/>
  <c r="I23" i="12" s="1"/>
  <c r="J24" i="25" s="1"/>
  <c r="H242" i="12"/>
  <c r="I242" i="12" s="1"/>
  <c r="J243" i="25" s="1"/>
  <c r="H169" i="12"/>
  <c r="I169" i="12" s="1"/>
  <c r="J170" i="25" s="1"/>
  <c r="H102" i="12"/>
  <c r="I102" i="12" s="1"/>
  <c r="J103" i="25" s="1"/>
  <c r="H53" i="12"/>
  <c r="I53" i="12" s="1"/>
  <c r="J54" i="25" s="1"/>
  <c r="H171" i="12"/>
  <c r="I171" i="12" s="1"/>
  <c r="J172" i="25" s="1"/>
  <c r="H6" i="12"/>
  <c r="I6" i="12" s="1"/>
  <c r="J7" i="25" s="1"/>
  <c r="H127" i="12"/>
  <c r="I127" i="12" s="1"/>
  <c r="J128" i="25" s="1"/>
  <c r="H304" i="12"/>
  <c r="I304" i="12" s="1"/>
  <c r="J305" i="25" s="1"/>
  <c r="H149" i="12"/>
  <c r="I149" i="12" s="1"/>
  <c r="J150" i="25" s="1"/>
  <c r="H35" i="12"/>
  <c r="I35" i="12" s="1"/>
  <c r="J36" i="25" s="1"/>
  <c r="H235" i="12"/>
  <c r="H265" i="12"/>
  <c r="I265" i="12" s="1"/>
  <c r="J266" i="25" s="1"/>
  <c r="H282" i="12"/>
  <c r="I282" i="12" s="1"/>
  <c r="J283" i="25" s="1"/>
  <c r="H46" i="12"/>
  <c r="I46" i="12" s="1"/>
  <c r="J47" i="25" s="1"/>
  <c r="H124" i="12"/>
  <c r="I124" i="12" s="1"/>
  <c r="J125" i="25" s="1"/>
  <c r="H55" i="12"/>
  <c r="I55" i="12" s="1"/>
  <c r="J56" i="25" s="1"/>
  <c r="H117" i="12"/>
  <c r="I117" i="12" s="1"/>
  <c r="J118" i="25" s="1"/>
  <c r="H77" i="12"/>
  <c r="I77" i="12" s="1"/>
  <c r="J78" i="25" s="1"/>
  <c r="H206" i="12"/>
  <c r="I206" i="12" s="1"/>
  <c r="J207" i="25" s="1"/>
  <c r="H26" i="12"/>
  <c r="I26" i="12" s="1"/>
  <c r="J27" i="25" s="1"/>
  <c r="H229" i="12"/>
  <c r="I229" i="12" s="1"/>
  <c r="J230" i="25" s="1"/>
  <c r="H225" i="12"/>
  <c r="I225" i="12" s="1"/>
  <c r="J226" i="25" s="1"/>
  <c r="H308" i="12"/>
  <c r="I308" i="12" s="1"/>
  <c r="J309" i="25" s="1"/>
  <c r="H91" i="12"/>
  <c r="I91" i="12" s="1"/>
  <c r="J92" i="25" s="1"/>
  <c r="H158" i="12"/>
  <c r="I158" i="12" s="1"/>
  <c r="J159" i="25" s="1"/>
  <c r="H56" i="12"/>
  <c r="I56" i="12" s="1"/>
  <c r="J57" i="25" s="1"/>
  <c r="H202" i="12"/>
  <c r="I202" i="12" s="1"/>
  <c r="J203" i="25" s="1"/>
  <c r="H146" i="12"/>
  <c r="I146" i="12" s="1"/>
  <c r="J147" i="25" s="1"/>
  <c r="H224" i="12"/>
  <c r="I224" i="12" s="1"/>
  <c r="J225" i="25" s="1"/>
  <c r="H98" i="12"/>
  <c r="I98" i="12" s="1"/>
  <c r="J99" i="25" s="1"/>
  <c r="H230" i="12"/>
  <c r="I230" i="12" s="1"/>
  <c r="J231" i="25" s="1"/>
  <c r="H204" i="12"/>
  <c r="I204" i="12" s="1"/>
  <c r="J205" i="25" s="1"/>
  <c r="H228" i="12"/>
  <c r="I228" i="12" s="1"/>
  <c r="J229" i="25" s="1"/>
  <c r="H42" i="12"/>
  <c r="I42" i="12" s="1"/>
  <c r="J43" i="25" s="1"/>
  <c r="H261" i="12"/>
  <c r="N262" i="13" s="1"/>
  <c r="O262" i="13" s="1"/>
  <c r="H255" i="12"/>
  <c r="I255" i="12" s="1"/>
  <c r="J256" i="25" s="1"/>
  <c r="H167" i="12"/>
  <c r="I167" i="12" s="1"/>
  <c r="J168" i="25" s="1"/>
  <c r="H62" i="12"/>
  <c r="I62" i="12" s="1"/>
  <c r="J63" i="25" s="1"/>
  <c r="H197" i="12"/>
  <c r="I197" i="12" s="1"/>
  <c r="J198" i="25" s="1"/>
  <c r="H260" i="12"/>
  <c r="I260" i="12" s="1"/>
  <c r="J261" i="25" s="1"/>
  <c r="H234" i="12"/>
  <c r="I234" i="12" s="1"/>
  <c r="J235" i="25" s="1"/>
  <c r="H99" i="12"/>
  <c r="N100" i="13" s="1"/>
  <c r="O100" i="13" s="1"/>
  <c r="H191" i="12"/>
  <c r="I191" i="12" s="1"/>
  <c r="J192" i="25" s="1"/>
  <c r="H316" i="12"/>
  <c r="I316" i="12" s="1"/>
  <c r="J317" i="25" s="1"/>
  <c r="H25" i="12"/>
  <c r="I25" i="12" s="1"/>
  <c r="J26" i="25" s="1"/>
  <c r="H253" i="12"/>
  <c r="I253" i="12" s="1"/>
  <c r="J254" i="25" s="1"/>
  <c r="H89" i="12"/>
  <c r="N90" i="13" s="1"/>
  <c r="O90" i="13" s="1"/>
  <c r="P90" i="13" s="1"/>
  <c r="Q90" i="13" s="1"/>
  <c r="K90" i="25" s="1"/>
  <c r="H63" i="12"/>
  <c r="I63" i="12" s="1"/>
  <c r="J64" i="25" s="1"/>
  <c r="H147" i="12"/>
  <c r="I147" i="12" s="1"/>
  <c r="J148" i="25" s="1"/>
  <c r="H300" i="12"/>
  <c r="I300" i="12" s="1"/>
  <c r="J301" i="25" s="1"/>
  <c r="H66" i="12"/>
  <c r="I66" i="12" s="1"/>
  <c r="J67" i="25" s="1"/>
  <c r="H321" i="12"/>
  <c r="I321" i="12" s="1"/>
  <c r="J322" i="25" s="1"/>
  <c r="H183" i="12"/>
  <c r="I183" i="12" s="1"/>
  <c r="J184" i="25" s="1"/>
  <c r="H210" i="12"/>
  <c r="J210" i="12" s="1"/>
  <c r="H134" i="12"/>
  <c r="I134" i="12" s="1"/>
  <c r="J135" i="25" s="1"/>
  <c r="H247" i="12"/>
  <c r="I247" i="12" s="1"/>
  <c r="J248" i="25" s="1"/>
  <c r="H179" i="12"/>
  <c r="I179" i="12" s="1"/>
  <c r="J180" i="25" s="1"/>
  <c r="H170" i="12"/>
  <c r="N171" i="13" s="1"/>
  <c r="O171" i="13" s="1"/>
  <c r="H290" i="12"/>
  <c r="I290" i="12" s="1"/>
  <c r="J291" i="25" s="1"/>
  <c r="H236" i="12"/>
  <c r="I236" i="12" s="1"/>
  <c r="J237" i="25" s="1"/>
  <c r="H130" i="12"/>
  <c r="I130" i="12" s="1"/>
  <c r="J131" i="25" s="1"/>
  <c r="H140" i="12"/>
  <c r="I140" i="12" s="1"/>
  <c r="J141" i="25" s="1"/>
  <c r="H279" i="12"/>
  <c r="I279" i="12" s="1"/>
  <c r="J280" i="25" s="1"/>
  <c r="H207" i="12"/>
  <c r="I207" i="12" s="1"/>
  <c r="J208" i="25" s="1"/>
  <c r="H48" i="12"/>
  <c r="J48" i="12" s="1"/>
  <c r="H27" i="12"/>
  <c r="I27" i="12" s="1"/>
  <c r="J28" i="25" s="1"/>
  <c r="H284" i="12"/>
  <c r="I284" i="12" s="1"/>
  <c r="J285" i="25" s="1"/>
  <c r="H156" i="12"/>
  <c r="I156" i="12" s="1"/>
  <c r="J157" i="25" s="1"/>
  <c r="H262" i="12"/>
  <c r="I262" i="12" s="1"/>
  <c r="J263" i="25" s="1"/>
  <c r="H92" i="12"/>
  <c r="I92" i="12" s="1"/>
  <c r="J93" i="25" s="1"/>
  <c r="H306" i="12"/>
  <c r="I306" i="12" s="1"/>
  <c r="J307" i="25" s="1"/>
  <c r="H175" i="12"/>
  <c r="I175" i="12" s="1"/>
  <c r="J176" i="25" s="1"/>
  <c r="H137" i="12"/>
  <c r="I137" i="12" s="1"/>
  <c r="J138" i="25" s="1"/>
  <c r="H238" i="12"/>
  <c r="I238" i="12" s="1"/>
  <c r="J239" i="25" s="1"/>
  <c r="H123" i="12"/>
  <c r="I123" i="12" s="1"/>
  <c r="J124" i="25" s="1"/>
  <c r="H14" i="12"/>
  <c r="I14" i="12" s="1"/>
  <c r="J15" i="25" s="1"/>
  <c r="H40" i="12"/>
  <c r="I40" i="12" s="1"/>
  <c r="J41" i="25" s="1"/>
  <c r="H22" i="12"/>
  <c r="I22" i="12" s="1"/>
  <c r="J23" i="25" s="1"/>
  <c r="H276" i="12"/>
  <c r="I276" i="12" s="1"/>
  <c r="J277" i="25" s="1"/>
  <c r="H188" i="12"/>
  <c r="I188" i="12" s="1"/>
  <c r="J189" i="25" s="1"/>
  <c r="H289" i="12"/>
  <c r="I289" i="12" s="1"/>
  <c r="J290" i="25" s="1"/>
  <c r="H281" i="12"/>
  <c r="I281" i="12" s="1"/>
  <c r="J282" i="25" s="1"/>
  <c r="H31" i="12"/>
  <c r="I31" i="12" s="1"/>
  <c r="J32" i="25" s="1"/>
  <c r="H231" i="12"/>
  <c r="I231" i="12" s="1"/>
  <c r="J232" i="25" s="1"/>
  <c r="H208" i="12"/>
  <c r="I208" i="12" s="1"/>
  <c r="J209" i="25" s="1"/>
  <c r="N293" i="13" l="1"/>
  <c r="O293" i="13" s="1"/>
  <c r="J141" i="12"/>
  <c r="J147" i="12"/>
  <c r="N316" i="13"/>
  <c r="O316" i="13" s="1"/>
  <c r="N193" i="13"/>
  <c r="O193" i="13" s="1"/>
  <c r="P193" i="13" s="1"/>
  <c r="Q193" i="13" s="1"/>
  <c r="K193" i="25" s="1"/>
  <c r="L193" i="25" s="1"/>
  <c r="N193" i="25" s="1"/>
  <c r="J289" i="12"/>
  <c r="N239" i="13"/>
  <c r="O239" i="13" s="1"/>
  <c r="P239" i="13" s="1"/>
  <c r="Q239" i="13" s="1"/>
  <c r="K239" i="25" s="1"/>
  <c r="L239" i="25" s="1"/>
  <c r="N239" i="25" s="1"/>
  <c r="N27" i="13"/>
  <c r="O27" i="13" s="1"/>
  <c r="P27" i="13" s="1"/>
  <c r="Q27" i="13" s="1"/>
  <c r="K27" i="25" s="1"/>
  <c r="L27" i="25" s="1"/>
  <c r="N27" i="25" s="1"/>
  <c r="N74" i="13"/>
  <c r="O74" i="13" s="1"/>
  <c r="P74" i="13" s="1"/>
  <c r="Q74" i="13" s="1"/>
  <c r="K74" i="25" s="1"/>
  <c r="L74" i="25" s="1"/>
  <c r="N74" i="25" s="1"/>
  <c r="J285" i="12"/>
  <c r="N56" i="13"/>
  <c r="O56" i="13" s="1"/>
  <c r="P56" i="13" s="1"/>
  <c r="Q56" i="13" s="1"/>
  <c r="K56" i="25" s="1"/>
  <c r="L56" i="25" s="1"/>
  <c r="N56" i="25" s="1"/>
  <c r="N315" i="13"/>
  <c r="O315" i="13" s="1"/>
  <c r="P315" i="13" s="1"/>
  <c r="Q315" i="13" s="1"/>
  <c r="K315" i="25" s="1"/>
  <c r="L315" i="25" s="1"/>
  <c r="N114" i="13"/>
  <c r="O114" i="13" s="1"/>
  <c r="P114" i="13" s="1"/>
  <c r="Q114" i="13" s="1"/>
  <c r="K114" i="25" s="1"/>
  <c r="L114" i="25" s="1"/>
  <c r="N114" i="25" s="1"/>
  <c r="J36" i="12"/>
  <c r="N123" i="13"/>
  <c r="O123" i="13" s="1"/>
  <c r="P123" i="13" s="1"/>
  <c r="Q123" i="13" s="1"/>
  <c r="K123" i="25" s="1"/>
  <c r="L123" i="25" s="1"/>
  <c r="N123" i="25" s="1"/>
  <c r="N95" i="13"/>
  <c r="O95" i="13" s="1"/>
  <c r="P95" i="13" s="1"/>
  <c r="Q95" i="13" s="1"/>
  <c r="K95" i="25" s="1"/>
  <c r="L95" i="25" s="1"/>
  <c r="N95" i="25" s="1"/>
  <c r="J20" i="12"/>
  <c r="J297" i="12"/>
  <c r="J198" i="12"/>
  <c r="J95" i="12"/>
  <c r="N200" i="13"/>
  <c r="O200" i="13" s="1"/>
  <c r="P200" i="13" s="1"/>
  <c r="Q200" i="13" s="1"/>
  <c r="K200" i="25" s="1"/>
  <c r="L200" i="25" s="1"/>
  <c r="N200" i="25" s="1"/>
  <c r="J269" i="12"/>
  <c r="J122" i="12"/>
  <c r="N127" i="13"/>
  <c r="O127" i="13" s="1"/>
  <c r="P127" i="13" s="1"/>
  <c r="Q127" i="13" s="1"/>
  <c r="K127" i="25" s="1"/>
  <c r="L127" i="25" s="1"/>
  <c r="N127" i="25" s="1"/>
  <c r="N257" i="13"/>
  <c r="O257" i="13" s="1"/>
  <c r="P257" i="13" s="1"/>
  <c r="Q257" i="13" s="1"/>
  <c r="K257" i="25" s="1"/>
  <c r="L257" i="25" s="1"/>
  <c r="N257" i="25" s="1"/>
  <c r="N180" i="13"/>
  <c r="O180" i="13" s="1"/>
  <c r="P180" i="13" s="1"/>
  <c r="Q180" i="13" s="1"/>
  <c r="K180" i="25" s="1"/>
  <c r="L180" i="25" s="1"/>
  <c r="J191" i="12"/>
  <c r="N261" i="13"/>
  <c r="O261" i="13" s="1"/>
  <c r="P261" i="13" s="1"/>
  <c r="Q261" i="13" s="1"/>
  <c r="K261" i="25" s="1"/>
  <c r="L261" i="25" s="1"/>
  <c r="N261" i="25" s="1"/>
  <c r="N318" i="13"/>
  <c r="O318" i="13" s="1"/>
  <c r="P318" i="13" s="1"/>
  <c r="Q318" i="13" s="1"/>
  <c r="K318" i="25" s="1"/>
  <c r="L318" i="25" s="1"/>
  <c r="N166" i="13"/>
  <c r="O166" i="13" s="1"/>
  <c r="P166" i="13" s="1"/>
  <c r="Q166" i="13" s="1"/>
  <c r="K166" i="25" s="1"/>
  <c r="L166" i="25" s="1"/>
  <c r="N166" i="25" s="1"/>
  <c r="J82" i="12"/>
  <c r="N98" i="13"/>
  <c r="O98" i="13" s="1"/>
  <c r="P98" i="13" s="1"/>
  <c r="Q98" i="13" s="1"/>
  <c r="K98" i="25" s="1"/>
  <c r="L98" i="25" s="1"/>
  <c r="N98" i="25" s="1"/>
  <c r="N29" i="13"/>
  <c r="O29" i="13" s="1"/>
  <c r="P29" i="13" s="1"/>
  <c r="Q29" i="13" s="1"/>
  <c r="K29" i="25" s="1"/>
  <c r="L29" i="25" s="1"/>
  <c r="N29" i="25" s="1"/>
  <c r="N66" i="13"/>
  <c r="O66" i="13" s="1"/>
  <c r="P66" i="13" s="1"/>
  <c r="Q66" i="13" s="1"/>
  <c r="K66" i="25" s="1"/>
  <c r="L66" i="25" s="1"/>
  <c r="N66" i="25" s="1"/>
  <c r="J259" i="12"/>
  <c r="J263" i="12"/>
  <c r="J27" i="12"/>
  <c r="J290" i="12"/>
  <c r="N26" i="13"/>
  <c r="O26" i="13" s="1"/>
  <c r="P26" i="13" s="1"/>
  <c r="Q26" i="13" s="1"/>
  <c r="K26" i="25" s="1"/>
  <c r="L26" i="25" s="1"/>
  <c r="N26" i="25" s="1"/>
  <c r="J224" i="12"/>
  <c r="N305" i="13"/>
  <c r="O305" i="13" s="1"/>
  <c r="P305" i="13" s="1"/>
  <c r="Q305" i="13" s="1"/>
  <c r="K305" i="25" s="1"/>
  <c r="L305" i="25" s="1"/>
  <c r="N305" i="25" s="1"/>
  <c r="N243" i="13"/>
  <c r="O243" i="13" s="1"/>
  <c r="P243" i="13" s="1"/>
  <c r="Q243" i="13" s="1"/>
  <c r="K243" i="25" s="1"/>
  <c r="L243" i="25" s="1"/>
  <c r="N62" i="13"/>
  <c r="O62" i="13" s="1"/>
  <c r="P62" i="13" s="1"/>
  <c r="Q62" i="13" s="1"/>
  <c r="K62" i="25" s="1"/>
  <c r="L62" i="25" s="1"/>
  <c r="N62" i="25" s="1"/>
  <c r="J73" i="12"/>
  <c r="J264" i="12"/>
  <c r="J201" i="12"/>
  <c r="N279" i="13"/>
  <c r="O279" i="13" s="1"/>
  <c r="P279" i="13" s="1"/>
  <c r="Q279" i="13" s="1"/>
  <c r="K279" i="25" s="1"/>
  <c r="L279" i="25" s="1"/>
  <c r="N313" i="13"/>
  <c r="O313" i="13" s="1"/>
  <c r="P313" i="13" s="1"/>
  <c r="Q313" i="13" s="1"/>
  <c r="K313" i="25" s="1"/>
  <c r="L313" i="25" s="1"/>
  <c r="N313" i="25" s="1"/>
  <c r="J244" i="12"/>
  <c r="N20" i="13"/>
  <c r="O20" i="13" s="1"/>
  <c r="P20" i="13" s="1"/>
  <c r="Q20" i="13" s="1"/>
  <c r="K20" i="25" s="1"/>
  <c r="L20" i="25" s="1"/>
  <c r="N20" i="25" s="1"/>
  <c r="J176" i="12"/>
  <c r="N260" i="13"/>
  <c r="O260" i="13" s="1"/>
  <c r="P260" i="13" s="1"/>
  <c r="Q260" i="13" s="1"/>
  <c r="K260" i="25" s="1"/>
  <c r="L260" i="25" s="1"/>
  <c r="N260" i="25" s="1"/>
  <c r="J319" i="12"/>
  <c r="J248" i="12"/>
  <c r="N113" i="13"/>
  <c r="O113" i="13" s="1"/>
  <c r="P113" i="13" s="1"/>
  <c r="Q113" i="13" s="1"/>
  <c r="K113" i="25" s="1"/>
  <c r="L113" i="25" s="1"/>
  <c r="N113" i="25" s="1"/>
  <c r="J247" i="12"/>
  <c r="N184" i="13"/>
  <c r="O184" i="13" s="1"/>
  <c r="P184" i="13" s="1"/>
  <c r="Q184" i="13" s="1"/>
  <c r="K184" i="25" s="1"/>
  <c r="L184" i="25" s="1"/>
  <c r="N184" i="25" s="1"/>
  <c r="J230" i="12"/>
  <c r="J246" i="12"/>
  <c r="J275" i="12"/>
  <c r="N153" i="13"/>
  <c r="O153" i="13" s="1"/>
  <c r="P153" i="13" s="1"/>
  <c r="Q153" i="13" s="1"/>
  <c r="K153" i="25" s="1"/>
  <c r="L153" i="25" s="1"/>
  <c r="N153" i="25" s="1"/>
  <c r="N268" i="13"/>
  <c r="O268" i="13" s="1"/>
  <c r="P268" i="13" s="1"/>
  <c r="Q268" i="13" s="1"/>
  <c r="K268" i="25" s="1"/>
  <c r="L268" i="25" s="1"/>
  <c r="N268" i="25" s="1"/>
  <c r="N281" i="13"/>
  <c r="O281" i="13" s="1"/>
  <c r="P281" i="13" s="1"/>
  <c r="Q281" i="13" s="1"/>
  <c r="K281" i="25" s="1"/>
  <c r="L281" i="25" s="1"/>
  <c r="N281" i="25" s="1"/>
  <c r="N140" i="13"/>
  <c r="O140" i="13" s="1"/>
  <c r="P140" i="13" s="1"/>
  <c r="Q140" i="13" s="1"/>
  <c r="K140" i="25" s="1"/>
  <c r="L140" i="25" s="1"/>
  <c r="N140" i="25" s="1"/>
  <c r="N286" i="13"/>
  <c r="O286" i="13" s="1"/>
  <c r="P286" i="13" s="1"/>
  <c r="Q286" i="13" s="1"/>
  <c r="K286" i="25" s="1"/>
  <c r="L286" i="25" s="1"/>
  <c r="N286" i="25" s="1"/>
  <c r="N120" i="13"/>
  <c r="O120" i="13" s="1"/>
  <c r="P120" i="13" s="1"/>
  <c r="Q120" i="13" s="1"/>
  <c r="K120" i="25" s="1"/>
  <c r="L120" i="25" s="1"/>
  <c r="N120" i="25" s="1"/>
  <c r="J159" i="12"/>
  <c r="N151" i="13"/>
  <c r="O151" i="13" s="1"/>
  <c r="P151" i="13" s="1"/>
  <c r="Q151" i="13" s="1"/>
  <c r="K151" i="25" s="1"/>
  <c r="L151" i="25" s="1"/>
  <c r="N151" i="25" s="1"/>
  <c r="N202" i="13"/>
  <c r="O202" i="13" s="1"/>
  <c r="P202" i="13" s="1"/>
  <c r="Q202" i="13" s="1"/>
  <c r="K202" i="25" s="1"/>
  <c r="L202" i="25" s="1"/>
  <c r="N202" i="25" s="1"/>
  <c r="N240" i="13"/>
  <c r="O240" i="13" s="1"/>
  <c r="P240" i="13" s="1"/>
  <c r="Q240" i="13" s="1"/>
  <c r="K240" i="25" s="1"/>
  <c r="L240" i="25" s="1"/>
  <c r="N240" i="25" s="1"/>
  <c r="N121" i="13"/>
  <c r="O121" i="13" s="1"/>
  <c r="P121" i="13" s="1"/>
  <c r="Q121" i="13" s="1"/>
  <c r="K121" i="25" s="1"/>
  <c r="L121" i="25" s="1"/>
  <c r="N121" i="25" s="1"/>
  <c r="J232" i="12"/>
  <c r="J223" i="12"/>
  <c r="N272" i="13"/>
  <c r="O272" i="13" s="1"/>
  <c r="P272" i="13" s="1"/>
  <c r="Q272" i="13" s="1"/>
  <c r="K272" i="25" s="1"/>
  <c r="L272" i="25" s="1"/>
  <c r="N272" i="25" s="1"/>
  <c r="J92" i="12"/>
  <c r="N291" i="13"/>
  <c r="O291" i="13" s="1"/>
  <c r="P291" i="13" s="1"/>
  <c r="Q291" i="13" s="1"/>
  <c r="K291" i="25" s="1"/>
  <c r="L291" i="25" s="1"/>
  <c r="N291" i="25" s="1"/>
  <c r="J179" i="12"/>
  <c r="N148" i="13"/>
  <c r="O148" i="13" s="1"/>
  <c r="P148" i="13" s="1"/>
  <c r="Q148" i="13" s="1"/>
  <c r="K148" i="25" s="1"/>
  <c r="L148" i="25" s="1"/>
  <c r="N148" i="25" s="1"/>
  <c r="J255" i="12"/>
  <c r="N92" i="13"/>
  <c r="O92" i="13" s="1"/>
  <c r="P92" i="13" s="1"/>
  <c r="Q92" i="13" s="1"/>
  <c r="K92" i="25" s="1"/>
  <c r="L92" i="25" s="1"/>
  <c r="N92" i="25" s="1"/>
  <c r="J282" i="12"/>
  <c r="N273" i="13"/>
  <c r="O273" i="13" s="1"/>
  <c r="P273" i="13" s="1"/>
  <c r="Q273" i="13" s="1"/>
  <c r="K273" i="25" s="1"/>
  <c r="L273" i="25" s="1"/>
  <c r="N273" i="25" s="1"/>
  <c r="J90" i="12"/>
  <c r="J212" i="12"/>
  <c r="J45" i="12"/>
  <c r="J288" i="12"/>
  <c r="J317" i="12"/>
  <c r="N115" i="13"/>
  <c r="O115" i="13" s="1"/>
  <c r="P115" i="13" s="1"/>
  <c r="Q115" i="13" s="1"/>
  <c r="K115" i="25" s="1"/>
  <c r="L115" i="25" s="1"/>
  <c r="N115" i="25" s="1"/>
  <c r="J267" i="12"/>
  <c r="J49" i="12"/>
  <c r="N96" i="13"/>
  <c r="O96" i="13" s="1"/>
  <c r="P96" i="13" s="1"/>
  <c r="Q96" i="13" s="1"/>
  <c r="K96" i="25" s="1"/>
  <c r="L96" i="25" s="1"/>
  <c r="N96" i="25" s="1"/>
  <c r="J139" i="12"/>
  <c r="N101" i="13"/>
  <c r="O101" i="13" s="1"/>
  <c r="P101" i="13" s="1"/>
  <c r="Q101" i="13" s="1"/>
  <c r="K101" i="25" s="1"/>
  <c r="L101" i="25" s="1"/>
  <c r="N101" i="25" s="1"/>
  <c r="N270" i="13"/>
  <c r="O270" i="13" s="1"/>
  <c r="P270" i="13" s="1"/>
  <c r="Q270" i="13" s="1"/>
  <c r="K270" i="25" s="1"/>
  <c r="L270" i="25" s="1"/>
  <c r="N270" i="25" s="1"/>
  <c r="N155" i="13"/>
  <c r="O155" i="13" s="1"/>
  <c r="P155" i="13" s="1"/>
  <c r="Q155" i="13" s="1"/>
  <c r="K155" i="25" s="1"/>
  <c r="L155" i="25" s="1"/>
  <c r="N155" i="25" s="1"/>
  <c r="N265" i="13"/>
  <c r="O265" i="13" s="1"/>
  <c r="P265" i="13" s="1"/>
  <c r="Q265" i="13" s="1"/>
  <c r="K265" i="25" s="1"/>
  <c r="L265" i="25" s="1"/>
  <c r="N265" i="25" s="1"/>
  <c r="J160" i="12"/>
  <c r="N284" i="13"/>
  <c r="O284" i="13" s="1"/>
  <c r="P284" i="13" s="1"/>
  <c r="Q284" i="13" s="1"/>
  <c r="K284" i="25" s="1"/>
  <c r="L284" i="25" s="1"/>
  <c r="N284" i="25" s="1"/>
  <c r="J214" i="12"/>
  <c r="J298" i="12"/>
  <c r="J113" i="12"/>
  <c r="N40" i="13"/>
  <c r="O40" i="13" s="1"/>
  <c r="P40" i="13" s="1"/>
  <c r="Q40" i="13" s="1"/>
  <c r="K40" i="25" s="1"/>
  <c r="L40" i="25" s="1"/>
  <c r="N40" i="25" s="1"/>
  <c r="J213" i="12"/>
  <c r="J54" i="12"/>
  <c r="J28" i="12"/>
  <c r="J195" i="12"/>
  <c r="N245" i="13"/>
  <c r="O245" i="13" s="1"/>
  <c r="P245" i="13" s="1"/>
  <c r="Q245" i="13" s="1"/>
  <c r="K245" i="25" s="1"/>
  <c r="L245" i="25" s="1"/>
  <c r="N245" i="25" s="1"/>
  <c r="J57" i="12"/>
  <c r="N233" i="13"/>
  <c r="O233" i="13" s="1"/>
  <c r="P233" i="13" s="1"/>
  <c r="Q233" i="13" s="1"/>
  <c r="K233" i="25" s="1"/>
  <c r="L233" i="25" s="1"/>
  <c r="N233" i="25" s="1"/>
  <c r="J65" i="12"/>
  <c r="N152" i="13"/>
  <c r="O152" i="13" s="1"/>
  <c r="P152" i="13" s="1"/>
  <c r="J131" i="12"/>
  <c r="J200" i="12"/>
  <c r="J129" i="12"/>
  <c r="N145" i="13"/>
  <c r="O145" i="13" s="1"/>
  <c r="N264" i="13"/>
  <c r="O264" i="13" s="1"/>
  <c r="J274" i="12"/>
  <c r="J109" i="12"/>
  <c r="J276" i="12"/>
  <c r="N93" i="13"/>
  <c r="O93" i="13" s="1"/>
  <c r="P93" i="13" s="1"/>
  <c r="Q93" i="13" s="1"/>
  <c r="K93" i="25" s="1"/>
  <c r="L93" i="25" s="1"/>
  <c r="J207" i="12"/>
  <c r="N192" i="13"/>
  <c r="O192" i="13" s="1"/>
  <c r="P192" i="13" s="1"/>
  <c r="Q192" i="13" s="1"/>
  <c r="K192" i="25" s="1"/>
  <c r="L192" i="25" s="1"/>
  <c r="J62" i="12"/>
  <c r="N256" i="13"/>
  <c r="O256" i="13" s="1"/>
  <c r="P256" i="13" s="1"/>
  <c r="Q256" i="13" s="1"/>
  <c r="K256" i="25" s="1"/>
  <c r="L256" i="25" s="1"/>
  <c r="N256" i="25" s="1"/>
  <c r="J26" i="12"/>
  <c r="N125" i="13"/>
  <c r="O125" i="13" s="1"/>
  <c r="P125" i="13" s="1"/>
  <c r="Q125" i="13" s="1"/>
  <c r="K125" i="25" s="1"/>
  <c r="L125" i="25" s="1"/>
  <c r="N125" i="25" s="1"/>
  <c r="N7" i="13"/>
  <c r="O7" i="13" s="1"/>
  <c r="J272" i="12"/>
  <c r="J111" i="12"/>
  <c r="N21" i="13"/>
  <c r="O21" i="13" s="1"/>
  <c r="P21" i="13" s="1"/>
  <c r="Q21" i="13" s="1"/>
  <c r="K21" i="25" s="1"/>
  <c r="L21" i="25" s="1"/>
  <c r="N21" i="25" s="1"/>
  <c r="N247" i="13"/>
  <c r="O247" i="13" s="1"/>
  <c r="P247" i="13" s="1"/>
  <c r="Q247" i="13" s="1"/>
  <c r="K247" i="25" s="1"/>
  <c r="L247" i="25" s="1"/>
  <c r="N247" i="25" s="1"/>
  <c r="N59" i="13"/>
  <c r="O59" i="13" s="1"/>
  <c r="P59" i="13" s="1"/>
  <c r="Q59" i="13" s="1"/>
  <c r="K59" i="25" s="1"/>
  <c r="L59" i="25" s="1"/>
  <c r="N59" i="25" s="1"/>
  <c r="N91" i="13"/>
  <c r="O91" i="13" s="1"/>
  <c r="P91" i="13" s="1"/>
  <c r="Q91" i="13" s="1"/>
  <c r="K91" i="25" s="1"/>
  <c r="L91" i="25" s="1"/>
  <c r="N91" i="25" s="1"/>
  <c r="N46" i="13"/>
  <c r="O46" i="13" s="1"/>
  <c r="P46" i="13" s="1"/>
  <c r="Q46" i="13" s="1"/>
  <c r="K46" i="25" s="1"/>
  <c r="L46" i="25" s="1"/>
  <c r="N46" i="25" s="1"/>
  <c r="J148" i="12"/>
  <c r="J209" i="12"/>
  <c r="N221" i="13"/>
  <c r="O221" i="13" s="1"/>
  <c r="P221" i="13" s="1"/>
  <c r="Q221" i="13" s="1"/>
  <c r="K221" i="25" s="1"/>
  <c r="L221" i="25" s="1"/>
  <c r="N255" i="13"/>
  <c r="O255" i="13" s="1"/>
  <c r="P255" i="13" s="1"/>
  <c r="Q255" i="13" s="1"/>
  <c r="K255" i="25" s="1"/>
  <c r="L255" i="25" s="1"/>
  <c r="N255" i="25" s="1"/>
  <c r="N160" i="13"/>
  <c r="O160" i="13" s="1"/>
  <c r="P160" i="13" s="1"/>
  <c r="Q160" i="13" s="1"/>
  <c r="K160" i="25" s="1"/>
  <c r="L160" i="25" s="1"/>
  <c r="N160" i="25" s="1"/>
  <c r="N215" i="13"/>
  <c r="O215" i="13" s="1"/>
  <c r="J192" i="12"/>
  <c r="N9" i="13"/>
  <c r="O9" i="13" s="1"/>
  <c r="P9" i="13" s="1"/>
  <c r="Q9" i="13" s="1"/>
  <c r="K9" i="25" s="1"/>
  <c r="L9" i="25" s="1"/>
  <c r="N9" i="25" s="1"/>
  <c r="J39" i="12"/>
  <c r="N214" i="13"/>
  <c r="O214" i="13" s="1"/>
  <c r="P214" i="13" s="1"/>
  <c r="Q214" i="13" s="1"/>
  <c r="K214" i="25" s="1"/>
  <c r="L214" i="25" s="1"/>
  <c r="N214" i="25" s="1"/>
  <c r="N22" i="13"/>
  <c r="O22" i="13" s="1"/>
  <c r="P22" i="13" s="1"/>
  <c r="Q22" i="13" s="1"/>
  <c r="K22" i="25" s="1"/>
  <c r="L22" i="25" s="1"/>
  <c r="N22" i="25" s="1"/>
  <c r="J273" i="12"/>
  <c r="J94" i="12"/>
  <c r="N320" i="13"/>
  <c r="O320" i="13" s="1"/>
  <c r="P320" i="13" s="1"/>
  <c r="Q320" i="13" s="1"/>
  <c r="K320" i="25" s="1"/>
  <c r="L320" i="25" s="1"/>
  <c r="N320" i="25" s="1"/>
  <c r="J172" i="12"/>
  <c r="N130" i="13"/>
  <c r="O130" i="13" s="1"/>
  <c r="P130" i="13" s="1"/>
  <c r="Q130" i="13" s="1"/>
  <c r="K130" i="25" s="1"/>
  <c r="L130" i="25" s="1"/>
  <c r="N130" i="25" s="1"/>
  <c r="N241" i="13"/>
  <c r="O241" i="13" s="1"/>
  <c r="P241" i="13" s="1"/>
  <c r="Q241" i="13" s="1"/>
  <c r="K241" i="25" s="1"/>
  <c r="L241" i="25" s="1"/>
  <c r="N241" i="25" s="1"/>
  <c r="J144" i="12"/>
  <c r="J256" i="12"/>
  <c r="J187" i="12"/>
  <c r="N275" i="13"/>
  <c r="O275" i="13" s="1"/>
  <c r="P275" i="13" s="1"/>
  <c r="Q275" i="13" s="1"/>
  <c r="K275" i="25" s="1"/>
  <c r="L275" i="25" s="1"/>
  <c r="N275" i="25" s="1"/>
  <c r="N110" i="13"/>
  <c r="O110" i="13" s="1"/>
  <c r="P110" i="13" s="1"/>
  <c r="Q110" i="13" s="1"/>
  <c r="K110" i="25" s="1"/>
  <c r="L110" i="25" s="1"/>
  <c r="N110" i="25" s="1"/>
  <c r="J281" i="12"/>
  <c r="J306" i="12"/>
  <c r="N280" i="13"/>
  <c r="O280" i="13" s="1"/>
  <c r="P280" i="13" s="1"/>
  <c r="Q280" i="13" s="1"/>
  <c r="K280" i="25" s="1"/>
  <c r="L280" i="25" s="1"/>
  <c r="N280" i="25" s="1"/>
  <c r="N301" i="13"/>
  <c r="O301" i="13" s="1"/>
  <c r="N150" i="13"/>
  <c r="O150" i="13" s="1"/>
  <c r="P150" i="13" s="1"/>
  <c r="Q150" i="13" s="1"/>
  <c r="K150" i="25" s="1"/>
  <c r="L150" i="25" s="1"/>
  <c r="N150" i="25" s="1"/>
  <c r="N170" i="13"/>
  <c r="O170" i="13" s="1"/>
  <c r="P170" i="13" s="1"/>
  <c r="Q170" i="13" s="1"/>
  <c r="K170" i="25" s="1"/>
  <c r="L170" i="25" s="1"/>
  <c r="J157" i="12"/>
  <c r="J47" i="12"/>
  <c r="N282" i="13"/>
  <c r="O282" i="13" s="1"/>
  <c r="P282" i="13" s="1"/>
  <c r="Q282" i="13" s="1"/>
  <c r="K282" i="25" s="1"/>
  <c r="L282" i="25" s="1"/>
  <c r="N282" i="25" s="1"/>
  <c r="N41" i="13"/>
  <c r="O41" i="13" s="1"/>
  <c r="P41" i="13" s="1"/>
  <c r="Q41" i="13" s="1"/>
  <c r="K41" i="25" s="1"/>
  <c r="L41" i="25" s="1"/>
  <c r="N41" i="25" s="1"/>
  <c r="J123" i="12"/>
  <c r="J137" i="12"/>
  <c r="N307" i="13"/>
  <c r="O307" i="13" s="1"/>
  <c r="P307" i="13" s="1"/>
  <c r="Q307" i="13" s="1"/>
  <c r="K307" i="25" s="1"/>
  <c r="L307" i="25" s="1"/>
  <c r="N307" i="25" s="1"/>
  <c r="N28" i="13"/>
  <c r="O28" i="13" s="1"/>
  <c r="P28" i="13" s="1"/>
  <c r="Q28" i="13" s="1"/>
  <c r="K28" i="25" s="1"/>
  <c r="L28" i="25" s="1"/>
  <c r="N28" i="25" s="1"/>
  <c r="N208" i="13"/>
  <c r="O208" i="13" s="1"/>
  <c r="P208" i="13" s="1"/>
  <c r="Q208" i="13" s="1"/>
  <c r="K208" i="25" s="1"/>
  <c r="L208" i="25" s="1"/>
  <c r="N208" i="25" s="1"/>
  <c r="J279" i="12"/>
  <c r="N248" i="13"/>
  <c r="O248" i="13" s="1"/>
  <c r="P248" i="13" s="1"/>
  <c r="Q248" i="13" s="1"/>
  <c r="K248" i="25" s="1"/>
  <c r="L248" i="25" s="1"/>
  <c r="J321" i="12"/>
  <c r="J300" i="12"/>
  <c r="N254" i="13"/>
  <c r="O254" i="13" s="1"/>
  <c r="P254" i="13" s="1"/>
  <c r="Q254" i="13" s="1"/>
  <c r="K254" i="25" s="1"/>
  <c r="L254" i="25" s="1"/>
  <c r="N254" i="25" s="1"/>
  <c r="J204" i="12"/>
  <c r="J202" i="12"/>
  <c r="N159" i="13"/>
  <c r="O159" i="13" s="1"/>
  <c r="P159" i="13" s="1"/>
  <c r="N309" i="13"/>
  <c r="O309" i="13" s="1"/>
  <c r="N230" i="13"/>
  <c r="O230" i="13" s="1"/>
  <c r="J55" i="12"/>
  <c r="J149" i="12"/>
  <c r="N54" i="13"/>
  <c r="O54" i="13" s="1"/>
  <c r="P54" i="13" s="1"/>
  <c r="Q54" i="13" s="1"/>
  <c r="K54" i="25" s="1"/>
  <c r="L54" i="25" s="1"/>
  <c r="N54" i="25" s="1"/>
  <c r="J169" i="12"/>
  <c r="J23" i="12"/>
  <c r="N158" i="13"/>
  <c r="O158" i="13" s="1"/>
  <c r="P158" i="13" s="1"/>
  <c r="Q158" i="13" s="1"/>
  <c r="K158" i="25" s="1"/>
  <c r="L158" i="25" s="1"/>
  <c r="N158" i="25" s="1"/>
  <c r="N48" i="13"/>
  <c r="O48" i="13" s="1"/>
  <c r="P48" i="13" s="1"/>
  <c r="Q48" i="13" s="1"/>
  <c r="K48" i="25" s="1"/>
  <c r="L48" i="25" s="1"/>
  <c r="N48" i="25" s="1"/>
  <c r="J166" i="12"/>
  <c r="N199" i="13"/>
  <c r="O199" i="13" s="1"/>
  <c r="P199" i="13" s="1"/>
  <c r="Q199" i="13" s="1"/>
  <c r="K199" i="25" s="1"/>
  <c r="L199" i="25" s="1"/>
  <c r="J41" i="12"/>
  <c r="N144" i="13"/>
  <c r="O144" i="13" s="1"/>
  <c r="P144" i="13" s="1"/>
  <c r="Q144" i="13" s="1"/>
  <c r="K144" i="25" s="1"/>
  <c r="L144" i="25" s="1"/>
  <c r="N144" i="25" s="1"/>
  <c r="J138" i="12"/>
  <c r="N292" i="13"/>
  <c r="O292" i="13" s="1"/>
  <c r="P292" i="13" s="1"/>
  <c r="Q292" i="13" s="1"/>
  <c r="K292" i="25" s="1"/>
  <c r="L292" i="25" s="1"/>
  <c r="N292" i="25" s="1"/>
  <c r="J237" i="12"/>
  <c r="N68" i="13"/>
  <c r="O68" i="13" s="1"/>
  <c r="P68" i="13" s="1"/>
  <c r="Q68" i="13" s="1"/>
  <c r="K68" i="25" s="1"/>
  <c r="L68" i="25" s="1"/>
  <c r="N68" i="25" s="1"/>
  <c r="N133" i="13"/>
  <c r="O133" i="13" s="1"/>
  <c r="P133" i="13" s="1"/>
  <c r="Q133" i="13" s="1"/>
  <c r="K133" i="25" s="1"/>
  <c r="L133" i="25" s="1"/>
  <c r="N133" i="25" s="1"/>
  <c r="J64" i="12"/>
  <c r="N183" i="13"/>
  <c r="O183" i="13" s="1"/>
  <c r="P183" i="13" s="1"/>
  <c r="Q183" i="13" s="1"/>
  <c r="K183" i="25" s="1"/>
  <c r="L183" i="25" s="1"/>
  <c r="N195" i="13"/>
  <c r="O195" i="13" s="1"/>
  <c r="P195" i="13" s="1"/>
  <c r="Q195" i="13" s="1"/>
  <c r="K195" i="25" s="1"/>
  <c r="L195" i="25" s="1"/>
  <c r="N195" i="25" s="1"/>
  <c r="J118" i="12"/>
  <c r="J309" i="12"/>
  <c r="N194" i="13"/>
  <c r="O194" i="13" s="1"/>
  <c r="P194" i="13" s="1"/>
  <c r="Q194" i="13" s="1"/>
  <c r="K194" i="25" s="1"/>
  <c r="L194" i="25" s="1"/>
  <c r="N194" i="25" s="1"/>
  <c r="N70" i="13"/>
  <c r="O70" i="13" s="1"/>
  <c r="P70" i="13" s="1"/>
  <c r="Q70" i="13" s="1"/>
  <c r="K70" i="25" s="1"/>
  <c r="L70" i="25" s="1"/>
  <c r="N70" i="25" s="1"/>
  <c r="J220" i="12"/>
  <c r="N161" i="13"/>
  <c r="O161" i="13" s="1"/>
  <c r="P161" i="13" s="1"/>
  <c r="Q161" i="13" s="1"/>
  <c r="K161" i="25" s="1"/>
  <c r="L161" i="25" s="1"/>
  <c r="N161" i="25" s="1"/>
  <c r="J97" i="12"/>
  <c r="J257" i="12"/>
  <c r="N146" i="13"/>
  <c r="O146" i="13" s="1"/>
  <c r="P146" i="13" s="1"/>
  <c r="J150" i="12"/>
  <c r="J71" i="12"/>
  <c r="N88" i="13"/>
  <c r="O88" i="13" s="1"/>
  <c r="P88" i="13" s="1"/>
  <c r="Q88" i="13" s="1"/>
  <c r="K88" i="25" s="1"/>
  <c r="L88" i="25" s="1"/>
  <c r="N88" i="25" s="1"/>
  <c r="N304" i="13"/>
  <c r="O304" i="13" s="1"/>
  <c r="P304" i="13" s="1"/>
  <c r="Q304" i="13" s="1"/>
  <c r="K304" i="25" s="1"/>
  <c r="L304" i="25" s="1"/>
  <c r="N304" i="25" s="1"/>
  <c r="J120" i="12"/>
  <c r="J74" i="12"/>
  <c r="J163" i="12"/>
  <c r="J76" i="12"/>
  <c r="N84" i="13"/>
  <c r="O84" i="13" s="1"/>
  <c r="N234" i="13"/>
  <c r="O234" i="13" s="1"/>
  <c r="P234" i="13" s="1"/>
  <c r="Q234" i="13" s="1"/>
  <c r="K234" i="25" s="1"/>
  <c r="L234" i="25" s="1"/>
  <c r="N234" i="25" s="1"/>
  <c r="N312" i="13"/>
  <c r="O312" i="13" s="1"/>
  <c r="P312" i="13" s="1"/>
  <c r="Q312" i="13" s="1"/>
  <c r="K312" i="25" s="1"/>
  <c r="L312" i="25" s="1"/>
  <c r="N312" i="25" s="1"/>
  <c r="N274" i="13"/>
  <c r="O274" i="13" s="1"/>
  <c r="P274" i="13" s="1"/>
  <c r="Q274" i="13" s="1"/>
  <c r="K274" i="25" s="1"/>
  <c r="L274" i="25" s="1"/>
  <c r="N274" i="25" s="1"/>
  <c r="N45" i="13"/>
  <c r="O45" i="13" s="1"/>
  <c r="P45" i="13" s="1"/>
  <c r="Q45" i="13" s="1"/>
  <c r="K45" i="25" s="1"/>
  <c r="L45" i="25" s="1"/>
  <c r="N45" i="25" s="1"/>
  <c r="J52" i="12"/>
  <c r="N311" i="13"/>
  <c r="O311" i="13" s="1"/>
  <c r="P311" i="13" s="1"/>
  <c r="Q311" i="13" s="1"/>
  <c r="K311" i="25" s="1"/>
  <c r="L311" i="25" s="1"/>
  <c r="N311" i="25" s="1"/>
  <c r="N132" i="13"/>
  <c r="O132" i="13" s="1"/>
  <c r="P132" i="13" s="1"/>
  <c r="Q132" i="13" s="1"/>
  <c r="K132" i="25" s="1"/>
  <c r="L132" i="25" s="1"/>
  <c r="J313" i="12"/>
  <c r="J24" i="12"/>
  <c r="N294" i="13"/>
  <c r="O294" i="13" s="1"/>
  <c r="P294" i="13" s="1"/>
  <c r="Q294" i="13" s="1"/>
  <c r="K294" i="25" s="1"/>
  <c r="L294" i="25" s="1"/>
  <c r="N294" i="25" s="1"/>
  <c r="J271" i="12"/>
  <c r="N124" i="13"/>
  <c r="O124" i="13" s="1"/>
  <c r="P124" i="13" s="1"/>
  <c r="Q124" i="13" s="1"/>
  <c r="K124" i="25" s="1"/>
  <c r="L124" i="25" s="1"/>
  <c r="N124" i="25" s="1"/>
  <c r="N205" i="13"/>
  <c r="O205" i="13" s="1"/>
  <c r="P205" i="13" s="1"/>
  <c r="Q205" i="13" s="1"/>
  <c r="K205" i="25" s="1"/>
  <c r="L205" i="25" s="1"/>
  <c r="N205" i="25" s="1"/>
  <c r="J158" i="12"/>
  <c r="J229" i="12"/>
  <c r="N42" i="13"/>
  <c r="O42" i="13" s="1"/>
  <c r="P42" i="13" s="1"/>
  <c r="Q42" i="13" s="1"/>
  <c r="K42" i="25" s="1"/>
  <c r="L42" i="25" s="1"/>
  <c r="N42" i="25" s="1"/>
  <c r="N238" i="13"/>
  <c r="O238" i="13" s="1"/>
  <c r="P238" i="13" s="1"/>
  <c r="Q238" i="13" s="1"/>
  <c r="K238" i="25" s="1"/>
  <c r="L238" i="25" s="1"/>
  <c r="N238" i="25" s="1"/>
  <c r="J132" i="12"/>
  <c r="J182" i="12"/>
  <c r="J194" i="12"/>
  <c r="N310" i="13"/>
  <c r="O310" i="13" s="1"/>
  <c r="J69" i="12"/>
  <c r="N258" i="13"/>
  <c r="O258" i="13" s="1"/>
  <c r="P258" i="13" s="1"/>
  <c r="N164" i="13"/>
  <c r="O164" i="13" s="1"/>
  <c r="P164" i="13" s="1"/>
  <c r="Q164" i="13" s="1"/>
  <c r="K164" i="25" s="1"/>
  <c r="L164" i="25" s="1"/>
  <c r="N164" i="25" s="1"/>
  <c r="J83" i="12"/>
  <c r="J311" i="12"/>
  <c r="J44" i="12"/>
  <c r="N25" i="13"/>
  <c r="O25" i="13" s="1"/>
  <c r="P25" i="13" s="1"/>
  <c r="Q25" i="13" s="1"/>
  <c r="K25" i="25" s="1"/>
  <c r="L25" i="25" s="1"/>
  <c r="N25" i="25" s="1"/>
  <c r="J31" i="12"/>
  <c r="J22" i="12"/>
  <c r="J284" i="12"/>
  <c r="J197" i="12"/>
  <c r="N209" i="13"/>
  <c r="O209" i="13" s="1"/>
  <c r="P209" i="13" s="1"/>
  <c r="Q209" i="13" s="1"/>
  <c r="K209" i="25" s="1"/>
  <c r="L209" i="25" s="1"/>
  <c r="N209" i="25" s="1"/>
  <c r="N32" i="13"/>
  <c r="O32" i="13" s="1"/>
  <c r="P32" i="13" s="1"/>
  <c r="N277" i="13"/>
  <c r="O277" i="13" s="1"/>
  <c r="P277" i="13" s="1"/>
  <c r="Q277" i="13" s="1"/>
  <c r="K277" i="25" s="1"/>
  <c r="L277" i="25" s="1"/>
  <c r="N277" i="25" s="1"/>
  <c r="N23" i="13"/>
  <c r="O23" i="13" s="1"/>
  <c r="J238" i="12"/>
  <c r="J262" i="12"/>
  <c r="N285" i="13"/>
  <c r="O285" i="13" s="1"/>
  <c r="P285" i="13" s="1"/>
  <c r="Q285" i="13" s="1"/>
  <c r="K285" i="25" s="1"/>
  <c r="L285" i="25" s="1"/>
  <c r="N285" i="25" s="1"/>
  <c r="J140" i="12"/>
  <c r="J236" i="12"/>
  <c r="N135" i="13"/>
  <c r="O135" i="13" s="1"/>
  <c r="P135" i="13" s="1"/>
  <c r="Q135" i="13" s="1"/>
  <c r="K135" i="25" s="1"/>
  <c r="L135" i="25" s="1"/>
  <c r="N135" i="25" s="1"/>
  <c r="J183" i="12"/>
  <c r="N64" i="13"/>
  <c r="O64" i="13" s="1"/>
  <c r="P64" i="13" s="1"/>
  <c r="Q64" i="13" s="1"/>
  <c r="K64" i="25" s="1"/>
  <c r="L64" i="25" s="1"/>
  <c r="N64" i="25" s="1"/>
  <c r="J253" i="12"/>
  <c r="J260" i="12"/>
  <c r="N198" i="13"/>
  <c r="O198" i="13" s="1"/>
  <c r="P198" i="13" s="1"/>
  <c r="Q198" i="13" s="1"/>
  <c r="K198" i="25" s="1"/>
  <c r="L198" i="25" s="1"/>
  <c r="N198" i="25" s="1"/>
  <c r="N229" i="13"/>
  <c r="O229" i="13" s="1"/>
  <c r="P229" i="13" s="1"/>
  <c r="Q229" i="13" s="1"/>
  <c r="K229" i="25" s="1"/>
  <c r="L229" i="25" s="1"/>
  <c r="N229" i="25" s="1"/>
  <c r="N225" i="13"/>
  <c r="O225" i="13" s="1"/>
  <c r="P225" i="13" s="1"/>
  <c r="Q225" i="13" s="1"/>
  <c r="K225" i="25" s="1"/>
  <c r="L225" i="25" s="1"/>
  <c r="N225" i="25" s="1"/>
  <c r="J146" i="12"/>
  <c r="J91" i="12"/>
  <c r="N207" i="13"/>
  <c r="O207" i="13" s="1"/>
  <c r="N118" i="13"/>
  <c r="O118" i="13" s="1"/>
  <c r="P118" i="13" s="1"/>
  <c r="Q118" i="13" s="1"/>
  <c r="K118" i="25" s="1"/>
  <c r="L118" i="25" s="1"/>
  <c r="N118" i="25" s="1"/>
  <c r="N283" i="13"/>
  <c r="O283" i="13" s="1"/>
  <c r="P283" i="13" s="1"/>
  <c r="Q283" i="13" s="1"/>
  <c r="K283" i="25" s="1"/>
  <c r="L283" i="25" s="1"/>
  <c r="N283" i="25" s="1"/>
  <c r="J265" i="12"/>
  <c r="N36" i="13"/>
  <c r="O36" i="13" s="1"/>
  <c r="J6" i="12"/>
  <c r="N172" i="13"/>
  <c r="O172" i="13" s="1"/>
  <c r="P172" i="13" s="1"/>
  <c r="Q172" i="13" s="1"/>
  <c r="K172" i="25" s="1"/>
  <c r="L172" i="25" s="1"/>
  <c r="N172" i="25" s="1"/>
  <c r="J242" i="12"/>
  <c r="J88" i="12"/>
  <c r="J180" i="12"/>
  <c r="N18" i="13"/>
  <c r="O18" i="13" s="1"/>
  <c r="P18" i="13" s="1"/>
  <c r="Q18" i="13" s="1"/>
  <c r="K18" i="25" s="1"/>
  <c r="L18" i="25" s="1"/>
  <c r="N18" i="25" s="1"/>
  <c r="N14" i="13"/>
  <c r="O14" i="13" s="1"/>
  <c r="N298" i="13"/>
  <c r="O298" i="13" s="1"/>
  <c r="P298" i="13" s="1"/>
  <c r="Q298" i="13" s="1"/>
  <c r="K298" i="25" s="1"/>
  <c r="L298" i="25" s="1"/>
  <c r="N298" i="25" s="1"/>
  <c r="N295" i="13"/>
  <c r="O295" i="13" s="1"/>
  <c r="P295" i="13" s="1"/>
  <c r="Q295" i="13" s="1"/>
  <c r="K295" i="25" s="1"/>
  <c r="L295" i="25" s="1"/>
  <c r="N295" i="25" s="1"/>
  <c r="N31" i="13"/>
  <c r="O31" i="13" s="1"/>
  <c r="P31" i="13" s="1"/>
  <c r="N276" i="13"/>
  <c r="O276" i="13" s="1"/>
  <c r="P276" i="13" s="1"/>
  <c r="Q276" i="13" s="1"/>
  <c r="K276" i="25" s="1"/>
  <c r="L276" i="25" s="1"/>
  <c r="N276" i="25" s="1"/>
  <c r="N85" i="13"/>
  <c r="O85" i="13" s="1"/>
  <c r="P85" i="13" s="1"/>
  <c r="Q85" i="13" s="1"/>
  <c r="K85" i="25" s="1"/>
  <c r="L85" i="25" s="1"/>
  <c r="N85" i="25" s="1"/>
  <c r="N139" i="13"/>
  <c r="O139" i="13" s="1"/>
  <c r="P139" i="13" s="1"/>
  <c r="Q139" i="13" s="1"/>
  <c r="K139" i="25" s="1"/>
  <c r="L139" i="25" s="1"/>
  <c r="N139" i="25" s="1"/>
  <c r="J93" i="12"/>
  <c r="J227" i="12"/>
  <c r="J291" i="12"/>
  <c r="N8" i="13"/>
  <c r="O8" i="13" s="1"/>
  <c r="P8" i="13" s="1"/>
  <c r="Q8" i="13" s="1"/>
  <c r="K8" i="25" s="1"/>
  <c r="L8" i="25" s="1"/>
  <c r="N8" i="25" s="1"/>
  <c r="J152" i="12"/>
  <c r="N129" i="13"/>
  <c r="O129" i="13" s="1"/>
  <c r="N178" i="13"/>
  <c r="O178" i="13" s="1"/>
  <c r="P178" i="13" s="1"/>
  <c r="N50" i="13"/>
  <c r="O50" i="13" s="1"/>
  <c r="P50" i="13" s="1"/>
  <c r="Q50" i="13" s="1"/>
  <c r="K50" i="25" s="1"/>
  <c r="L50" i="25" s="1"/>
  <c r="N306" i="13"/>
  <c r="O306" i="13" s="1"/>
  <c r="P306" i="13" s="1"/>
  <c r="Q306" i="13" s="1"/>
  <c r="K306" i="25" s="1"/>
  <c r="L306" i="25" s="1"/>
  <c r="N306" i="25" s="1"/>
  <c r="J280" i="12"/>
  <c r="J199" i="12"/>
  <c r="N246" i="13"/>
  <c r="O246" i="13" s="1"/>
  <c r="P246" i="13" s="1"/>
  <c r="Q246" i="13" s="1"/>
  <c r="K246" i="25" s="1"/>
  <c r="L246" i="25" s="1"/>
  <c r="N246" i="25" s="1"/>
  <c r="J142" i="12"/>
  <c r="J154" i="12"/>
  <c r="N82" i="13"/>
  <c r="O82" i="13" s="1"/>
  <c r="J314" i="12"/>
  <c r="J80" i="12"/>
  <c r="N12" i="13"/>
  <c r="O12" i="13" s="1"/>
  <c r="J119" i="12"/>
  <c r="N10" i="13"/>
  <c r="O10" i="13" s="1"/>
  <c r="N83" i="13"/>
  <c r="O83" i="13" s="1"/>
  <c r="P83" i="13" s="1"/>
  <c r="Q83" i="13" s="1"/>
  <c r="K83" i="25" s="1"/>
  <c r="L83" i="25" s="1"/>
  <c r="N83" i="25" s="1"/>
  <c r="N61" i="13"/>
  <c r="O61" i="13" s="1"/>
  <c r="J222" i="12"/>
  <c r="J218" i="12"/>
  <c r="N169" i="13"/>
  <c r="O169" i="13" s="1"/>
  <c r="N72" i="13"/>
  <c r="O72" i="13" s="1"/>
  <c r="P72" i="13" s="1"/>
  <c r="Q72" i="13" s="1"/>
  <c r="K72" i="25" s="1"/>
  <c r="L72" i="25" s="1"/>
  <c r="N72" i="25" s="1"/>
  <c r="N269" i="13"/>
  <c r="O269" i="13" s="1"/>
  <c r="J221" i="12"/>
  <c r="J239" i="12"/>
  <c r="N191" i="13"/>
  <c r="O191" i="13" s="1"/>
  <c r="J303" i="12"/>
  <c r="N52" i="13"/>
  <c r="O52" i="13" s="1"/>
  <c r="P52" i="13" s="1"/>
  <c r="Q52" i="13" s="1"/>
  <c r="K52" i="25" s="1"/>
  <c r="L52" i="25" s="1"/>
  <c r="N52" i="25" s="1"/>
  <c r="N287" i="13"/>
  <c r="O287" i="13" s="1"/>
  <c r="N75" i="13"/>
  <c r="O75" i="13" s="1"/>
  <c r="N107" i="13"/>
  <c r="O107" i="13" s="1"/>
  <c r="P107" i="13" s="1"/>
  <c r="Q107" i="13" s="1"/>
  <c r="K107" i="25" s="1"/>
  <c r="L107" i="25" s="1"/>
  <c r="N107" i="25" s="1"/>
  <c r="J312" i="12"/>
  <c r="N116" i="13"/>
  <c r="O116" i="13" s="1"/>
  <c r="P116" i="13" s="1"/>
  <c r="Q116" i="13" s="1"/>
  <c r="K116" i="25" s="1"/>
  <c r="L116" i="25" s="1"/>
  <c r="N116" i="25" s="1"/>
  <c r="N38" i="13"/>
  <c r="O38" i="13" s="1"/>
  <c r="N58" i="13"/>
  <c r="O58" i="13" s="1"/>
  <c r="P58" i="13" s="1"/>
  <c r="Q58" i="13" s="1"/>
  <c r="K58" i="25" s="1"/>
  <c r="L58" i="25" s="1"/>
  <c r="N58" i="25" s="1"/>
  <c r="J196" i="12"/>
  <c r="J19" i="12"/>
  <c r="N39" i="13"/>
  <c r="O39" i="13" s="1"/>
  <c r="P39" i="13" s="1"/>
  <c r="Q39" i="13" s="1"/>
  <c r="K39" i="25" s="1"/>
  <c r="L39" i="25" s="1"/>
  <c r="N39" i="25" s="1"/>
  <c r="N165" i="13"/>
  <c r="O165" i="13" s="1"/>
  <c r="P165" i="13" s="1"/>
  <c r="Q165" i="13" s="1"/>
  <c r="K165" i="25" s="1"/>
  <c r="L165" i="25" s="1"/>
  <c r="N165" i="25" s="1"/>
  <c r="N106" i="13"/>
  <c r="O106" i="13" s="1"/>
  <c r="P106" i="13" s="1"/>
  <c r="Q106" i="13" s="1"/>
  <c r="K106" i="25" s="1"/>
  <c r="L106" i="25" s="1"/>
  <c r="N106" i="25" s="1"/>
  <c r="N252" i="13"/>
  <c r="O252" i="13" s="1"/>
  <c r="J151" i="12"/>
  <c r="J16" i="12"/>
  <c r="J310" i="12"/>
  <c r="J302" i="12"/>
  <c r="J216" i="12"/>
  <c r="N314" i="13"/>
  <c r="O314" i="13" s="1"/>
  <c r="P314" i="13" s="1"/>
  <c r="Q314" i="13" s="1"/>
  <c r="K314" i="25" s="1"/>
  <c r="L314" i="25" s="1"/>
  <c r="N314" i="25" s="1"/>
  <c r="J29" i="12"/>
  <c r="N224" i="13"/>
  <c r="O224" i="13" s="1"/>
  <c r="P224" i="13" s="1"/>
  <c r="Q224" i="13" s="1"/>
  <c r="K224" i="25" s="1"/>
  <c r="L224" i="25" s="1"/>
  <c r="N224" i="25" s="1"/>
  <c r="J258" i="12"/>
  <c r="J86" i="12"/>
  <c r="J293" i="12"/>
  <c r="J186" i="12"/>
  <c r="J50" i="12"/>
  <c r="N237" i="13"/>
  <c r="O237" i="13" s="1"/>
  <c r="P237" i="13" s="1"/>
  <c r="Q237" i="13" s="1"/>
  <c r="K237" i="25" s="1"/>
  <c r="L237" i="25" s="1"/>
  <c r="N237" i="25" s="1"/>
  <c r="J228" i="12"/>
  <c r="N147" i="13"/>
  <c r="O147" i="13" s="1"/>
  <c r="P147" i="13" s="1"/>
  <c r="Q147" i="13" s="1"/>
  <c r="K147" i="25" s="1"/>
  <c r="L147" i="25" s="1"/>
  <c r="N147" i="25" s="1"/>
  <c r="J117" i="12"/>
  <c r="N266" i="13"/>
  <c r="O266" i="13" s="1"/>
  <c r="P266" i="13" s="1"/>
  <c r="Q266" i="13" s="1"/>
  <c r="K266" i="25" s="1"/>
  <c r="L266" i="25" s="1"/>
  <c r="N266" i="25" s="1"/>
  <c r="J35" i="12"/>
  <c r="J171" i="12"/>
  <c r="N181" i="13"/>
  <c r="O181" i="13" s="1"/>
  <c r="J13" i="12"/>
  <c r="J30" i="12"/>
  <c r="J84" i="12"/>
  <c r="N228" i="13"/>
  <c r="O228" i="13" s="1"/>
  <c r="P228" i="13" s="1"/>
  <c r="Q228" i="13" s="1"/>
  <c r="K228" i="25" s="1"/>
  <c r="L228" i="25" s="1"/>
  <c r="N228" i="25" s="1"/>
  <c r="J7" i="12"/>
  <c r="J177" i="12"/>
  <c r="J305" i="12"/>
  <c r="N143" i="13"/>
  <c r="O143" i="13" s="1"/>
  <c r="P143" i="13" s="1"/>
  <c r="Q143" i="13" s="1"/>
  <c r="K143" i="25" s="1"/>
  <c r="L143" i="25" s="1"/>
  <c r="N143" i="25" s="1"/>
  <c r="J81" i="12"/>
  <c r="J11" i="12"/>
  <c r="J9" i="12"/>
  <c r="N223" i="13"/>
  <c r="O223" i="13" s="1"/>
  <c r="J168" i="12"/>
  <c r="J268" i="12"/>
  <c r="N222" i="13"/>
  <c r="O222" i="13" s="1"/>
  <c r="P222" i="13" s="1"/>
  <c r="J190" i="12"/>
  <c r="J286" i="12"/>
  <c r="J106" i="12"/>
  <c r="J37" i="12"/>
  <c r="N197" i="13"/>
  <c r="O197" i="13" s="1"/>
  <c r="P197" i="13" s="1"/>
  <c r="J164" i="12"/>
  <c r="J251" i="12"/>
  <c r="N17" i="13"/>
  <c r="O17" i="13" s="1"/>
  <c r="P17" i="13" s="1"/>
  <c r="Q17" i="13" s="1"/>
  <c r="K17" i="25" s="1"/>
  <c r="L17" i="25" s="1"/>
  <c r="N17" i="25" s="1"/>
  <c r="N217" i="13"/>
  <c r="O217" i="13" s="1"/>
  <c r="N30" i="13"/>
  <c r="O30" i="13" s="1"/>
  <c r="P30" i="13" s="1"/>
  <c r="Q30" i="13" s="1"/>
  <c r="K30" i="25" s="1"/>
  <c r="L30" i="25" s="1"/>
  <c r="N30" i="25" s="1"/>
  <c r="N87" i="13"/>
  <c r="O87" i="13" s="1"/>
  <c r="P87" i="13" s="1"/>
  <c r="Q87" i="13" s="1"/>
  <c r="K87" i="25" s="1"/>
  <c r="L87" i="25" s="1"/>
  <c r="N87" i="25" s="1"/>
  <c r="N51" i="13"/>
  <c r="O51" i="13" s="1"/>
  <c r="P51" i="13" s="1"/>
  <c r="Q51" i="13" s="1"/>
  <c r="K51" i="25" s="1"/>
  <c r="L51" i="25" s="1"/>
  <c r="N51" i="25" s="1"/>
  <c r="P171" i="13"/>
  <c r="Q171" i="13" s="1"/>
  <c r="K171" i="25" s="1"/>
  <c r="P19" i="13"/>
  <c r="Q19" i="13" s="1"/>
  <c r="K19" i="25" s="1"/>
  <c r="P100" i="13"/>
  <c r="Q100" i="13" s="1"/>
  <c r="K100" i="25" s="1"/>
  <c r="P309" i="13"/>
  <c r="Q309" i="13" s="1"/>
  <c r="K309" i="25" s="1"/>
  <c r="L309" i="25" s="1"/>
  <c r="N309" i="25" s="1"/>
  <c r="J235" i="12"/>
  <c r="I235" i="12"/>
  <c r="J236" i="25" s="1"/>
  <c r="H5" i="12"/>
  <c r="I5" i="12" s="1"/>
  <c r="P316" i="13"/>
  <c r="Q316" i="13" s="1"/>
  <c r="K316" i="25" s="1"/>
  <c r="L316" i="25" s="1"/>
  <c r="N316" i="25" s="1"/>
  <c r="P293" i="13"/>
  <c r="Q293" i="13" s="1"/>
  <c r="K293" i="25" s="1"/>
  <c r="L293" i="25" s="1"/>
  <c r="N293" i="25" s="1"/>
  <c r="J99" i="12"/>
  <c r="I99" i="12"/>
  <c r="J100" i="25" s="1"/>
  <c r="J287" i="12"/>
  <c r="I287" i="12"/>
  <c r="J288" i="25" s="1"/>
  <c r="J188" i="12"/>
  <c r="N15" i="13"/>
  <c r="O15" i="13" s="1"/>
  <c r="R90" i="13"/>
  <c r="S90" i="13" s="1"/>
  <c r="J208" i="12"/>
  <c r="J231" i="12"/>
  <c r="N290" i="13"/>
  <c r="O290" i="13" s="1"/>
  <c r="N189" i="13"/>
  <c r="O189" i="13" s="1"/>
  <c r="J40" i="12"/>
  <c r="J14" i="12"/>
  <c r="N138" i="13"/>
  <c r="O138" i="13" s="1"/>
  <c r="J175" i="12"/>
  <c r="N263" i="13"/>
  <c r="O263" i="13" s="1"/>
  <c r="N157" i="13"/>
  <c r="O157" i="13" s="1"/>
  <c r="N141" i="13"/>
  <c r="O141" i="13" s="1"/>
  <c r="J130" i="12"/>
  <c r="J134" i="12"/>
  <c r="N211" i="13"/>
  <c r="O211" i="13" s="1"/>
  <c r="I210" i="12"/>
  <c r="J211" i="25" s="1"/>
  <c r="N322" i="13"/>
  <c r="O322" i="13" s="1"/>
  <c r="J66" i="12"/>
  <c r="J63" i="12"/>
  <c r="J89" i="12"/>
  <c r="I89" i="12"/>
  <c r="J90" i="25" s="1"/>
  <c r="L90" i="25" s="1"/>
  <c r="J25" i="12"/>
  <c r="J316" i="12"/>
  <c r="J234" i="12"/>
  <c r="N63" i="13"/>
  <c r="O63" i="13" s="1"/>
  <c r="N168" i="13"/>
  <c r="O168" i="13" s="1"/>
  <c r="N43" i="13"/>
  <c r="O43" i="13" s="1"/>
  <c r="N231" i="13"/>
  <c r="O231" i="13" s="1"/>
  <c r="J98" i="12"/>
  <c r="N203" i="13"/>
  <c r="O203" i="13" s="1"/>
  <c r="N57" i="13"/>
  <c r="O57" i="13" s="1"/>
  <c r="J308" i="12"/>
  <c r="J225" i="12"/>
  <c r="J206" i="12"/>
  <c r="N78" i="13"/>
  <c r="O78" i="13" s="1"/>
  <c r="J124" i="12"/>
  <c r="N47" i="13"/>
  <c r="O47" i="13" s="1"/>
  <c r="N236" i="13"/>
  <c r="O236" i="13" s="1"/>
  <c r="J304" i="12"/>
  <c r="J127" i="12"/>
  <c r="J53" i="12"/>
  <c r="J102" i="12"/>
  <c r="N24" i="13"/>
  <c r="O24" i="13" s="1"/>
  <c r="N220" i="13"/>
  <c r="O220" i="13" s="1"/>
  <c r="N89" i="13"/>
  <c r="O89" i="13" s="1"/>
  <c r="J70" i="12"/>
  <c r="N112" i="13"/>
  <c r="O112" i="13" s="1"/>
  <c r="N73" i="13"/>
  <c r="O73" i="13" s="1"/>
  <c r="I72" i="12"/>
  <c r="J73" i="25" s="1"/>
  <c r="J17" i="12"/>
  <c r="N105" i="13"/>
  <c r="O105" i="13" s="1"/>
  <c r="N167" i="13"/>
  <c r="O167" i="13" s="1"/>
  <c r="N253" i="13"/>
  <c r="O253" i="13" s="1"/>
  <c r="N80" i="13"/>
  <c r="O80" i="13" s="1"/>
  <c r="J294" i="12"/>
  <c r="J320" i="12"/>
  <c r="J143" i="12"/>
  <c r="J155" i="12"/>
  <c r="J58" i="12"/>
  <c r="J174" i="12"/>
  <c r="N213" i="13"/>
  <c r="O213" i="13" s="1"/>
  <c r="N190" i="13"/>
  <c r="O190" i="13" s="1"/>
  <c r="N94" i="13"/>
  <c r="O94" i="13" s="1"/>
  <c r="N134" i="13"/>
  <c r="O134" i="13" s="1"/>
  <c r="J61" i="12"/>
  <c r="N216" i="13"/>
  <c r="O216" i="13" s="1"/>
  <c r="N289" i="13"/>
  <c r="O289" i="13" s="1"/>
  <c r="N11" i="13"/>
  <c r="O11" i="13" s="1"/>
  <c r="J114" i="12"/>
  <c r="J295" i="12"/>
  <c r="J128" i="12"/>
  <c r="N179" i="13"/>
  <c r="O179" i="13" s="1"/>
  <c r="N149" i="13"/>
  <c r="O149" i="13" s="1"/>
  <c r="N79" i="13"/>
  <c r="O79" i="13" s="1"/>
  <c r="J67" i="12"/>
  <c r="J59" i="12"/>
  <c r="N65" i="13"/>
  <c r="O65" i="13" s="1"/>
  <c r="N102" i="13"/>
  <c r="O102" i="13" s="1"/>
  <c r="J100" i="12"/>
  <c r="N186" i="13"/>
  <c r="O186" i="13" s="1"/>
  <c r="J245" i="12"/>
  <c r="J241" i="12"/>
  <c r="N210" i="13"/>
  <c r="O210" i="13" s="1"/>
  <c r="N154" i="13"/>
  <c r="O154" i="13" s="1"/>
  <c r="N119" i="13"/>
  <c r="O119" i="13" s="1"/>
  <c r="J277" i="12"/>
  <c r="J193" i="12"/>
  <c r="J33" i="12"/>
  <c r="N81" i="13"/>
  <c r="O81" i="13" s="1"/>
  <c r="J116" i="12"/>
  <c r="J165" i="12"/>
  <c r="N227" i="13"/>
  <c r="O227" i="13" s="1"/>
  <c r="J254" i="12"/>
  <c r="J250" i="12"/>
  <c r="J283" i="12"/>
  <c r="J15" i="12"/>
  <c r="J60" i="12"/>
  <c r="J125" i="12"/>
  <c r="J145" i="12"/>
  <c r="J162" i="12"/>
  <c r="I162" i="12"/>
  <c r="J163" i="25" s="1"/>
  <c r="N219" i="13"/>
  <c r="O219" i="13" s="1"/>
  <c r="J75" i="12"/>
  <c r="N142" i="13"/>
  <c r="O142" i="13" s="1"/>
  <c r="J270" i="12"/>
  <c r="N299" i="13"/>
  <c r="O299" i="13" s="1"/>
  <c r="J43" i="12"/>
  <c r="N267" i="13"/>
  <c r="O267" i="13" s="1"/>
  <c r="J87" i="12"/>
  <c r="J68" i="12"/>
  <c r="J278" i="12"/>
  <c r="J32" i="12"/>
  <c r="J8" i="12"/>
  <c r="J161" i="12"/>
  <c r="J51" i="12"/>
  <c r="N122" i="13"/>
  <c r="O122" i="13" s="1"/>
  <c r="N37" i="13"/>
  <c r="O37" i="13" s="1"/>
  <c r="J173" i="12"/>
  <c r="N55" i="13"/>
  <c r="O55" i="13" s="1"/>
  <c r="N136" i="13"/>
  <c r="O136" i="13" s="1"/>
  <c r="N196" i="13"/>
  <c r="O196" i="13" s="1"/>
  <c r="J136" i="12"/>
  <c r="J115" i="12"/>
  <c r="N204" i="13"/>
  <c r="O204" i="13" s="1"/>
  <c r="J21" i="12"/>
  <c r="J322" i="12"/>
  <c r="N77" i="13"/>
  <c r="O77" i="13" s="1"/>
  <c r="J12" i="12"/>
  <c r="J233" i="12"/>
  <c r="N300" i="13"/>
  <c r="O300" i="13" s="1"/>
  <c r="J38" i="12"/>
  <c r="J103" i="12"/>
  <c r="J315" i="12"/>
  <c r="J96" i="12"/>
  <c r="I96" i="12"/>
  <c r="J97" i="25" s="1"/>
  <c r="J105" i="12"/>
  <c r="J318" i="12"/>
  <c r="N53" i="13"/>
  <c r="O53" i="13" s="1"/>
  <c r="J110" i="12"/>
  <c r="N177" i="13"/>
  <c r="O177" i="13" s="1"/>
  <c r="N218" i="13"/>
  <c r="O218" i="13" s="1"/>
  <c r="J126" i="12"/>
  <c r="J107" i="12"/>
  <c r="N303" i="13"/>
  <c r="O303" i="13" s="1"/>
  <c r="N182" i="13"/>
  <c r="O182" i="13" s="1"/>
  <c r="N201" i="13"/>
  <c r="O201" i="13" s="1"/>
  <c r="N308" i="13"/>
  <c r="O308" i="13" s="1"/>
  <c r="N173" i="13"/>
  <c r="O173" i="13" s="1"/>
  <c r="J205" i="12"/>
  <c r="J240" i="12"/>
  <c r="N109" i="13"/>
  <c r="O109" i="13" s="1"/>
  <c r="N259" i="13"/>
  <c r="O259" i="13" s="1"/>
  <c r="N35" i="13"/>
  <c r="O35" i="13" s="1"/>
  <c r="N249" i="13"/>
  <c r="O249" i="13" s="1"/>
  <c r="J85" i="12"/>
  <c r="J112" i="12"/>
  <c r="N297" i="13"/>
  <c r="O297" i="13" s="1"/>
  <c r="N188" i="13"/>
  <c r="O188" i="13" s="1"/>
  <c r="N250" i="13"/>
  <c r="O250" i="13" s="1"/>
  <c r="N187" i="13"/>
  <c r="O187" i="13" s="1"/>
  <c r="J184" i="12"/>
  <c r="J292" i="12"/>
  <c r="N302" i="13"/>
  <c r="O302" i="13" s="1"/>
  <c r="N49" i="13"/>
  <c r="O49" i="13" s="1"/>
  <c r="I48" i="12"/>
  <c r="J49" i="25" s="1"/>
  <c r="J170" i="12"/>
  <c r="I170" i="12"/>
  <c r="J171" i="25" s="1"/>
  <c r="P262" i="13"/>
  <c r="Q262" i="13" s="1"/>
  <c r="K262" i="25" s="1"/>
  <c r="P288" i="13"/>
  <c r="Q288" i="13" s="1"/>
  <c r="K288" i="25" s="1"/>
  <c r="J18" i="12"/>
  <c r="I18" i="12"/>
  <c r="J19" i="25" s="1"/>
  <c r="J261" i="12"/>
  <c r="I261" i="12"/>
  <c r="J262" i="25" s="1"/>
  <c r="E36" i="48"/>
  <c r="I6" i="25"/>
  <c r="J323" i="39"/>
  <c r="P244" i="13"/>
  <c r="Q244" i="13" s="1"/>
  <c r="K244" i="25" s="1"/>
  <c r="N232" i="13"/>
  <c r="O232" i="13" s="1"/>
  <c r="N176" i="13"/>
  <c r="O176" i="13" s="1"/>
  <c r="J156" i="12"/>
  <c r="N131" i="13"/>
  <c r="O131" i="13" s="1"/>
  <c r="N67" i="13"/>
  <c r="O67" i="13" s="1"/>
  <c r="N317" i="13"/>
  <c r="O317" i="13" s="1"/>
  <c r="N235" i="13"/>
  <c r="O235" i="13" s="1"/>
  <c r="J167" i="12"/>
  <c r="J42" i="12"/>
  <c r="N99" i="13"/>
  <c r="O99" i="13" s="1"/>
  <c r="J56" i="12"/>
  <c r="N226" i="13"/>
  <c r="O226" i="13" s="1"/>
  <c r="J77" i="12"/>
  <c r="J46" i="12"/>
  <c r="N128" i="13"/>
  <c r="O128" i="13" s="1"/>
  <c r="N103" i="13"/>
  <c r="O103" i="13" s="1"/>
  <c r="J219" i="12"/>
  <c r="N71" i="13"/>
  <c r="O71" i="13" s="1"/>
  <c r="J104" i="12"/>
  <c r="J252" i="12"/>
  <c r="J79" i="12"/>
  <c r="N321" i="13"/>
  <c r="O321" i="13" s="1"/>
  <c r="N156" i="13"/>
  <c r="O156" i="13" s="1"/>
  <c r="N175" i="13"/>
  <c r="O175" i="13" s="1"/>
  <c r="J189" i="12"/>
  <c r="N212" i="13"/>
  <c r="O212" i="13" s="1"/>
  <c r="I211" i="12"/>
  <c r="J212" i="25" s="1"/>
  <c r="J133" i="12"/>
  <c r="J215" i="12"/>
  <c r="J10" i="12"/>
  <c r="N296" i="13"/>
  <c r="O296" i="13" s="1"/>
  <c r="J178" i="12"/>
  <c r="J78" i="12"/>
  <c r="N60" i="13"/>
  <c r="O60" i="13" s="1"/>
  <c r="J101" i="12"/>
  <c r="J185" i="12"/>
  <c r="N242" i="13"/>
  <c r="O242" i="13" s="1"/>
  <c r="J153" i="12"/>
  <c r="N278" i="13"/>
  <c r="O278" i="13" s="1"/>
  <c r="N34" i="13"/>
  <c r="O34" i="13" s="1"/>
  <c r="N117" i="13"/>
  <c r="O117" i="13" s="1"/>
  <c r="J226" i="12"/>
  <c r="N251" i="13"/>
  <c r="O251" i="13" s="1"/>
  <c r="N16" i="13"/>
  <c r="O16" i="13" s="1"/>
  <c r="N126" i="13"/>
  <c r="O126" i="13" s="1"/>
  <c r="P163" i="13"/>
  <c r="Q163" i="13" s="1"/>
  <c r="K163" i="25" s="1"/>
  <c r="N76" i="13"/>
  <c r="O76" i="13" s="1"/>
  <c r="N271" i="13"/>
  <c r="O271" i="13" s="1"/>
  <c r="N44" i="13"/>
  <c r="O44" i="13" s="1"/>
  <c r="J266" i="12"/>
  <c r="N69" i="13"/>
  <c r="O69" i="13" s="1"/>
  <c r="N33" i="13"/>
  <c r="O33" i="13" s="1"/>
  <c r="N162" i="13"/>
  <c r="O162" i="13" s="1"/>
  <c r="J121" i="12"/>
  <c r="N174" i="13"/>
  <c r="O174" i="13" s="1"/>
  <c r="J135" i="12"/>
  <c r="N137" i="13"/>
  <c r="O137" i="13" s="1"/>
  <c r="J203" i="12"/>
  <c r="N323" i="13"/>
  <c r="O323" i="13" s="1"/>
  <c r="N13" i="13"/>
  <c r="O13" i="13" s="1"/>
  <c r="J299" i="12"/>
  <c r="N104" i="13"/>
  <c r="O104" i="13" s="1"/>
  <c r="P97" i="13"/>
  <c r="Q97" i="13" s="1"/>
  <c r="K97" i="25" s="1"/>
  <c r="N319" i="13"/>
  <c r="O319" i="13" s="1"/>
  <c r="N111" i="13"/>
  <c r="O111" i="13" s="1"/>
  <c r="J217" i="12"/>
  <c r="N108" i="13"/>
  <c r="O108" i="13" s="1"/>
  <c r="J181" i="12"/>
  <c r="J307" i="12"/>
  <c r="N206" i="13"/>
  <c r="O206" i="13" s="1"/>
  <c r="J108" i="12"/>
  <c r="J34" i="12"/>
  <c r="N86" i="13"/>
  <c r="O86" i="13" s="1"/>
  <c r="J243" i="12"/>
  <c r="I243" i="12"/>
  <c r="J244" i="25" s="1"/>
  <c r="J296" i="12"/>
  <c r="J249" i="12"/>
  <c r="N185" i="13"/>
  <c r="O185" i="13" s="1"/>
  <c r="J301" i="12"/>
  <c r="N90" i="25" l="1"/>
  <c r="N93" i="25"/>
  <c r="N50" i="25"/>
  <c r="N279" i="25"/>
  <c r="N199" i="25"/>
  <c r="N170" i="25"/>
  <c r="N192" i="25"/>
  <c r="N243" i="25"/>
  <c r="N180" i="25"/>
  <c r="N315" i="25"/>
  <c r="N183" i="25"/>
  <c r="N132" i="25"/>
  <c r="N248" i="25"/>
  <c r="N221" i="25"/>
  <c r="N318" i="25"/>
  <c r="R272" i="13"/>
  <c r="S272" i="13" s="1"/>
  <c r="R288" i="13"/>
  <c r="S288" i="13" s="1"/>
  <c r="R18" i="13"/>
  <c r="S18" i="13" s="1"/>
  <c r="R74" i="13"/>
  <c r="S74" i="13" s="1"/>
  <c r="R315" i="13"/>
  <c r="S315" i="13" s="1"/>
  <c r="R273" i="13"/>
  <c r="S273" i="13" s="1"/>
  <c r="R180" i="13"/>
  <c r="S180" i="13" s="1"/>
  <c r="R153" i="13"/>
  <c r="S153" i="13" s="1"/>
  <c r="R123" i="13"/>
  <c r="S123" i="13" s="1"/>
  <c r="R311" i="13"/>
  <c r="S311" i="13" s="1"/>
  <c r="Q146" i="13"/>
  <c r="K146" i="25" s="1"/>
  <c r="L146" i="25" s="1"/>
  <c r="N146" i="25" s="1"/>
  <c r="R146" i="13"/>
  <c r="S146" i="13" s="1"/>
  <c r="R307" i="13"/>
  <c r="S307" i="13" s="1"/>
  <c r="R132" i="13"/>
  <c r="S132" i="13" s="1"/>
  <c r="R248" i="13"/>
  <c r="S248" i="13" s="1"/>
  <c r="R318" i="13"/>
  <c r="S318" i="13" s="1"/>
  <c r="R72" i="13"/>
  <c r="S72" i="13" s="1"/>
  <c r="R239" i="13"/>
  <c r="S239" i="13" s="1"/>
  <c r="R221" i="13"/>
  <c r="S221" i="13" s="1"/>
  <c r="R166" i="13"/>
  <c r="S166" i="13" s="1"/>
  <c r="L288" i="25"/>
  <c r="N288" i="25" s="1"/>
  <c r="R97" i="13"/>
  <c r="S97" i="13" s="1"/>
  <c r="R113" i="13"/>
  <c r="S113" i="13" s="1"/>
  <c r="R54" i="13"/>
  <c r="S54" i="13" s="1"/>
  <c r="R205" i="13"/>
  <c r="S205" i="13" s="1"/>
  <c r="R50" i="13"/>
  <c r="S50" i="13" s="1"/>
  <c r="R29" i="13"/>
  <c r="S29" i="13" s="1"/>
  <c r="R184" i="13"/>
  <c r="S184" i="13" s="1"/>
  <c r="R295" i="13"/>
  <c r="S295" i="13" s="1"/>
  <c r="R192" i="13"/>
  <c r="S192" i="13" s="1"/>
  <c r="R64" i="13"/>
  <c r="S64" i="13" s="1"/>
  <c r="P207" i="13"/>
  <c r="Q207" i="13" s="1"/>
  <c r="K207" i="25" s="1"/>
  <c r="L207" i="25" s="1"/>
  <c r="N207" i="25" s="1"/>
  <c r="R312" i="13"/>
  <c r="S312" i="13" s="1"/>
  <c r="R133" i="13"/>
  <c r="S133" i="13" s="1"/>
  <c r="R91" i="13"/>
  <c r="S91" i="13" s="1"/>
  <c r="P7" i="13"/>
  <c r="Q7" i="13" s="1"/>
  <c r="K7" i="25" s="1"/>
  <c r="L7" i="25" s="1"/>
  <c r="N7" i="25" s="1"/>
  <c r="R243" i="13"/>
  <c r="S243" i="13" s="1"/>
  <c r="R87" i="13"/>
  <c r="S87" i="13" s="1"/>
  <c r="R255" i="13"/>
  <c r="S255" i="13" s="1"/>
  <c r="P145" i="13"/>
  <c r="Q145" i="13" s="1"/>
  <c r="K145" i="25" s="1"/>
  <c r="L145" i="25" s="1"/>
  <c r="N145" i="25" s="1"/>
  <c r="J5" i="12"/>
  <c r="R170" i="13"/>
  <c r="S170" i="13" s="1"/>
  <c r="R214" i="13"/>
  <c r="S214" i="13" s="1"/>
  <c r="P269" i="13"/>
  <c r="Q269" i="13" s="1"/>
  <c r="K269" i="25" s="1"/>
  <c r="L269" i="25" s="1"/>
  <c r="N269" i="25" s="1"/>
  <c r="R70" i="13"/>
  <c r="S70" i="13" s="1"/>
  <c r="R233" i="13"/>
  <c r="S233" i="13" s="1"/>
  <c r="R279" i="13"/>
  <c r="S279" i="13" s="1"/>
  <c r="R40" i="13"/>
  <c r="S40" i="13" s="1"/>
  <c r="N6" i="13"/>
  <c r="O6" i="13" s="1"/>
  <c r="P6" i="13" s="1"/>
  <c r="Q6" i="13" s="1"/>
  <c r="Q32" i="13"/>
  <c r="K32" i="25" s="1"/>
  <c r="L32" i="25" s="1"/>
  <c r="R32" i="13"/>
  <c r="S32" i="13" s="1"/>
  <c r="Q222" i="13"/>
  <c r="K222" i="25" s="1"/>
  <c r="L222" i="25" s="1"/>
  <c r="R222" i="13"/>
  <c r="S222" i="13" s="1"/>
  <c r="Q178" i="13"/>
  <c r="K178" i="25" s="1"/>
  <c r="L178" i="25" s="1"/>
  <c r="R178" i="13"/>
  <c r="S178" i="13" s="1"/>
  <c r="Q152" i="13"/>
  <c r="K152" i="25" s="1"/>
  <c r="L152" i="25" s="1"/>
  <c r="R152" i="13"/>
  <c r="S152" i="13" s="1"/>
  <c r="P215" i="13"/>
  <c r="Q215" i="13" s="1"/>
  <c r="K215" i="25" s="1"/>
  <c r="L215" i="25" s="1"/>
  <c r="N215" i="25" s="1"/>
  <c r="P264" i="13"/>
  <c r="Q264" i="13" s="1"/>
  <c r="K264" i="25" s="1"/>
  <c r="L264" i="25" s="1"/>
  <c r="N264" i="25" s="1"/>
  <c r="R266" i="13"/>
  <c r="S266" i="13" s="1"/>
  <c r="R155" i="13"/>
  <c r="S155" i="13" s="1"/>
  <c r="R256" i="13"/>
  <c r="S256" i="13" s="1"/>
  <c r="R314" i="13"/>
  <c r="S314" i="13" s="1"/>
  <c r="R139" i="13"/>
  <c r="S139" i="13" s="1"/>
  <c r="R118" i="13"/>
  <c r="S118" i="13" s="1"/>
  <c r="R241" i="13"/>
  <c r="S241" i="13" s="1"/>
  <c r="R58" i="13"/>
  <c r="S58" i="13" s="1"/>
  <c r="R228" i="13"/>
  <c r="S228" i="13" s="1"/>
  <c r="R316" i="13"/>
  <c r="S316" i="13" s="1"/>
  <c r="R171" i="13"/>
  <c r="S171" i="13" s="1"/>
  <c r="R237" i="13"/>
  <c r="S237" i="13" s="1"/>
  <c r="R194" i="13"/>
  <c r="S194" i="13" s="1"/>
  <c r="R225" i="13"/>
  <c r="S225" i="13" s="1"/>
  <c r="R202" i="13"/>
  <c r="S202" i="13" s="1"/>
  <c r="R148" i="13"/>
  <c r="S148" i="13" s="1"/>
  <c r="R9" i="13"/>
  <c r="S9" i="13" s="1"/>
  <c r="R286" i="13"/>
  <c r="S286" i="13" s="1"/>
  <c r="R209" i="13"/>
  <c r="S209" i="13" s="1"/>
  <c r="P10" i="13"/>
  <c r="Q10" i="13" s="1"/>
  <c r="K10" i="25" s="1"/>
  <c r="L10" i="25" s="1"/>
  <c r="N10" i="25" s="1"/>
  <c r="R281" i="13"/>
  <c r="S281" i="13" s="1"/>
  <c r="P181" i="13"/>
  <c r="Q181" i="13" s="1"/>
  <c r="K181" i="25" s="1"/>
  <c r="L181" i="25" s="1"/>
  <c r="R282" i="13"/>
  <c r="S282" i="13" s="1"/>
  <c r="R26" i="13"/>
  <c r="S26" i="13" s="1"/>
  <c r="Q159" i="13"/>
  <c r="K159" i="25" s="1"/>
  <c r="L159" i="25" s="1"/>
  <c r="N159" i="25" s="1"/>
  <c r="R159" i="13"/>
  <c r="S159" i="13" s="1"/>
  <c r="Q258" i="13"/>
  <c r="K258" i="25" s="1"/>
  <c r="L258" i="25" s="1"/>
  <c r="N258" i="25" s="1"/>
  <c r="R258" i="13"/>
  <c r="S258" i="13" s="1"/>
  <c r="R283" i="13"/>
  <c r="S283" i="13" s="1"/>
  <c r="P84" i="13"/>
  <c r="Q84" i="13" s="1"/>
  <c r="K84" i="25" s="1"/>
  <c r="L84" i="25" s="1"/>
  <c r="N84" i="25" s="1"/>
  <c r="R183" i="13"/>
  <c r="S183" i="13" s="1"/>
  <c r="R158" i="13"/>
  <c r="S158" i="13" s="1"/>
  <c r="R275" i="13"/>
  <c r="S275" i="13" s="1"/>
  <c r="R257" i="13"/>
  <c r="S257" i="13" s="1"/>
  <c r="R130" i="13"/>
  <c r="S130" i="13" s="1"/>
  <c r="P169" i="13"/>
  <c r="Q169" i="13" s="1"/>
  <c r="K169" i="25" s="1"/>
  <c r="L169" i="25" s="1"/>
  <c r="R98" i="13"/>
  <c r="S98" i="13" s="1"/>
  <c r="R270" i="13"/>
  <c r="S270" i="13" s="1"/>
  <c r="R261" i="13"/>
  <c r="S261" i="13" s="1"/>
  <c r="R199" i="13"/>
  <c r="S199" i="13" s="1"/>
  <c r="R110" i="13"/>
  <c r="S110" i="13" s="1"/>
  <c r="R304" i="13"/>
  <c r="S304" i="13" s="1"/>
  <c r="R320" i="13"/>
  <c r="S320" i="13" s="1"/>
  <c r="R160" i="13"/>
  <c r="S160" i="13" s="1"/>
  <c r="R284" i="13"/>
  <c r="S284" i="13" s="1"/>
  <c r="R101" i="13"/>
  <c r="S101" i="13" s="1"/>
  <c r="R68" i="13"/>
  <c r="S68" i="13" s="1"/>
  <c r="R124" i="13"/>
  <c r="S124" i="13" s="1"/>
  <c r="R20" i="13"/>
  <c r="S20" i="13" s="1"/>
  <c r="R313" i="13"/>
  <c r="S313" i="13" s="1"/>
  <c r="R107" i="13"/>
  <c r="S107" i="13" s="1"/>
  <c r="R114" i="13"/>
  <c r="S114" i="13" s="1"/>
  <c r="R151" i="13"/>
  <c r="S151" i="13" s="1"/>
  <c r="R140" i="13"/>
  <c r="S140" i="13" s="1"/>
  <c r="R268" i="13"/>
  <c r="S268" i="13" s="1"/>
  <c r="R293" i="13"/>
  <c r="S293" i="13" s="1"/>
  <c r="R66" i="13"/>
  <c r="S66" i="13" s="1"/>
  <c r="R115" i="13"/>
  <c r="S115" i="13" s="1"/>
  <c r="R247" i="13"/>
  <c r="S247" i="13" s="1"/>
  <c r="R292" i="13"/>
  <c r="S292" i="13" s="1"/>
  <c r="P310" i="13"/>
  <c r="Q310" i="13" s="1"/>
  <c r="K310" i="25" s="1"/>
  <c r="L310" i="25" s="1"/>
  <c r="N310" i="25" s="1"/>
  <c r="P301" i="13"/>
  <c r="Q301" i="13" s="1"/>
  <c r="K301" i="25" s="1"/>
  <c r="L301" i="25" s="1"/>
  <c r="N301" i="25" s="1"/>
  <c r="R164" i="13"/>
  <c r="S164" i="13" s="1"/>
  <c r="R277" i="13"/>
  <c r="S277" i="13" s="1"/>
  <c r="L244" i="25"/>
  <c r="R45" i="13"/>
  <c r="S45" i="13" s="1"/>
  <c r="R28" i="13"/>
  <c r="S28" i="13" s="1"/>
  <c r="R30" i="13"/>
  <c r="S30" i="13" s="1"/>
  <c r="P230" i="13"/>
  <c r="Q230" i="13" s="1"/>
  <c r="K230" i="25" s="1"/>
  <c r="L230" i="25" s="1"/>
  <c r="N230" i="25" s="1"/>
  <c r="Q197" i="13"/>
  <c r="K197" i="25" s="1"/>
  <c r="L197" i="25" s="1"/>
  <c r="R197" i="13"/>
  <c r="S197" i="13" s="1"/>
  <c r="Q31" i="13"/>
  <c r="K31" i="25" s="1"/>
  <c r="L31" i="25" s="1"/>
  <c r="N31" i="25" s="1"/>
  <c r="R31" i="13"/>
  <c r="S31" i="13" s="1"/>
  <c r="P38" i="13"/>
  <c r="Q38" i="13" s="1"/>
  <c r="K38" i="25" s="1"/>
  <c r="L38" i="25" s="1"/>
  <c r="N38" i="25" s="1"/>
  <c r="P129" i="13"/>
  <c r="Q129" i="13" s="1"/>
  <c r="K129" i="25" s="1"/>
  <c r="L129" i="25" s="1"/>
  <c r="N129" i="25" s="1"/>
  <c r="R198" i="13"/>
  <c r="S198" i="13" s="1"/>
  <c r="P217" i="13"/>
  <c r="Q217" i="13" s="1"/>
  <c r="K217" i="25" s="1"/>
  <c r="L217" i="25" s="1"/>
  <c r="N217" i="25" s="1"/>
  <c r="P223" i="13"/>
  <c r="Q223" i="13" s="1"/>
  <c r="K223" i="25" s="1"/>
  <c r="L223" i="25" s="1"/>
  <c r="N223" i="25" s="1"/>
  <c r="P252" i="13"/>
  <c r="Q252" i="13" s="1"/>
  <c r="K252" i="25" s="1"/>
  <c r="L252" i="25" s="1"/>
  <c r="R95" i="13"/>
  <c r="S95" i="13" s="1"/>
  <c r="R165" i="13"/>
  <c r="S165" i="13" s="1"/>
  <c r="R163" i="13"/>
  <c r="S163" i="13" s="1"/>
  <c r="R120" i="13"/>
  <c r="S120" i="13" s="1"/>
  <c r="P12" i="13"/>
  <c r="Q12" i="13" s="1"/>
  <c r="K12" i="25" s="1"/>
  <c r="L12" i="25" s="1"/>
  <c r="N12" i="25" s="1"/>
  <c r="P75" i="13"/>
  <c r="Q75" i="13" s="1"/>
  <c r="K75" i="25" s="1"/>
  <c r="L75" i="25" s="1"/>
  <c r="N75" i="25" s="1"/>
  <c r="P191" i="13"/>
  <c r="Q191" i="13" s="1"/>
  <c r="K191" i="25" s="1"/>
  <c r="L191" i="25" s="1"/>
  <c r="R195" i="13"/>
  <c r="S195" i="13" s="1"/>
  <c r="R46" i="13"/>
  <c r="S46" i="13" s="1"/>
  <c r="P61" i="13"/>
  <c r="Q61" i="13" s="1"/>
  <c r="K61" i="25" s="1"/>
  <c r="L61" i="25" s="1"/>
  <c r="N61" i="25" s="1"/>
  <c r="R59" i="13"/>
  <c r="S59" i="13" s="1"/>
  <c r="L171" i="25"/>
  <c r="R83" i="13"/>
  <c r="S83" i="13" s="1"/>
  <c r="R51" i="13"/>
  <c r="S51" i="13" s="1"/>
  <c r="R92" i="13"/>
  <c r="S92" i="13" s="1"/>
  <c r="R127" i="13"/>
  <c r="S127" i="13" s="1"/>
  <c r="R52" i="13"/>
  <c r="S52" i="13" s="1"/>
  <c r="R246" i="13"/>
  <c r="S246" i="13" s="1"/>
  <c r="R62" i="13"/>
  <c r="S62" i="13" s="1"/>
  <c r="R305" i="13"/>
  <c r="S305" i="13" s="1"/>
  <c r="R125" i="13"/>
  <c r="S125" i="13" s="1"/>
  <c r="R309" i="13"/>
  <c r="S309" i="13" s="1"/>
  <c r="R19" i="13"/>
  <c r="S19" i="13" s="1"/>
  <c r="P82" i="13"/>
  <c r="Q82" i="13" s="1"/>
  <c r="K82" i="25" s="1"/>
  <c r="L82" i="25" s="1"/>
  <c r="N82" i="25" s="1"/>
  <c r="P36" i="13"/>
  <c r="Q36" i="13" s="1"/>
  <c r="K36" i="25" s="1"/>
  <c r="L36" i="25" s="1"/>
  <c r="N36" i="25" s="1"/>
  <c r="P14" i="13"/>
  <c r="Q14" i="13" s="1"/>
  <c r="K14" i="25" s="1"/>
  <c r="L14" i="25" s="1"/>
  <c r="N14" i="25" s="1"/>
  <c r="P23" i="13"/>
  <c r="Q23" i="13" s="1"/>
  <c r="K23" i="25" s="1"/>
  <c r="L23" i="25" s="1"/>
  <c r="N23" i="25" s="1"/>
  <c r="P287" i="13"/>
  <c r="Q287" i="13" s="1"/>
  <c r="K287" i="25" s="1"/>
  <c r="L287" i="25" s="1"/>
  <c r="N287" i="25" s="1"/>
  <c r="R229" i="13"/>
  <c r="S229" i="13" s="1"/>
  <c r="R121" i="13"/>
  <c r="S121" i="13" s="1"/>
  <c r="R200" i="13"/>
  <c r="S200" i="13" s="1"/>
  <c r="R48" i="13"/>
  <c r="S48" i="13" s="1"/>
  <c r="R274" i="13"/>
  <c r="S274" i="13" s="1"/>
  <c r="R88" i="13"/>
  <c r="S88" i="13" s="1"/>
  <c r="R224" i="13"/>
  <c r="S224" i="13" s="1"/>
  <c r="R306" i="13"/>
  <c r="S306" i="13" s="1"/>
  <c r="P185" i="13"/>
  <c r="Q185" i="13" s="1"/>
  <c r="K185" i="25" s="1"/>
  <c r="L185" i="25" s="1"/>
  <c r="N185" i="25" s="1"/>
  <c r="P111" i="13"/>
  <c r="Q111" i="13" s="1"/>
  <c r="K111" i="25" s="1"/>
  <c r="L111" i="25" s="1"/>
  <c r="N111" i="25" s="1"/>
  <c r="P76" i="13"/>
  <c r="Q76" i="13" s="1"/>
  <c r="K76" i="25" s="1"/>
  <c r="L76" i="25" s="1"/>
  <c r="N76" i="25" s="1"/>
  <c r="P321" i="13"/>
  <c r="Q321" i="13" s="1"/>
  <c r="K321" i="25" s="1"/>
  <c r="L321" i="25" s="1"/>
  <c r="N321" i="25" s="1"/>
  <c r="P232" i="13"/>
  <c r="Q232" i="13" s="1"/>
  <c r="K232" i="25" s="1"/>
  <c r="L232" i="25" s="1"/>
  <c r="N232" i="25" s="1"/>
  <c r="P173" i="13"/>
  <c r="Q173" i="13" s="1"/>
  <c r="K173" i="25" s="1"/>
  <c r="L173" i="25" s="1"/>
  <c r="N173" i="25" s="1"/>
  <c r="P303" i="13"/>
  <c r="Q303" i="13" s="1"/>
  <c r="K303" i="25" s="1"/>
  <c r="L303" i="25" s="1"/>
  <c r="N303" i="25" s="1"/>
  <c r="P53" i="13"/>
  <c r="Q53" i="13" s="1"/>
  <c r="K53" i="25" s="1"/>
  <c r="L53" i="25" s="1"/>
  <c r="N53" i="25" s="1"/>
  <c r="P154" i="13"/>
  <c r="Q154" i="13" s="1"/>
  <c r="K154" i="25" s="1"/>
  <c r="L154" i="25" s="1"/>
  <c r="N154" i="25" s="1"/>
  <c r="P213" i="13"/>
  <c r="Q213" i="13" s="1"/>
  <c r="K213" i="25" s="1"/>
  <c r="L213" i="25" s="1"/>
  <c r="N213" i="25" s="1"/>
  <c r="P80" i="13"/>
  <c r="Q80" i="13" s="1"/>
  <c r="K80" i="25" s="1"/>
  <c r="L80" i="25" s="1"/>
  <c r="N80" i="25" s="1"/>
  <c r="P319" i="13"/>
  <c r="Q319" i="13" s="1"/>
  <c r="K319" i="25" s="1"/>
  <c r="L319" i="25" s="1"/>
  <c r="N319" i="25" s="1"/>
  <c r="P323" i="13"/>
  <c r="Q323" i="13" s="1"/>
  <c r="K323" i="25" s="1"/>
  <c r="L323" i="25" s="1"/>
  <c r="N323" i="25" s="1"/>
  <c r="P137" i="13"/>
  <c r="Q137" i="13" s="1"/>
  <c r="K137" i="25" s="1"/>
  <c r="L137" i="25" s="1"/>
  <c r="N137" i="25" s="1"/>
  <c r="P33" i="13"/>
  <c r="Q33" i="13" s="1"/>
  <c r="K33" i="25" s="1"/>
  <c r="L33" i="25" s="1"/>
  <c r="N33" i="25" s="1"/>
  <c r="P271" i="13"/>
  <c r="Q271" i="13" s="1"/>
  <c r="K271" i="25" s="1"/>
  <c r="L271" i="25" s="1"/>
  <c r="N271" i="25" s="1"/>
  <c r="P212" i="13"/>
  <c r="Q212" i="13" s="1"/>
  <c r="K212" i="25" s="1"/>
  <c r="L212" i="25" s="1"/>
  <c r="N212" i="25" s="1"/>
  <c r="P49" i="13"/>
  <c r="Q49" i="13" s="1"/>
  <c r="K49" i="25" s="1"/>
  <c r="L49" i="25" s="1"/>
  <c r="N49" i="25" s="1"/>
  <c r="P187" i="13"/>
  <c r="Q187" i="13" s="1"/>
  <c r="K187" i="25" s="1"/>
  <c r="L187" i="25" s="1"/>
  <c r="N187" i="25" s="1"/>
  <c r="P249" i="13"/>
  <c r="Q249" i="13" s="1"/>
  <c r="K249" i="25" s="1"/>
  <c r="L249" i="25" s="1"/>
  <c r="N249" i="25" s="1"/>
  <c r="P308" i="13"/>
  <c r="Q308" i="13" s="1"/>
  <c r="K308" i="25" s="1"/>
  <c r="L308" i="25" s="1"/>
  <c r="N308" i="25" s="1"/>
  <c r="P210" i="13"/>
  <c r="Q210" i="13" s="1"/>
  <c r="K210" i="25" s="1"/>
  <c r="L210" i="25" s="1"/>
  <c r="N210" i="25" s="1"/>
  <c r="P102" i="13"/>
  <c r="Q102" i="13" s="1"/>
  <c r="K102" i="25" s="1"/>
  <c r="L102" i="25" s="1"/>
  <c r="N102" i="25" s="1"/>
  <c r="P134" i="13"/>
  <c r="Q134" i="13" s="1"/>
  <c r="K134" i="25" s="1"/>
  <c r="L134" i="25" s="1"/>
  <c r="N134" i="25" s="1"/>
  <c r="P78" i="13"/>
  <c r="Q78" i="13" s="1"/>
  <c r="K78" i="25" s="1"/>
  <c r="L78" i="25" s="1"/>
  <c r="N78" i="25" s="1"/>
  <c r="P43" i="13"/>
  <c r="Q43" i="13" s="1"/>
  <c r="K43" i="25" s="1"/>
  <c r="L43" i="25" s="1"/>
  <c r="N43" i="25" s="1"/>
  <c r="P157" i="13"/>
  <c r="Q157" i="13" s="1"/>
  <c r="K157" i="25" s="1"/>
  <c r="L157" i="25" s="1"/>
  <c r="N157" i="25" s="1"/>
  <c r="P189" i="13"/>
  <c r="Q189" i="13" s="1"/>
  <c r="K189" i="25" s="1"/>
  <c r="L189" i="25" s="1"/>
  <c r="N189" i="25" s="1"/>
  <c r="P86" i="13"/>
  <c r="Q86" i="13" s="1"/>
  <c r="K86" i="25" s="1"/>
  <c r="L86" i="25" s="1"/>
  <c r="N86" i="25" s="1"/>
  <c r="P108" i="13"/>
  <c r="Q108" i="13" s="1"/>
  <c r="K108" i="25" s="1"/>
  <c r="L108" i="25" s="1"/>
  <c r="N108" i="25" s="1"/>
  <c r="P34" i="13"/>
  <c r="Q34" i="13" s="1"/>
  <c r="K34" i="25" s="1"/>
  <c r="L34" i="25" s="1"/>
  <c r="N34" i="25" s="1"/>
  <c r="P60" i="13"/>
  <c r="Q60" i="13" s="1"/>
  <c r="K60" i="25" s="1"/>
  <c r="L60" i="25" s="1"/>
  <c r="N60" i="25" s="1"/>
  <c r="P128" i="13"/>
  <c r="Q128" i="13" s="1"/>
  <c r="K128" i="25" s="1"/>
  <c r="L128" i="25" s="1"/>
  <c r="N128" i="25" s="1"/>
  <c r="R260" i="13"/>
  <c r="S260" i="13" s="1"/>
  <c r="P104" i="13"/>
  <c r="Q104" i="13" s="1"/>
  <c r="K104" i="25" s="1"/>
  <c r="L104" i="25" s="1"/>
  <c r="N104" i="25" s="1"/>
  <c r="P13" i="13"/>
  <c r="Q13" i="13" s="1"/>
  <c r="K13" i="25" s="1"/>
  <c r="L13" i="25" s="1"/>
  <c r="N13" i="25" s="1"/>
  <c r="R245" i="13"/>
  <c r="S245" i="13" s="1"/>
  <c r="P174" i="13"/>
  <c r="Q174" i="13" s="1"/>
  <c r="K174" i="25" s="1"/>
  <c r="L174" i="25" s="1"/>
  <c r="N174" i="25" s="1"/>
  <c r="R193" i="13"/>
  <c r="S193" i="13" s="1"/>
  <c r="R240" i="13"/>
  <c r="S240" i="13" s="1"/>
  <c r="P44" i="13"/>
  <c r="Q44" i="13" s="1"/>
  <c r="K44" i="25" s="1"/>
  <c r="L44" i="25" s="1"/>
  <c r="N44" i="25" s="1"/>
  <c r="P126" i="13"/>
  <c r="Q126" i="13" s="1"/>
  <c r="K126" i="25" s="1"/>
  <c r="L126" i="25" s="1"/>
  <c r="N126" i="25" s="1"/>
  <c r="P251" i="13"/>
  <c r="Q251" i="13" s="1"/>
  <c r="K251" i="25" s="1"/>
  <c r="L251" i="25" s="1"/>
  <c r="P278" i="13"/>
  <c r="Q278" i="13" s="1"/>
  <c r="K278" i="25" s="1"/>
  <c r="L278" i="25" s="1"/>
  <c r="N278" i="25" s="1"/>
  <c r="P296" i="13"/>
  <c r="Q296" i="13" s="1"/>
  <c r="K296" i="25" s="1"/>
  <c r="L296" i="25" s="1"/>
  <c r="N296" i="25" s="1"/>
  <c r="P71" i="13"/>
  <c r="Q71" i="13" s="1"/>
  <c r="K71" i="25" s="1"/>
  <c r="L71" i="25" s="1"/>
  <c r="N71" i="25" s="1"/>
  <c r="P103" i="13"/>
  <c r="Q103" i="13" s="1"/>
  <c r="K103" i="25" s="1"/>
  <c r="L103" i="25" s="1"/>
  <c r="N103" i="25" s="1"/>
  <c r="P317" i="13"/>
  <c r="Q317" i="13" s="1"/>
  <c r="K317" i="25" s="1"/>
  <c r="L317" i="25" s="1"/>
  <c r="N317" i="25" s="1"/>
  <c r="P131" i="13"/>
  <c r="Q131" i="13" s="1"/>
  <c r="K131" i="25" s="1"/>
  <c r="L131" i="25" s="1"/>
  <c r="N131" i="25" s="1"/>
  <c r="P176" i="13"/>
  <c r="Q176" i="13" s="1"/>
  <c r="K176" i="25" s="1"/>
  <c r="L176" i="25" s="1"/>
  <c r="N176" i="25" s="1"/>
  <c r="R244" i="13"/>
  <c r="S244" i="13" s="1"/>
  <c r="R96" i="13"/>
  <c r="S96" i="13" s="1"/>
  <c r="R8" i="13"/>
  <c r="S8" i="13" s="1"/>
  <c r="R85" i="13"/>
  <c r="S85" i="13" s="1"/>
  <c r="I324" i="25"/>
  <c r="R27" i="13"/>
  <c r="S27" i="13" s="1"/>
  <c r="R254" i="13"/>
  <c r="S254" i="13" s="1"/>
  <c r="R93" i="13"/>
  <c r="S93" i="13" s="1"/>
  <c r="R25" i="13"/>
  <c r="S25" i="13" s="1"/>
  <c r="R39" i="13"/>
  <c r="S39" i="13" s="1"/>
  <c r="R22" i="13"/>
  <c r="S22" i="13" s="1"/>
  <c r="R238" i="13"/>
  <c r="S238" i="13" s="1"/>
  <c r="R42" i="13"/>
  <c r="S42" i="13" s="1"/>
  <c r="R21" i="13"/>
  <c r="S21" i="13" s="1"/>
  <c r="R150" i="13"/>
  <c r="S150" i="13" s="1"/>
  <c r="R147" i="13"/>
  <c r="S147" i="13" s="1"/>
  <c r="R262" i="13"/>
  <c r="S262" i="13" s="1"/>
  <c r="R135" i="13"/>
  <c r="S135" i="13" s="1"/>
  <c r="R41" i="13"/>
  <c r="S41" i="13" s="1"/>
  <c r="P250" i="13"/>
  <c r="Q250" i="13" s="1"/>
  <c r="K250" i="25" s="1"/>
  <c r="L250" i="25" s="1"/>
  <c r="N250" i="25" s="1"/>
  <c r="P259" i="13"/>
  <c r="Q259" i="13" s="1"/>
  <c r="K259" i="25" s="1"/>
  <c r="L259" i="25" s="1"/>
  <c r="N259" i="25" s="1"/>
  <c r="P182" i="13"/>
  <c r="Q182" i="13" s="1"/>
  <c r="K182" i="25" s="1"/>
  <c r="L182" i="25" s="1"/>
  <c r="N182" i="25" s="1"/>
  <c r="L97" i="25"/>
  <c r="N97" i="25" s="1"/>
  <c r="P77" i="13"/>
  <c r="Q77" i="13" s="1"/>
  <c r="K77" i="25" s="1"/>
  <c r="L77" i="25" s="1"/>
  <c r="N77" i="25" s="1"/>
  <c r="P204" i="13"/>
  <c r="Q204" i="13" s="1"/>
  <c r="K204" i="25" s="1"/>
  <c r="L204" i="25" s="1"/>
  <c r="N204" i="25" s="1"/>
  <c r="P136" i="13"/>
  <c r="Q136" i="13" s="1"/>
  <c r="K136" i="25" s="1"/>
  <c r="L136" i="25" s="1"/>
  <c r="N136" i="25" s="1"/>
  <c r="P122" i="13"/>
  <c r="Q122" i="13" s="1"/>
  <c r="K122" i="25" s="1"/>
  <c r="L122" i="25" s="1"/>
  <c r="N122" i="25" s="1"/>
  <c r="P267" i="13"/>
  <c r="Q267" i="13" s="1"/>
  <c r="K267" i="25" s="1"/>
  <c r="L267" i="25" s="1"/>
  <c r="N267" i="25" s="1"/>
  <c r="P142" i="13"/>
  <c r="Q142" i="13" s="1"/>
  <c r="K142" i="25" s="1"/>
  <c r="L142" i="25" s="1"/>
  <c r="N142" i="25" s="1"/>
  <c r="L163" i="25"/>
  <c r="N163" i="25" s="1"/>
  <c r="P119" i="13"/>
  <c r="Q119" i="13" s="1"/>
  <c r="K119" i="25" s="1"/>
  <c r="L119" i="25" s="1"/>
  <c r="N119" i="25" s="1"/>
  <c r="P179" i="13"/>
  <c r="Q179" i="13" s="1"/>
  <c r="K179" i="25" s="1"/>
  <c r="L179" i="25" s="1"/>
  <c r="N179" i="25" s="1"/>
  <c r="P190" i="13"/>
  <c r="Q190" i="13" s="1"/>
  <c r="K190" i="25" s="1"/>
  <c r="L190" i="25" s="1"/>
  <c r="N190" i="25" s="1"/>
  <c r="P105" i="13"/>
  <c r="Q105" i="13" s="1"/>
  <c r="K105" i="25" s="1"/>
  <c r="L105" i="25" s="1"/>
  <c r="N105" i="25" s="1"/>
  <c r="P112" i="13"/>
  <c r="Q112" i="13" s="1"/>
  <c r="K112" i="25" s="1"/>
  <c r="L112" i="25" s="1"/>
  <c r="N112" i="25" s="1"/>
  <c r="P220" i="13"/>
  <c r="Q220" i="13" s="1"/>
  <c r="K220" i="25" s="1"/>
  <c r="L220" i="25" s="1"/>
  <c r="N220" i="25" s="1"/>
  <c r="P47" i="13"/>
  <c r="Q47" i="13" s="1"/>
  <c r="K47" i="25" s="1"/>
  <c r="L47" i="25" s="1"/>
  <c r="N47" i="25" s="1"/>
  <c r="P63" i="13"/>
  <c r="Q63" i="13" s="1"/>
  <c r="K63" i="25" s="1"/>
  <c r="L63" i="25" s="1"/>
  <c r="N63" i="25" s="1"/>
  <c r="P322" i="13"/>
  <c r="Q322" i="13" s="1"/>
  <c r="K322" i="25" s="1"/>
  <c r="L322" i="25" s="1"/>
  <c r="N322" i="25" s="1"/>
  <c r="R285" i="13"/>
  <c r="S285" i="13" s="1"/>
  <c r="R294" i="13"/>
  <c r="S294" i="13" s="1"/>
  <c r="R161" i="13"/>
  <c r="S161" i="13" s="1"/>
  <c r="R265" i="13"/>
  <c r="S265" i="13" s="1"/>
  <c r="R143" i="13"/>
  <c r="S143" i="13" s="1"/>
  <c r="R276" i="13"/>
  <c r="S276" i="13" s="1"/>
  <c r="R298" i="13"/>
  <c r="S298" i="13" s="1"/>
  <c r="R172" i="13"/>
  <c r="S172" i="13" s="1"/>
  <c r="R56" i="13"/>
  <c r="S56" i="13" s="1"/>
  <c r="R291" i="13"/>
  <c r="S291" i="13" s="1"/>
  <c r="R208" i="13"/>
  <c r="S208" i="13" s="1"/>
  <c r="R17" i="13"/>
  <c r="S17" i="13" s="1"/>
  <c r="R106" i="13"/>
  <c r="S106" i="13" s="1"/>
  <c r="R234" i="13"/>
  <c r="S234" i="13" s="1"/>
  <c r="R116" i="13"/>
  <c r="S116" i="13" s="1"/>
  <c r="R144" i="13"/>
  <c r="S144" i="13" s="1"/>
  <c r="J6" i="25"/>
  <c r="I323" i="12"/>
  <c r="E35" i="48"/>
  <c r="R100" i="13"/>
  <c r="S100" i="13" s="1"/>
  <c r="R280" i="13"/>
  <c r="S280" i="13" s="1"/>
  <c r="P206" i="13"/>
  <c r="Q206" i="13" s="1"/>
  <c r="K206" i="25" s="1"/>
  <c r="L206" i="25" s="1"/>
  <c r="N206" i="25" s="1"/>
  <c r="P242" i="13"/>
  <c r="Q242" i="13" s="1"/>
  <c r="K242" i="25" s="1"/>
  <c r="L242" i="25" s="1"/>
  <c r="N242" i="25" s="1"/>
  <c r="P156" i="13"/>
  <c r="Q156" i="13" s="1"/>
  <c r="K156" i="25" s="1"/>
  <c r="L156" i="25" s="1"/>
  <c r="N156" i="25" s="1"/>
  <c r="P188" i="13"/>
  <c r="Q188" i="13" s="1"/>
  <c r="K188" i="25" s="1"/>
  <c r="L188" i="25" s="1"/>
  <c r="N188" i="25" s="1"/>
  <c r="P109" i="13"/>
  <c r="Q109" i="13" s="1"/>
  <c r="K109" i="25" s="1"/>
  <c r="L109" i="25" s="1"/>
  <c r="N109" i="25" s="1"/>
  <c r="P218" i="13"/>
  <c r="Q218" i="13" s="1"/>
  <c r="K218" i="25" s="1"/>
  <c r="L218" i="25" s="1"/>
  <c r="N218" i="25" s="1"/>
  <c r="P300" i="13"/>
  <c r="Q300" i="13" s="1"/>
  <c r="K300" i="25" s="1"/>
  <c r="L300" i="25" s="1"/>
  <c r="N300" i="25" s="1"/>
  <c r="P55" i="13"/>
  <c r="Q55" i="13" s="1"/>
  <c r="K55" i="25" s="1"/>
  <c r="L55" i="25" s="1"/>
  <c r="N55" i="25" s="1"/>
  <c r="P11" i="13"/>
  <c r="Q11" i="13" s="1"/>
  <c r="K11" i="25" s="1"/>
  <c r="L11" i="25" s="1"/>
  <c r="N11" i="25" s="1"/>
  <c r="P24" i="13"/>
  <c r="Q24" i="13" s="1"/>
  <c r="K24" i="25" s="1"/>
  <c r="L24" i="25" s="1"/>
  <c r="N24" i="25" s="1"/>
  <c r="P231" i="13"/>
  <c r="Q231" i="13" s="1"/>
  <c r="K231" i="25" s="1"/>
  <c r="L231" i="25" s="1"/>
  <c r="N231" i="25" s="1"/>
  <c r="P141" i="13"/>
  <c r="Q141" i="13" s="1"/>
  <c r="K141" i="25" s="1"/>
  <c r="L141" i="25" s="1"/>
  <c r="N141" i="25" s="1"/>
  <c r="P162" i="13"/>
  <c r="Q162" i="13" s="1"/>
  <c r="K162" i="25" s="1"/>
  <c r="L162" i="25" s="1"/>
  <c r="N162" i="25" s="1"/>
  <c r="P69" i="13"/>
  <c r="Q69" i="13" s="1"/>
  <c r="K69" i="25" s="1"/>
  <c r="L69" i="25" s="1"/>
  <c r="N69" i="25" s="1"/>
  <c r="P99" i="13"/>
  <c r="Q99" i="13" s="1"/>
  <c r="K99" i="25" s="1"/>
  <c r="L99" i="25" s="1"/>
  <c r="N99" i="25" s="1"/>
  <c r="P67" i="13"/>
  <c r="Q67" i="13" s="1"/>
  <c r="K67" i="25" s="1"/>
  <c r="L67" i="25" s="1"/>
  <c r="N67" i="25" s="1"/>
  <c r="L262" i="25"/>
  <c r="N262" i="25" s="1"/>
  <c r="P302" i="13"/>
  <c r="Q302" i="13" s="1"/>
  <c r="K302" i="25" s="1"/>
  <c r="L302" i="25" s="1"/>
  <c r="N302" i="25" s="1"/>
  <c r="P177" i="13"/>
  <c r="Q177" i="13" s="1"/>
  <c r="K177" i="25" s="1"/>
  <c r="L177" i="25" s="1"/>
  <c r="N177" i="25" s="1"/>
  <c r="P299" i="13"/>
  <c r="Q299" i="13" s="1"/>
  <c r="K299" i="25" s="1"/>
  <c r="L299" i="25" s="1"/>
  <c r="N299" i="25" s="1"/>
  <c r="P79" i="13"/>
  <c r="Q79" i="13" s="1"/>
  <c r="K79" i="25" s="1"/>
  <c r="L79" i="25" s="1"/>
  <c r="N79" i="25" s="1"/>
  <c r="P289" i="13"/>
  <c r="Q289" i="13" s="1"/>
  <c r="K289" i="25" s="1"/>
  <c r="L289" i="25" s="1"/>
  <c r="N289" i="25" s="1"/>
  <c r="P253" i="13"/>
  <c r="Q253" i="13" s="1"/>
  <c r="K253" i="25" s="1"/>
  <c r="L253" i="25" s="1"/>
  <c r="N253" i="25" s="1"/>
  <c r="P57" i="13"/>
  <c r="Q57" i="13" s="1"/>
  <c r="K57" i="25" s="1"/>
  <c r="L57" i="25" s="1"/>
  <c r="N57" i="25" s="1"/>
  <c r="P211" i="13"/>
  <c r="Q211" i="13" s="1"/>
  <c r="K211" i="25" s="1"/>
  <c r="L211" i="25" s="1"/>
  <c r="N211" i="25" s="1"/>
  <c r="P138" i="13"/>
  <c r="Q138" i="13" s="1"/>
  <c r="K138" i="25" s="1"/>
  <c r="L138" i="25" s="1"/>
  <c r="N138" i="25" s="1"/>
  <c r="P16" i="13"/>
  <c r="Q16" i="13" s="1"/>
  <c r="K16" i="25" s="1"/>
  <c r="L16" i="25" s="1"/>
  <c r="N16" i="25" s="1"/>
  <c r="P117" i="13"/>
  <c r="Q117" i="13" s="1"/>
  <c r="K117" i="25" s="1"/>
  <c r="L117" i="25" s="1"/>
  <c r="N117" i="25" s="1"/>
  <c r="P175" i="13"/>
  <c r="Q175" i="13" s="1"/>
  <c r="K175" i="25" s="1"/>
  <c r="L175" i="25" s="1"/>
  <c r="N175" i="25" s="1"/>
  <c r="P226" i="13"/>
  <c r="Q226" i="13" s="1"/>
  <c r="K226" i="25" s="1"/>
  <c r="L226" i="25" s="1"/>
  <c r="N226" i="25" s="1"/>
  <c r="P235" i="13"/>
  <c r="Q235" i="13" s="1"/>
  <c r="K235" i="25" s="1"/>
  <c r="L235" i="25" s="1"/>
  <c r="N235" i="25" s="1"/>
  <c r="L19" i="25"/>
  <c r="N19" i="25" s="1"/>
  <c r="P297" i="13"/>
  <c r="Q297" i="13" s="1"/>
  <c r="K297" i="25" s="1"/>
  <c r="L297" i="25" s="1"/>
  <c r="N297" i="25" s="1"/>
  <c r="P35" i="13"/>
  <c r="Q35" i="13" s="1"/>
  <c r="K35" i="25" s="1"/>
  <c r="L35" i="25" s="1"/>
  <c r="N35" i="25" s="1"/>
  <c r="P201" i="13"/>
  <c r="Q201" i="13" s="1"/>
  <c r="K201" i="25" s="1"/>
  <c r="L201" i="25" s="1"/>
  <c r="N201" i="25" s="1"/>
  <c r="P196" i="13"/>
  <c r="Q196" i="13" s="1"/>
  <c r="K196" i="25" s="1"/>
  <c r="L196" i="25" s="1"/>
  <c r="N196" i="25" s="1"/>
  <c r="P37" i="13"/>
  <c r="Q37" i="13" s="1"/>
  <c r="K37" i="25" s="1"/>
  <c r="L37" i="25" s="1"/>
  <c r="N37" i="25" s="1"/>
  <c r="P219" i="13"/>
  <c r="Q219" i="13" s="1"/>
  <c r="K219" i="25" s="1"/>
  <c r="L219" i="25" s="1"/>
  <c r="N219" i="25" s="1"/>
  <c r="P227" i="13"/>
  <c r="Q227" i="13" s="1"/>
  <c r="K227" i="25" s="1"/>
  <c r="L227" i="25" s="1"/>
  <c r="N227" i="25" s="1"/>
  <c r="P81" i="13"/>
  <c r="Q81" i="13" s="1"/>
  <c r="K81" i="25" s="1"/>
  <c r="L81" i="25" s="1"/>
  <c r="N81" i="25" s="1"/>
  <c r="P186" i="13"/>
  <c r="Q186" i="13" s="1"/>
  <c r="K186" i="25" s="1"/>
  <c r="L186" i="25" s="1"/>
  <c r="N186" i="25" s="1"/>
  <c r="P65" i="13"/>
  <c r="Q65" i="13" s="1"/>
  <c r="K65" i="25" s="1"/>
  <c r="L65" i="25" s="1"/>
  <c r="N65" i="25" s="1"/>
  <c r="P149" i="13"/>
  <c r="Q149" i="13" s="1"/>
  <c r="K149" i="25" s="1"/>
  <c r="L149" i="25" s="1"/>
  <c r="N149" i="25" s="1"/>
  <c r="P216" i="13"/>
  <c r="Q216" i="13" s="1"/>
  <c r="K216" i="25" s="1"/>
  <c r="L216" i="25" s="1"/>
  <c r="N216" i="25" s="1"/>
  <c r="P94" i="13"/>
  <c r="Q94" i="13" s="1"/>
  <c r="K94" i="25" s="1"/>
  <c r="L94" i="25" s="1"/>
  <c r="P167" i="13"/>
  <c r="Q167" i="13" s="1"/>
  <c r="K167" i="25" s="1"/>
  <c r="L167" i="25" s="1"/>
  <c r="N167" i="25" s="1"/>
  <c r="P73" i="13"/>
  <c r="Q73" i="13" s="1"/>
  <c r="K73" i="25" s="1"/>
  <c r="L73" i="25" s="1"/>
  <c r="N73" i="25" s="1"/>
  <c r="P89" i="13"/>
  <c r="Q89" i="13" s="1"/>
  <c r="K89" i="25" s="1"/>
  <c r="L89" i="25" s="1"/>
  <c r="N89" i="25" s="1"/>
  <c r="P236" i="13"/>
  <c r="Q236" i="13" s="1"/>
  <c r="K236" i="25" s="1"/>
  <c r="L236" i="25" s="1"/>
  <c r="N236" i="25" s="1"/>
  <c r="P203" i="13"/>
  <c r="Q203" i="13" s="1"/>
  <c r="K203" i="25" s="1"/>
  <c r="L203" i="25" s="1"/>
  <c r="N203" i="25" s="1"/>
  <c r="P168" i="13"/>
  <c r="Q168" i="13" s="1"/>
  <c r="K168" i="25" s="1"/>
  <c r="L168" i="25" s="1"/>
  <c r="N168" i="25" s="1"/>
  <c r="P263" i="13"/>
  <c r="Q263" i="13" s="1"/>
  <c r="K263" i="25" s="1"/>
  <c r="L263" i="25" s="1"/>
  <c r="P290" i="13"/>
  <c r="Q290" i="13" s="1"/>
  <c r="K290" i="25" s="1"/>
  <c r="L290" i="25" s="1"/>
  <c r="N290" i="25" s="1"/>
  <c r="P15" i="13"/>
  <c r="Q15" i="13" s="1"/>
  <c r="K15" i="25" s="1"/>
  <c r="L15" i="25" s="1"/>
  <c r="N15" i="25" s="1"/>
  <c r="L100" i="25"/>
  <c r="N100" i="25" s="1"/>
  <c r="N32" i="25" l="1"/>
  <c r="N171" i="25"/>
  <c r="N244" i="25"/>
  <c r="N181" i="25"/>
  <c r="N178" i="25"/>
  <c r="N94" i="25"/>
  <c r="N191" i="25"/>
  <c r="N252" i="25"/>
  <c r="N169" i="25"/>
  <c r="N152" i="25"/>
  <c r="N222" i="25"/>
  <c r="N251" i="25"/>
  <c r="N263" i="25"/>
  <c r="N197" i="25"/>
  <c r="R179" i="13"/>
  <c r="S179" i="13" s="1"/>
  <c r="R142" i="13"/>
  <c r="S142" i="13" s="1"/>
  <c r="R310" i="13"/>
  <c r="S310" i="13" s="1"/>
  <c r="R227" i="13"/>
  <c r="S227" i="13" s="1"/>
  <c r="R63" i="13"/>
  <c r="S63" i="13" s="1"/>
  <c r="R76" i="13"/>
  <c r="S76" i="13" s="1"/>
  <c r="R111" i="13"/>
  <c r="S111" i="13" s="1"/>
  <c r="R36" i="13"/>
  <c r="S36" i="13" s="1"/>
  <c r="R94" i="13"/>
  <c r="S94" i="13" s="1"/>
  <c r="R73" i="13"/>
  <c r="S73" i="13" s="1"/>
  <c r="R186" i="13"/>
  <c r="S186" i="13" s="1"/>
  <c r="R99" i="13"/>
  <c r="S99" i="13" s="1"/>
  <c r="R109" i="13"/>
  <c r="S109" i="13" s="1"/>
  <c r="R43" i="13"/>
  <c r="S43" i="13" s="1"/>
  <c r="R16" i="13"/>
  <c r="S16" i="13" s="1"/>
  <c r="R177" i="13"/>
  <c r="S177" i="13" s="1"/>
  <c r="R302" i="13"/>
  <c r="S302" i="13" s="1"/>
  <c r="R231" i="13"/>
  <c r="S231" i="13" s="1"/>
  <c r="R290" i="13"/>
  <c r="S290" i="13" s="1"/>
  <c r="R79" i="13"/>
  <c r="S79" i="13" s="1"/>
  <c r="R317" i="13"/>
  <c r="S317" i="13" s="1"/>
  <c r="R189" i="13"/>
  <c r="S189" i="13" s="1"/>
  <c r="R23" i="13"/>
  <c r="S23" i="13" s="1"/>
  <c r="R269" i="13"/>
  <c r="S269" i="13" s="1"/>
  <c r="R297" i="13"/>
  <c r="S297" i="13" s="1"/>
  <c r="R220" i="13"/>
  <c r="S220" i="13" s="1"/>
  <c r="R122" i="13"/>
  <c r="S122" i="13" s="1"/>
  <c r="R145" i="13"/>
  <c r="S145" i="13" s="1"/>
  <c r="R6" i="13"/>
  <c r="S6" i="13" s="1"/>
  <c r="R53" i="13"/>
  <c r="S53" i="13" s="1"/>
  <c r="R217" i="13"/>
  <c r="S217" i="13" s="1"/>
  <c r="R264" i="13"/>
  <c r="S264" i="13" s="1"/>
  <c r="R236" i="13"/>
  <c r="S236" i="13" s="1"/>
  <c r="R204" i="13"/>
  <c r="S204" i="13" s="1"/>
  <c r="R49" i="13"/>
  <c r="S49" i="13" s="1"/>
  <c r="R185" i="13"/>
  <c r="S185" i="13" s="1"/>
  <c r="R252" i="13"/>
  <c r="S252" i="13" s="1"/>
  <c r="R207" i="13"/>
  <c r="S207" i="13" s="1"/>
  <c r="R7" i="13"/>
  <c r="S7" i="13" s="1"/>
  <c r="R108" i="13"/>
  <c r="S108" i="13" s="1"/>
  <c r="R137" i="13"/>
  <c r="S137" i="13" s="1"/>
  <c r="R287" i="13"/>
  <c r="S287" i="13" s="1"/>
  <c r="R14" i="13"/>
  <c r="S14" i="13" s="1"/>
  <c r="R82" i="13"/>
  <c r="S82" i="13" s="1"/>
  <c r="R223" i="13"/>
  <c r="S223" i="13" s="1"/>
  <c r="R169" i="13"/>
  <c r="S169" i="13" s="1"/>
  <c r="R215" i="13"/>
  <c r="S215" i="13" s="1"/>
  <c r="R10" i="13"/>
  <c r="S10" i="13" s="1"/>
  <c r="R15" i="13"/>
  <c r="S15" i="13" s="1"/>
  <c r="R37" i="13"/>
  <c r="S37" i="13" s="1"/>
  <c r="R175" i="13"/>
  <c r="S175" i="13" s="1"/>
  <c r="R253" i="13"/>
  <c r="S253" i="13" s="1"/>
  <c r="R267" i="13"/>
  <c r="S267" i="13" s="1"/>
  <c r="R136" i="13"/>
  <c r="S136" i="13" s="1"/>
  <c r="R77" i="13"/>
  <c r="S77" i="13" s="1"/>
  <c r="R259" i="13"/>
  <c r="S259" i="13" s="1"/>
  <c r="R71" i="13"/>
  <c r="S71" i="13" s="1"/>
  <c r="R296" i="13"/>
  <c r="S296" i="13" s="1"/>
  <c r="R278" i="13"/>
  <c r="S278" i="13" s="1"/>
  <c r="R210" i="13"/>
  <c r="S210" i="13" s="1"/>
  <c r="R271" i="13"/>
  <c r="S271" i="13" s="1"/>
  <c r="R129" i="13"/>
  <c r="S129" i="13" s="1"/>
  <c r="R181" i="13"/>
  <c r="S181" i="13" s="1"/>
  <c r="R168" i="13"/>
  <c r="S168" i="13" s="1"/>
  <c r="R149" i="13"/>
  <c r="S149" i="13" s="1"/>
  <c r="R201" i="13"/>
  <c r="S201" i="13" s="1"/>
  <c r="R235" i="13"/>
  <c r="S235" i="13" s="1"/>
  <c r="R162" i="13"/>
  <c r="S162" i="13" s="1"/>
  <c r="R300" i="13"/>
  <c r="S300" i="13" s="1"/>
  <c r="R126" i="13"/>
  <c r="S126" i="13" s="1"/>
  <c r="R104" i="13"/>
  <c r="S104" i="13" s="1"/>
  <c r="R60" i="13"/>
  <c r="S60" i="13" s="1"/>
  <c r="R157" i="13"/>
  <c r="S157" i="13" s="1"/>
  <c r="R78" i="13"/>
  <c r="S78" i="13" s="1"/>
  <c r="R213" i="13"/>
  <c r="S213" i="13" s="1"/>
  <c r="R173" i="13"/>
  <c r="S173" i="13" s="1"/>
  <c r="R232" i="13"/>
  <c r="S232" i="13" s="1"/>
  <c r="R230" i="13"/>
  <c r="S230" i="13" s="1"/>
  <c r="R301" i="13"/>
  <c r="S301" i="13" s="1"/>
  <c r="R84" i="13"/>
  <c r="S84" i="13" s="1"/>
  <c r="R191" i="13"/>
  <c r="S191" i="13" s="1"/>
  <c r="R263" i="13"/>
  <c r="S263" i="13" s="1"/>
  <c r="R203" i="13"/>
  <c r="S203" i="13" s="1"/>
  <c r="R89" i="13"/>
  <c r="S89" i="13" s="1"/>
  <c r="R167" i="13"/>
  <c r="S167" i="13" s="1"/>
  <c r="R216" i="13"/>
  <c r="S216" i="13" s="1"/>
  <c r="R65" i="13"/>
  <c r="S65" i="13" s="1"/>
  <c r="R81" i="13"/>
  <c r="S81" i="13" s="1"/>
  <c r="R219" i="13"/>
  <c r="S219" i="13" s="1"/>
  <c r="R196" i="13"/>
  <c r="S196" i="13" s="1"/>
  <c r="R35" i="13"/>
  <c r="S35" i="13" s="1"/>
  <c r="R211" i="13"/>
  <c r="S211" i="13" s="1"/>
  <c r="R67" i="13"/>
  <c r="S67" i="13" s="1"/>
  <c r="R69" i="13"/>
  <c r="S69" i="13" s="1"/>
  <c r="R141" i="13"/>
  <c r="S141" i="13" s="1"/>
  <c r="R24" i="13"/>
  <c r="S24" i="13" s="1"/>
  <c r="R11" i="13"/>
  <c r="S11" i="13" s="1"/>
  <c r="R55" i="13"/>
  <c r="S55" i="13" s="1"/>
  <c r="R218" i="13"/>
  <c r="S218" i="13" s="1"/>
  <c r="R188" i="13"/>
  <c r="S188" i="13" s="1"/>
  <c r="R242" i="13"/>
  <c r="S242" i="13" s="1"/>
  <c r="R206" i="13"/>
  <c r="S206" i="13" s="1"/>
  <c r="R105" i="13"/>
  <c r="S105" i="13" s="1"/>
  <c r="R176" i="13"/>
  <c r="S176" i="13" s="1"/>
  <c r="R13" i="13"/>
  <c r="S13" i="13" s="1"/>
  <c r="R249" i="13"/>
  <c r="S249" i="13" s="1"/>
  <c r="R319" i="13"/>
  <c r="S319" i="13" s="1"/>
  <c r="R80" i="13"/>
  <c r="S80" i="13" s="1"/>
  <c r="R154" i="13"/>
  <c r="S154" i="13" s="1"/>
  <c r="R303" i="13"/>
  <c r="S303" i="13" s="1"/>
  <c r="R321" i="13"/>
  <c r="S321" i="13" s="1"/>
  <c r="R38" i="13"/>
  <c r="S38" i="13" s="1"/>
  <c r="R12" i="13"/>
  <c r="S12" i="13" s="1"/>
  <c r="R61" i="13"/>
  <c r="S61" i="13" s="1"/>
  <c r="R75" i="13"/>
  <c r="S75" i="13" s="1"/>
  <c r="R226" i="13"/>
  <c r="S226" i="13" s="1"/>
  <c r="R117" i="13"/>
  <c r="S117" i="13" s="1"/>
  <c r="R138" i="13"/>
  <c r="S138" i="13" s="1"/>
  <c r="R57" i="13"/>
  <c r="S57" i="13" s="1"/>
  <c r="R289" i="13"/>
  <c r="S289" i="13" s="1"/>
  <c r="R299" i="13"/>
  <c r="S299" i="13" s="1"/>
  <c r="R156" i="13"/>
  <c r="S156" i="13" s="1"/>
  <c r="R322" i="13"/>
  <c r="S322" i="13" s="1"/>
  <c r="R47" i="13"/>
  <c r="S47" i="13" s="1"/>
  <c r="R112" i="13"/>
  <c r="S112" i="13" s="1"/>
  <c r="R190" i="13"/>
  <c r="S190" i="13" s="1"/>
  <c r="R119" i="13"/>
  <c r="S119" i="13" s="1"/>
  <c r="R182" i="13"/>
  <c r="S182" i="13" s="1"/>
  <c r="R250" i="13"/>
  <c r="S250" i="13" s="1"/>
  <c r="R131" i="13"/>
  <c r="S131" i="13" s="1"/>
  <c r="R103" i="13"/>
  <c r="S103" i="13" s="1"/>
  <c r="R251" i="13"/>
  <c r="S251" i="13" s="1"/>
  <c r="R44" i="13"/>
  <c r="S44" i="13" s="1"/>
  <c r="R174" i="13"/>
  <c r="S174" i="13" s="1"/>
  <c r="R128" i="13"/>
  <c r="S128" i="13" s="1"/>
  <c r="R34" i="13"/>
  <c r="S34" i="13" s="1"/>
  <c r="R86" i="13"/>
  <c r="S86" i="13" s="1"/>
  <c r="R134" i="13"/>
  <c r="S134" i="13" s="1"/>
  <c r="R102" i="13"/>
  <c r="S102" i="13" s="1"/>
  <c r="R308" i="13"/>
  <c r="S308" i="13" s="1"/>
  <c r="R187" i="13"/>
  <c r="S187" i="13" s="1"/>
  <c r="R212" i="13"/>
  <c r="S212" i="13" s="1"/>
  <c r="R33" i="13"/>
  <c r="S33" i="13" s="1"/>
  <c r="R323" i="13"/>
  <c r="S323" i="13" s="1"/>
  <c r="J324" i="25"/>
  <c r="E37" i="48"/>
  <c r="F37" i="48" s="1"/>
  <c r="F41" i="48" s="1"/>
  <c r="F52" i="48" s="1"/>
  <c r="K6" i="25"/>
  <c r="L6" i="25" s="1"/>
  <c r="N6" i="25" s="1"/>
  <c r="Q324" i="13"/>
  <c r="D32" i="40" s="1"/>
  <c r="N324" i="25" l="1"/>
  <c r="K324" i="25"/>
  <c r="L324" i="25" s="1"/>
  <c r="C32" i="40" s="1"/>
</calcChain>
</file>

<file path=xl/sharedStrings.xml><?xml version="1.0" encoding="utf-8"?>
<sst xmlns="http://schemas.openxmlformats.org/spreadsheetml/2006/main" count="1185" uniqueCount="594">
  <si>
    <t>Valeur du point par habitantaprès écrêtage</t>
  </si>
  <si>
    <t>en % de la moyenne après écrêtage</t>
  </si>
  <si>
    <t>pt après écrêtage</t>
  </si>
  <si>
    <t>pts écrêtés</t>
  </si>
  <si>
    <t>Valeur pt après écrêtage</t>
  </si>
  <si>
    <t>Plafonnement de l'aide</t>
  </si>
  <si>
    <t>frontaliers</t>
  </si>
  <si>
    <t>L'Isle</t>
  </si>
  <si>
    <t>Lussery-Villars</t>
  </si>
  <si>
    <t>Mauraz</t>
  </si>
  <si>
    <t>Mex</t>
  </si>
  <si>
    <t>Moiry</t>
  </si>
  <si>
    <t>Corcelles-près-Payerne</t>
  </si>
  <si>
    <t>Grandcour</t>
  </si>
  <si>
    <t>Henniez</t>
  </si>
  <si>
    <t>Missy</t>
  </si>
  <si>
    <t>Payerne</t>
  </si>
  <si>
    <t>Trey</t>
  </si>
  <si>
    <t>Treytorrens</t>
  </si>
  <si>
    <t>Villarzel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</si>
  <si>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</si>
  <si>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</si>
  <si>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</si>
  <si>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</si>
  <si>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</si>
  <si>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</si>
  <si>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</si>
  <si>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</si>
  <si>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</si>
  <si>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</si>
  <si>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</si>
  <si>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</si>
  <si>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</si>
  <si>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</si>
  <si>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</si>
  <si>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</si>
  <si>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</si>
  <si>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Saint-Barthélemy</t>
  </si>
  <si>
    <t>Villars-le-Terroir</t>
  </si>
  <si>
    <t>Vuarrens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</si>
  <si>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</si>
  <si>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</si>
  <si>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</si>
  <si>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</si>
  <si>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</si>
  <si>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</si>
  <si>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</si>
  <si>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</si>
  <si>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</si>
  <si>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</si>
  <si>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</si>
  <si>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Plafond transports</t>
  </si>
  <si>
    <t>Plafond forêts</t>
  </si>
  <si>
    <t>No OFS</t>
  </si>
  <si>
    <t>Fonds de péréquation</t>
  </si>
  <si>
    <t>IFO normalisé à 100</t>
  </si>
  <si>
    <t>Corsier-sur-Vevey</t>
  </si>
  <si>
    <t>Jongny</t>
  </si>
  <si>
    <t>Montreux</t>
  </si>
  <si>
    <t>St-Légier-La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</si>
  <si>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</si>
  <si>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</si>
  <si>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</si>
  <si>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</si>
  <si>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</si>
  <si>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</si>
  <si>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</si>
  <si>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</si>
  <si>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</si>
  <si>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</si>
  <si>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</si>
  <si>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</si>
  <si>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</si>
  <si>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</si>
  <si>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</t>
  </si>
  <si>
    <t>Essert-Pittet</t>
  </si>
  <si>
    <t>Valeur par habitant</t>
  </si>
  <si>
    <t>Valeur du point après écrêtage</t>
  </si>
  <si>
    <t>Nyon</t>
  </si>
  <si>
    <t>Prangins</t>
  </si>
  <si>
    <t>Bougy-Villars</t>
  </si>
  <si>
    <t>Yvorne</t>
  </si>
  <si>
    <t>Apples</t>
  </si>
  <si>
    <t>Aubonne</t>
  </si>
  <si>
    <t>Ballens</t>
  </si>
  <si>
    <t>Berolle</t>
  </si>
  <si>
    <t>Bière</t>
  </si>
  <si>
    <t>Taxe annuelle égoûts</t>
  </si>
  <si>
    <t>Ordures</t>
  </si>
  <si>
    <t>Taxe eau</t>
  </si>
  <si>
    <t>Taxe compl. Eau</t>
  </si>
  <si>
    <t>Pompiers</t>
  </si>
  <si>
    <t>Taxe communale de séjour</t>
  </si>
  <si>
    <t>Total taxes</t>
  </si>
  <si>
    <t>Taux communal</t>
  </si>
  <si>
    <t>ISP</t>
  </si>
  <si>
    <t>IPE</t>
  </si>
  <si>
    <t>IBC</t>
  </si>
  <si>
    <t>IET</t>
  </si>
  <si>
    <t>ISO</t>
  </si>
  <si>
    <t>IMM</t>
  </si>
  <si>
    <t>IFO</t>
  </si>
  <si>
    <t>STO</t>
  </si>
  <si>
    <t>IFR</t>
  </si>
  <si>
    <t>ISD</t>
  </si>
  <si>
    <t>DMU</t>
  </si>
  <si>
    <t>IGI</t>
  </si>
  <si>
    <t>IPA</t>
  </si>
  <si>
    <t>ICH</t>
  </si>
  <si>
    <t>IDI</t>
  </si>
  <si>
    <t>IDV</t>
  </si>
  <si>
    <t>TOT</t>
  </si>
  <si>
    <t>Taxegout</t>
  </si>
  <si>
    <t>Taxcegou</t>
  </si>
  <si>
    <t>Taxaneg</t>
  </si>
  <si>
    <t>Taxenc</t>
  </si>
  <si>
    <t>Ordure</t>
  </si>
  <si>
    <t>Taxeau</t>
  </si>
  <si>
    <t>Taxceau</t>
  </si>
  <si>
    <t>Facture sociale à charge des communes</t>
  </si>
  <si>
    <t>Facture sociale</t>
  </si>
  <si>
    <t>Alimentation</t>
  </si>
  <si>
    <t>./. Dép. thématiques</t>
  </si>
  <si>
    <t>Commune</t>
  </si>
  <si>
    <t>Chiens</t>
  </si>
  <si>
    <t>Divertissements</t>
  </si>
  <si>
    <t>Divers</t>
  </si>
  <si>
    <t>Taxe egoûts</t>
  </si>
  <si>
    <t>Taxe compl. Égoûts</t>
  </si>
  <si>
    <t>Chavannes-sur-Moudon</t>
  </si>
  <si>
    <t>Chesalles-sur-Moudon</t>
  </si>
  <si>
    <t>Cremin</t>
  </si>
  <si>
    <t>Curtilles</t>
  </si>
  <si>
    <t>Dompierre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</si>
  <si>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</si>
  <si>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</si>
  <si>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</si>
  <si>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</si>
  <si>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</si>
  <si>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</si>
  <si>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</si>
  <si>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</si>
  <si>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</si>
  <si>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</si>
  <si>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</si>
  <si>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</si>
  <si>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Arnex-sur-Nyon</t>
  </si>
  <si>
    <t>Bassins</t>
  </si>
  <si>
    <t>Chessel</t>
  </si>
  <si>
    <t>Corbeyrier</t>
  </si>
  <si>
    <t>Gryon</t>
  </si>
  <si>
    <t>Lavey-Morcles</t>
  </si>
  <si>
    <t>Leysin</t>
  </si>
  <si>
    <t>Noville</t>
  </si>
  <si>
    <t>Ollon</t>
  </si>
  <si>
    <t>Sainte-Croix</t>
  </si>
  <si>
    <t>Lausanne</t>
  </si>
  <si>
    <t>Le Mont-sur-Lausanne</t>
  </si>
  <si>
    <t>Paudex</t>
  </si>
  <si>
    <t>Prilly</t>
  </si>
  <si>
    <t>Pully</t>
  </si>
  <si>
    <t>Taux projeté</t>
  </si>
  <si>
    <t>Plafonnement du taux</t>
  </si>
  <si>
    <t>Contrôle du taux projeté</t>
  </si>
  <si>
    <t>Rivaz</t>
  </si>
  <si>
    <t>St-Saphorin (Lavaux)</t>
  </si>
  <si>
    <t>Ormont-Dessous</t>
  </si>
  <si>
    <t>Ormont-Dessus</t>
  </si>
  <si>
    <t>Rennaz</t>
  </si>
  <si>
    <t>Roche</t>
  </si>
  <si>
    <t>Villeneuve</t>
  </si>
  <si>
    <t>Romainmôtier-Envy</t>
  </si>
  <si>
    <t>Sergey</t>
  </si>
  <si>
    <t>Valeyres-sous-Rances</t>
  </si>
  <si>
    <t>Total</t>
  </si>
  <si>
    <t>Dépenses thématiques</t>
  </si>
  <si>
    <t>Ferreyres</t>
  </si>
  <si>
    <t>Gollion</t>
  </si>
  <si>
    <t>Grancy</t>
  </si>
  <si>
    <t>Forel (Lavaux)</t>
  </si>
  <si>
    <t>Lutry</t>
  </si>
  <si>
    <t>Péréquation directe nette</t>
  </si>
  <si>
    <t>Plafond en pts</t>
  </si>
  <si>
    <t>Bremblens</t>
  </si>
  <si>
    <t>Buchillon</t>
  </si>
  <si>
    <t>Yvonand</t>
  </si>
  <si>
    <t>Yverdon-les-Bains</t>
  </si>
  <si>
    <t>Clarmont</t>
  </si>
  <si>
    <t>Denens</t>
  </si>
  <si>
    <t>Denges</t>
  </si>
  <si>
    <t>Echandens</t>
  </si>
  <si>
    <t>Echichens</t>
  </si>
  <si>
    <t>Ecublens</t>
  </si>
  <si>
    <t>Etoy</t>
  </si>
  <si>
    <t>Lavigny</t>
  </si>
  <si>
    <t>Lonay</t>
  </si>
  <si>
    <t>Lully</t>
  </si>
  <si>
    <t>Lussy-sur-Morges</t>
  </si>
  <si>
    <t>Morges</t>
  </si>
  <si>
    <t>Préverenges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</si>
  <si>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</si>
  <si>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</si>
  <si>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</si>
  <si>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</si>
  <si>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</si>
  <si>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</si>
  <si>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</si>
  <si>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</si>
  <si>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</si>
  <si>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</si>
  <si>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</si>
  <si>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</si>
  <si>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</si>
  <si>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</si>
  <si>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</si>
  <si>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</si>
  <si>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</si>
  <si>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</t>
  </si>
  <si>
    <t>Echallens</t>
  </si>
  <si>
    <t>Essertines-sur-Yverdon</t>
  </si>
  <si>
    <t>Etagnières</t>
  </si>
  <si>
    <t>Fey</t>
  </si>
  <si>
    <t>Froideville</t>
  </si>
  <si>
    <t>Morrens</t>
  </si>
  <si>
    <t>Oulens-sous-Echallens</t>
  </si>
  <si>
    <t>Pailly</t>
  </si>
  <si>
    <t>Penthéréaz</t>
  </si>
  <si>
    <t>Poliez-Pittet</t>
  </si>
  <si>
    <t>Rueyres</t>
  </si>
  <si>
    <t>Sous-total</t>
  </si>
  <si>
    <t>Frontaliers</t>
  </si>
  <si>
    <t>Successions et donations</t>
  </si>
  <si>
    <t>Droits de mutation</t>
  </si>
  <si>
    <t>Gains immobiliers</t>
  </si>
  <si>
    <t>Patentes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</si>
  <si>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</si>
  <si>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</si>
  <si>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</si>
  <si>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</si>
  <si>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</si>
  <si>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</si>
  <si>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</si>
  <si>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Le Chenit</t>
  </si>
  <si>
    <t>Le Lieu</t>
  </si>
  <si>
    <t>Blonay</t>
  </si>
  <si>
    <t>Chardonne</t>
  </si>
  <si>
    <t>Corseaux</t>
  </si>
  <si>
    <t>Boussens</t>
  </si>
  <si>
    <t>La Chaux (Cossonay)</t>
  </si>
  <si>
    <t>Plafonnement de l'effort</t>
  </si>
  <si>
    <t>Solde net des péréquations</t>
  </si>
  <si>
    <t>Prise en charge dépassement</t>
  </si>
  <si>
    <t>Forêts</t>
  </si>
  <si>
    <t>Dépassement forêts</t>
  </si>
  <si>
    <t>Romanel-sur-Lausanne</t>
  </si>
  <si>
    <t>La Praz</t>
  </si>
  <si>
    <t>Premier</t>
  </si>
  <si>
    <t>Rances</t>
  </si>
  <si>
    <t>Indicateurs financiers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</si>
  <si>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</si>
  <si>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</si>
  <si>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</si>
  <si>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</si>
  <si>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</si>
  <si>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</si>
  <si>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</si>
  <si>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</si>
  <si>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</si>
  <si>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</si>
  <si>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</si>
  <si>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</si>
  <si>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</si>
  <si>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</si>
  <si>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</si>
  <si>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</si>
  <si>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</si>
  <si>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</si>
  <si>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</si>
  <si>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</si>
  <si>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Cottens</t>
  </si>
  <si>
    <t>Cuarnens</t>
  </si>
  <si>
    <t>Daillens</t>
  </si>
  <si>
    <t>Dizy</t>
  </si>
  <si>
    <t>Eclépens</t>
  </si>
  <si>
    <t>Pertes débiteurs</t>
  </si>
  <si>
    <t>Modif. Ant.</t>
  </si>
  <si>
    <t>Imputation forfaitaire</t>
  </si>
  <si>
    <t>Pers. physiques - revenu/fortune corrigé</t>
  </si>
  <si>
    <t>IRF corrrigé</t>
  </si>
  <si>
    <t xml:space="preserve">Pers. physiques - revenu/fortune </t>
  </si>
  <si>
    <t xml:space="preserve">IRF </t>
  </si>
  <si>
    <t>Taxe annuelle compl égoûts (association)</t>
  </si>
  <si>
    <t>Plafond effort</t>
  </si>
  <si>
    <t>Plafond taux</t>
  </si>
  <si>
    <t>Chavannes-près-Renens</t>
  </si>
  <si>
    <t>Chigny</t>
  </si>
  <si>
    <t>Diff. De taux</t>
  </si>
  <si>
    <t>Impôt spécial affecté</t>
  </si>
  <si>
    <t>Impôt personnel</t>
  </si>
  <si>
    <t>Pers. morales bénéfice / capital</t>
  </si>
  <si>
    <t>Pompier</t>
  </si>
  <si>
    <t>Taxcomse</t>
  </si>
  <si>
    <t>Tot. taxes</t>
  </si>
  <si>
    <t>Aigle</t>
  </si>
  <si>
    <t>Bex</t>
  </si>
  <si>
    <t>Taux après déduction de l'effort péréquatif</t>
  </si>
  <si>
    <t>Somme des efforts péréquatifs prévus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</si>
  <si>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</si>
  <si>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</si>
  <si>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</si>
  <si>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</si>
  <si>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</si>
  <si>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</si>
  <si>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</si>
  <si>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</si>
  <si>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Montagny-près-Yverdon</t>
  </si>
  <si>
    <t>Oppens</t>
  </si>
  <si>
    <t>Orges</t>
  </si>
  <si>
    <t>Ursins</t>
  </si>
  <si>
    <t>Vugelles-La Mothe</t>
  </si>
  <si>
    <t>Carrouge</t>
  </si>
  <si>
    <t>./. Gestion du fonds</t>
  </si>
  <si>
    <t>Corcelles-le-Jorat</t>
  </si>
  <si>
    <t>Essertes</t>
  </si>
  <si>
    <t>Ferlens</t>
  </si>
  <si>
    <t>Maracon</t>
  </si>
  <si>
    <t>Mézières</t>
  </si>
  <si>
    <t>Montpreveyres</t>
  </si>
  <si>
    <t>Ropraz</t>
  </si>
  <si>
    <t>Servion</t>
  </si>
  <si>
    <t>Mutrux</t>
  </si>
  <si>
    <t>Novalles</t>
  </si>
  <si>
    <t>Onnens</t>
  </si>
  <si>
    <t>Provence</t>
  </si>
  <si>
    <t>Recettes conjoncturelles en pts</t>
  </si>
  <si>
    <t>A répartir selon clé</t>
  </si>
  <si>
    <t>en % de la moyenne</t>
  </si>
  <si>
    <t>Seuil 1</t>
  </si>
  <si>
    <t>Seuil 2</t>
  </si>
  <si>
    <t>Total écrêtage</t>
  </si>
  <si>
    <t>Seuil 0</t>
  </si>
  <si>
    <t>Montant à recevoir</t>
  </si>
  <si>
    <t>Total à recevoir</t>
  </si>
  <si>
    <t>Savigny</t>
  </si>
  <si>
    <t>Chexbres</t>
  </si>
  <si>
    <t>Villars-Epeney</t>
  </si>
  <si>
    <t>Puidoux</t>
  </si>
  <si>
    <t>Bussy-Chardonney</t>
  </si>
  <si>
    <t>Total transports</t>
  </si>
  <si>
    <t>Dépassement transports</t>
  </si>
  <si>
    <t>Population</t>
  </si>
  <si>
    <t>Capacité fiscale totale</t>
  </si>
  <si>
    <t>Montant perçu</t>
  </si>
  <si>
    <t>Ecrêtage capacité financière</t>
  </si>
  <si>
    <t>Bas</t>
  </si>
  <si>
    <t>Seuils de population</t>
  </si>
  <si>
    <t>Haut</t>
  </si>
  <si>
    <t>Montants</t>
  </si>
  <si>
    <t>Compensation brute</t>
  </si>
  <si>
    <t>Reverolle</t>
  </si>
  <si>
    <t>Romanel-sur-Morges</t>
  </si>
  <si>
    <t>Saint-Prex</t>
  </si>
  <si>
    <t>Saint-Sulpice</t>
  </si>
  <si>
    <t>Tolochenaz</t>
  </si>
  <si>
    <t>Vaux-sur-Morges</t>
  </si>
  <si>
    <t>Villars-Sainte-Croix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</si>
  <si>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</si>
  <si>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</si>
  <si>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</si>
  <si>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</si>
  <si>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</si>
  <si>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</si>
  <si>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</si>
  <si>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</si>
  <si>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</si>
  <si>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Péréquation directe</t>
  </si>
  <si>
    <t>Routes</t>
  </si>
  <si>
    <t>Transports publics</t>
  </si>
  <si>
    <t>Transports scolaires</t>
  </si>
  <si>
    <t>Corcelles-sur-Chavornay</t>
  </si>
  <si>
    <t>Croy</t>
  </si>
  <si>
    <t>Juriens</t>
  </si>
  <si>
    <t>Lignerolle</t>
  </si>
  <si>
    <t>Montcherand</t>
  </si>
  <si>
    <t>Orbe</t>
  </si>
  <si>
    <t>Vallorbe</t>
  </si>
  <si>
    <t>Vaulion</t>
  </si>
  <si>
    <t>Vuiteboeuf</t>
  </si>
  <si>
    <t>Effort plafonné</t>
  </si>
  <si>
    <t>Impôts suivant le taux</t>
  </si>
  <si>
    <t>Féchy</t>
  </si>
  <si>
    <t>Gimel</t>
  </si>
  <si>
    <t>Saint-Livres</t>
  </si>
  <si>
    <t>Saint-Oyens</t>
  </si>
  <si>
    <t>Saubraz</t>
  </si>
  <si>
    <t>Avenches</t>
  </si>
  <si>
    <t>Cudrefin</t>
  </si>
  <si>
    <t>Faoug</t>
  </si>
  <si>
    <t>Bettens</t>
  </si>
  <si>
    <t>Bournens</t>
  </si>
  <si>
    <t>% taux communal moyen</t>
  </si>
  <si>
    <t>Compensation nette</t>
  </si>
  <si>
    <t>Différence à compenser</t>
  </si>
  <si>
    <t>A recevoir population</t>
  </si>
  <si>
    <t>Total péréquation directe</t>
  </si>
  <si>
    <t>Total éléments divers</t>
  </si>
  <si>
    <t>Effort total net</t>
  </si>
  <si>
    <t xml:space="preserve">Taux actuel </t>
  </si>
  <si>
    <t xml:space="preserve">Solde net actuel
</t>
  </si>
  <si>
    <t xml:space="preserve">Taux </t>
  </si>
  <si>
    <t>Pop.</t>
  </si>
  <si>
    <t>Longirod</t>
  </si>
  <si>
    <t>Marchissy</t>
  </si>
  <si>
    <t>Mollens</t>
  </si>
  <si>
    <t>Montherod</t>
  </si>
  <si>
    <t>Saint-George</t>
  </si>
  <si>
    <t>Total des prises en charges</t>
  </si>
  <si>
    <t>Thématique</t>
  </si>
  <si>
    <t>Effort total</t>
  </si>
  <si>
    <t>Valeur du point</t>
  </si>
  <si>
    <t>Plafonnement en francs</t>
  </si>
  <si>
    <t>Chavannes-le-Veyron</t>
  </si>
  <si>
    <t>Chevilly</t>
  </si>
  <si>
    <t>Cossonay</t>
  </si>
  <si>
    <t>% prélevé</t>
  </si>
  <si>
    <t>./. Conjoncturelles</t>
  </si>
  <si>
    <t>./. Ecrêtage</t>
  </si>
  <si>
    <t>Paramétrage des critères de péréquation</t>
  </si>
  <si>
    <t>Effort maximum plafonné</t>
  </si>
  <si>
    <t>Aide maximale plafonnée</t>
  </si>
  <si>
    <t>Taux maximum plafoné</t>
  </si>
  <si>
    <t>Prise en charge (%)</t>
  </si>
  <si>
    <t>Montants affectés aux plafonnements</t>
  </si>
  <si>
    <t>Seuil max (pts)</t>
  </si>
  <si>
    <t>Impôt sur les étrangers</t>
  </si>
  <si>
    <t>Impôt à la source</t>
  </si>
  <si>
    <t>Pers. morales immeubles</t>
  </si>
  <si>
    <t>Impôt foncier</t>
  </si>
  <si>
    <t>Vulliens</t>
  </si>
  <si>
    <t>Champtauroz</t>
  </si>
  <si>
    <t>Chevroux</t>
  </si>
  <si>
    <t>Belmont-sur-Lausanne</t>
  </si>
  <si>
    <t>Cheseaux-sur-Lausanne</t>
  </si>
  <si>
    <t>Crissier</t>
  </si>
  <si>
    <t>Epalinges</t>
  </si>
  <si>
    <t>Jouxtens-Mézery</t>
  </si>
  <si>
    <t>Mathod</t>
  </si>
  <si>
    <t>Molondin</t>
  </si>
  <si>
    <t>Renens</t>
  </si>
  <si>
    <t>Valeyres-sous-Montagny</t>
  </si>
  <si>
    <t>Valeyres-sous-Ursins</t>
  </si>
  <si>
    <t>Orzens</t>
  </si>
  <si>
    <t>Pomy</t>
  </si>
  <si>
    <t>Rovray</t>
  </si>
  <si>
    <t>Suchy</t>
  </si>
  <si>
    <t>Suscévaz</t>
  </si>
  <si>
    <t>Treycovagnes</t>
  </si>
  <si>
    <t>Aclens</t>
  </si>
  <si>
    <t>Total part communale</t>
  </si>
  <si>
    <t>Répartition selon péréquation</t>
  </si>
  <si>
    <t>Solde péréquation directe</t>
  </si>
  <si>
    <t>Points</t>
  </si>
  <si>
    <t>Seuil 3</t>
  </si>
  <si>
    <t>Effort total sans thématiques</t>
  </si>
  <si>
    <t>Plafonnement aide</t>
  </si>
  <si>
    <t>Pers. physiques - revenu</t>
  </si>
  <si>
    <t xml:space="preserve">Pers. physiques - fortune </t>
  </si>
  <si>
    <t xml:space="preserve">Pers. morales bénéfice </t>
  </si>
  <si>
    <t>Pers. morales  capital</t>
  </si>
  <si>
    <t>Impôt sur la dépense (étrangers)</t>
  </si>
  <si>
    <t>Impôt récupéré après défalcation</t>
  </si>
  <si>
    <t>Patentes tabacs</t>
  </si>
  <si>
    <t>Patentes diverses</t>
  </si>
  <si>
    <t>Taxe épuration</t>
  </si>
  <si>
    <t>Taxe compl. Epuration</t>
  </si>
  <si>
    <t>Taxe annuelle Epuration</t>
  </si>
  <si>
    <t>Taxe annuelle encaissée par une association</t>
  </si>
  <si>
    <t>Taxe pour l'usage du sol</t>
  </si>
  <si>
    <t>taxe pour l'éclairage public</t>
  </si>
  <si>
    <t>Taxe pour l'amélioration énergétique</t>
  </si>
  <si>
    <t>Taxe pour le développement durable</t>
  </si>
  <si>
    <t>PPR</t>
  </si>
  <si>
    <t>PPF</t>
  </si>
  <si>
    <t>PMB</t>
  </si>
  <si>
    <t>PMC</t>
  </si>
  <si>
    <t>Montant plafonnement totaux</t>
  </si>
  <si>
    <t xml:space="preserve">Montant prélevé </t>
  </si>
  <si>
    <t xml:space="preserve">./. Plafonnements totaux </t>
  </si>
  <si>
    <t xml:space="preserve">./. Réserve </t>
  </si>
  <si>
    <t>Valeur du point d'impôt écrêté</t>
  </si>
  <si>
    <t>Point d'impôts écrêtés</t>
  </si>
  <si>
    <t>Recettes conjoncturelles (mutations + gains immob + successions)</t>
  </si>
  <si>
    <t>A recevoir solidarité</t>
  </si>
  <si>
    <t>Solde solidarité et population</t>
  </si>
  <si>
    <t>Bourg-en-Lavaux</t>
  </si>
  <si>
    <t>Tévenon</t>
  </si>
  <si>
    <t>Vully-les-Lacs</t>
  </si>
  <si>
    <t>Goumoëns</t>
  </si>
  <si>
    <t>Montilliez</t>
  </si>
  <si>
    <t>Jorat-Menthue</t>
  </si>
  <si>
    <t>Valbroye</t>
  </si>
  <si>
    <t>Oron</t>
  </si>
  <si>
    <t>Prélèvements conjoncturels</t>
  </si>
  <si>
    <t>Facture en points d'impôts écrêtés</t>
  </si>
  <si>
    <t>Plafond de 
taux et de l'effort</t>
  </si>
  <si>
    <t>Variation facture sociale</t>
  </si>
  <si>
    <t>Variation point d'impôt</t>
  </si>
  <si>
    <t>Indexation</t>
  </si>
  <si>
    <t>Plafond aide</t>
  </si>
  <si>
    <t>Bussigny</t>
  </si>
  <si>
    <t>Arzier-Le Muids</t>
  </si>
  <si>
    <t>Montanaire</t>
  </si>
  <si>
    <t/>
  </si>
  <si>
    <t>Valeur point impôt écrêtés</t>
  </si>
  <si>
    <t>Dépassement routes</t>
  </si>
  <si>
    <t>Max. selon art. 4 décrêt</t>
  </si>
  <si>
    <t>Droits mutations, GI, successions et donations</t>
  </si>
  <si>
    <t>Indice IPC au 1er janvier 2010</t>
  </si>
  <si>
    <t>Indice IPC au 30 juin de l'année du décompte</t>
  </si>
  <si>
    <t>Montant à affecter ajusté à l'IPC</t>
  </si>
  <si>
    <t>Population selon FAO</t>
  </si>
  <si>
    <t xml:space="preserve">Rendement des impôts et taxes communaux  (en CHF)   </t>
  </si>
  <si>
    <t>Taxe compl. eau</t>
  </si>
  <si>
    <t>Année de référence</t>
  </si>
  <si>
    <t>Valeur du point communal</t>
  </si>
  <si>
    <t>Péréquation directe - Couche Population</t>
  </si>
  <si>
    <t>Péréquation directe - Couche Solidarité</t>
  </si>
  <si>
    <t>CHF</t>
  </si>
  <si>
    <t>Pts</t>
  </si>
  <si>
    <t>A rendre en CHF</t>
  </si>
  <si>
    <t>Effort péréquatif en points</t>
  </si>
  <si>
    <t>A) Période de calcul</t>
  </si>
  <si>
    <t>B) Prélèvement sur recettes conjoncturelles</t>
  </si>
  <si>
    <t>C) Ecrêtage</t>
  </si>
  <si>
    <t>pour une capacité dépassant</t>
  </si>
  <si>
    <t>D) Couche population</t>
  </si>
  <si>
    <t>Seuil de population (habitants)</t>
  </si>
  <si>
    <t>Montant à affecter par habitant</t>
  </si>
  <si>
    <t>E) Couche solidarité</t>
  </si>
  <si>
    <t>Selon LPIC</t>
  </si>
  <si>
    <t>F) Ecart péréquation horizontale</t>
  </si>
  <si>
    <t>G) Dépenses thématiques</t>
  </si>
  <si>
    <t>Transports, nombre de points</t>
  </si>
  <si>
    <t>Forêts, nombre de points</t>
  </si>
  <si>
    <t>Prise en charge maximale</t>
  </si>
  <si>
    <t xml:space="preserve">I) Indexation </t>
  </si>
  <si>
    <t>H) Paramètres de plafonnement en points</t>
  </si>
  <si>
    <t>Impôts théoriques</t>
  </si>
  <si>
    <t>Synthèse en CHF</t>
  </si>
  <si>
    <t>Gestion du fond (montant négatif)</t>
  </si>
  <si>
    <t>Ecrêtage</t>
  </si>
  <si>
    <t xml:space="preserve">J) Liste des communes A--&gt;Z </t>
  </si>
  <si>
    <t>Recettes conjoncturelles (DM + GI + Succ.)</t>
  </si>
  <si>
    <t>Répartition solde après prélèvements</t>
  </si>
  <si>
    <t>Nombre de points écrêtés</t>
  </si>
  <si>
    <t>Total de la facture sociale</t>
  </si>
  <si>
    <t>Péréquation indirecte (facture sociale)</t>
  </si>
  <si>
    <t>Solidarité</t>
  </si>
  <si>
    <t>Transports</t>
  </si>
  <si>
    <t>Plafonnements</t>
  </si>
  <si>
    <t>Effort</t>
  </si>
  <si>
    <t>Aide</t>
  </si>
  <si>
    <t>Taux</t>
  </si>
  <si>
    <t>Total de la péréquation directe</t>
  </si>
  <si>
    <t>Montant à charge de la commune</t>
  </si>
  <si>
    <t>Résumé par commune</t>
  </si>
  <si>
    <t>Communes sans police communale/intercommunale = 0</t>
  </si>
  <si>
    <t>Imp théoriques</t>
  </si>
  <si>
    <t>Facturation de l'Etat au coût réel (Fr/hab) aux communes délégatrices, mais max 2 pts</t>
  </si>
  <si>
    <t>Manco pour l'Etat - à couvrir par la péréquation (en points d'impôts écrêtés)</t>
  </si>
  <si>
    <t>Montant total avec le renchérissement à payer par les communes en pts d'impôts écrêtés</t>
  </si>
  <si>
    <t>Total à charge des communes</t>
  </si>
  <si>
    <t>Réforme policière</t>
  </si>
  <si>
    <t>Financement reçu pour les nouvelles tâches</t>
  </si>
  <si>
    <t>J) Réforme policière</t>
  </si>
  <si>
    <t>Nombre de point</t>
  </si>
  <si>
    <t>Coût réel par habitant en CHF</t>
  </si>
  <si>
    <t>Point d'impôt écrêté</t>
  </si>
  <si>
    <t>Référome policière</t>
  </si>
  <si>
    <t>Charges pour commune sans police</t>
  </si>
  <si>
    <t>Répartition du solde</t>
  </si>
  <si>
    <t>Total péréquation directe, indirecte et police</t>
  </si>
  <si>
    <t>Total net</t>
  </si>
  <si>
    <t>Facture sociale acomptes 2015</t>
  </si>
  <si>
    <t>Facture sociale acomptes 2016</t>
  </si>
  <si>
    <t>Valeur du point d'impôt acomptes 2015</t>
  </si>
  <si>
    <t>Valeur du point d'impôt acomptes 2016</t>
  </si>
  <si>
    <t>Facture</t>
  </si>
  <si>
    <t>Date population</t>
  </si>
  <si>
    <t>Date taux d'impôt</t>
  </si>
  <si>
    <t>Taux IFO</t>
  </si>
  <si>
    <t>Acomptes 2016</t>
  </si>
  <si>
    <t>Date plafonnement du taux</t>
  </si>
  <si>
    <t>Total de la réforme policière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</si>
</sst>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 * #,##0.00_ ;_ * \-#,##0.00_ ;_ * &quot;-&quot;??_ ;_ @_ "/>
    <numFmt numFmtId="164" formatCode="_-* #,##0.00_-;\-* #,##0.00_-;_-* &quot;-&quot;??_-;_-@_-"/>
    <numFmt numFmtId="165" formatCode="#\ ###\ ###\ ##0"/>
    <numFmt numFmtId="166" formatCode="#,##0.0"/>
    <numFmt numFmtId="167" formatCode="0.0%"/>
    <numFmt numFmtId="168" formatCode="#\ ###\ ##0"/>
    <numFmt numFmtId="169" formatCode="0.000"/>
    <numFmt numFmtId="170" formatCode="#,##0.000"/>
    <numFmt numFmtId="171" formatCode="#,##0;\-#,##0;"/>
    <numFmt numFmtId="172" formatCode="#,##0.000000"/>
    <numFmt numFmtId="173" formatCode="0.0000000%"/>
    <numFmt numFmtId="174" formatCode="0.0000"/>
    <numFmt numFmtId="175" formatCode="_-* #,##0_-;\-* #,##0_-;_-* &quot;-&quot;??_-;_-@_-"/>
    <numFmt numFmtId="176" formatCode="_ * #,##0_ ;_ * \-#,##0_ ;_ * &quot;-&quot;??_ ;_ @_ "/>
    <numFmt numFmtId="177" formatCode="_-* #,##0.0_-;\-* #,##0.0_-;_-* &quot;-&quot;??_-;_-@_-"/>
    <numFmt numFmtId="178" formatCode="_-* #,##0.000_-;\-* #,##0.000_-;_-* &quot;-&quot;??_-;_-@_-"/>
    <numFmt numFmtId="179" formatCode="_-* #,##0.00000_-;\-* #,##0.00000_-;_-* &quot;-&quot;??_-;_-@_-"/>
  </numFmts>
  <fonts count="27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 Narrow"/>
      <family val="2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24"/>
      <name val="Calibri"/>
      <family val="2"/>
      <scheme val="minor"/>
    </font>
    <font>
      <sz val="14"/>
      <name val="Calibri"/>
      <family val="2"/>
      <scheme val="minor"/>
    </font>
    <font>
      <sz val="18"/>
      <name val="Berlin Sans FB"/>
      <family val="2"/>
    </font>
    <font>
      <sz val="16"/>
      <name val="Berlin Sans FB"/>
      <family val="2"/>
    </font>
    <font>
      <sz val="20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0"/>
      <name val="Cooper Black"/>
      <family val="1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8" fillId="0" borderId="1"/>
    <xf numFmtId="0" fontId="9" fillId="0" borderId="0"/>
    <xf numFmtId="0" fontId="8" fillId="0" borderId="2">
      <alignment vertical="top"/>
    </xf>
    <xf numFmtId="164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7" fillId="0" borderId="0"/>
    <xf numFmtId="0" fontId="5" fillId="0" borderId="0"/>
    <xf numFmtId="0" fontId="11" fillId="0" borderId="0"/>
    <xf numFmtId="0" fontId="4" fillId="0" borderId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</cellStyleXfs>
  <cellXfs count="479">
    <xf numFmtId="0" fontId="0" fillId="0" borderId="0" xfId="0"/>
    <xf numFmtId="175" fontId="13" fillId="0" borderId="0" xfId="4" applyNumberFormat="1" applyFont="1" applyFill="1" applyBorder="1"/>
    <xf numFmtId="175" fontId="13" fillId="2" borderId="0" xfId="4" applyNumberFormat="1" applyFont="1" applyFill="1" applyBorder="1"/>
    <xf numFmtId="175" fontId="13" fillId="2" borderId="5" xfId="4" applyNumberFormat="1" applyFont="1" applyFill="1" applyBorder="1"/>
    <xf numFmtId="175" fontId="13" fillId="3" borderId="5" xfId="4" applyNumberFormat="1" applyFont="1" applyFill="1" applyBorder="1"/>
    <xf numFmtId="175" fontId="13" fillId="2" borderId="3" xfId="4" applyNumberFormat="1" applyFont="1" applyFill="1" applyBorder="1"/>
    <xf numFmtId="0" fontId="13" fillId="4" borderId="0" xfId="0" applyNumberFormat="1" applyFont="1" applyFill="1" applyAlignment="1">
      <alignment horizontal="left"/>
    </xf>
    <xf numFmtId="0" fontId="13" fillId="4" borderId="0" xfId="0" applyNumberFormat="1" applyFont="1" applyFill="1" applyAlignment="1">
      <alignment horizontal="center"/>
    </xf>
    <xf numFmtId="175" fontId="13" fillId="4" borderId="0" xfId="4" applyNumberFormat="1" applyFont="1" applyFill="1" applyAlignment="1">
      <alignment horizontal="center"/>
    </xf>
    <xf numFmtId="175" fontId="13" fillId="4" borderId="0" xfId="4" applyNumberFormat="1" applyFont="1" applyFill="1"/>
    <xf numFmtId="175" fontId="13" fillId="4" borderId="0" xfId="4" applyNumberFormat="1" applyFont="1" applyFill="1" applyAlignment="1">
      <alignment horizontal="left"/>
    </xf>
    <xf numFmtId="175" fontId="14" fillId="4" borderId="0" xfId="4" applyNumberFormat="1" applyFont="1" applyFill="1"/>
    <xf numFmtId="0" fontId="13" fillId="4" borderId="15" xfId="0" applyNumberFormat="1" applyFont="1" applyFill="1" applyBorder="1" applyAlignment="1">
      <alignment horizontal="center"/>
    </xf>
    <xf numFmtId="0" fontId="13" fillId="4" borderId="5" xfId="0" applyNumberFormat="1" applyFont="1" applyFill="1" applyBorder="1" applyAlignment="1">
      <alignment horizontal="center"/>
    </xf>
    <xf numFmtId="3" fontId="13" fillId="4" borderId="9" xfId="0" applyNumberFormat="1" applyFont="1" applyFill="1" applyBorder="1"/>
    <xf numFmtId="175" fontId="13" fillId="4" borderId="0" xfId="4" applyNumberFormat="1" applyFont="1" applyFill="1" applyBorder="1" applyAlignment="1" applyProtection="1">
      <alignment horizontal="right" vertical="top" wrapText="1"/>
      <protection locked="0"/>
    </xf>
    <xf numFmtId="175" fontId="13" fillId="4" borderId="5" xfId="4" applyNumberFormat="1" applyFont="1" applyFill="1" applyBorder="1" applyAlignment="1" applyProtection="1">
      <alignment horizontal="right" vertical="top" wrapText="1"/>
      <protection locked="0"/>
    </xf>
    <xf numFmtId="175" fontId="13" fillId="4" borderId="9" xfId="4" applyNumberFormat="1" applyFont="1" applyFill="1" applyBorder="1" applyAlignment="1" applyProtection="1">
      <protection locked="0"/>
    </xf>
    <xf numFmtId="175" fontId="13" fillId="4" borderId="5" xfId="4" applyNumberFormat="1" applyFont="1" applyFill="1" applyBorder="1"/>
    <xf numFmtId="175" fontId="13" fillId="4" borderId="3" xfId="4" applyNumberFormat="1" applyFont="1" applyFill="1" applyBorder="1" applyAlignment="1" applyProtection="1">
      <alignment horizontal="right" vertical="top" wrapText="1"/>
      <protection locked="0"/>
    </xf>
    <xf numFmtId="175" fontId="13" fillId="4" borderId="10" xfId="4" applyNumberFormat="1" applyFont="1" applyFill="1" applyBorder="1" applyAlignment="1" applyProtection="1">
      <protection locked="0"/>
    </xf>
    <xf numFmtId="175" fontId="13" fillId="4" borderId="15" xfId="4" applyNumberFormat="1" applyFont="1" applyFill="1" applyBorder="1"/>
    <xf numFmtId="165" fontId="13" fillId="4" borderId="0" xfId="0" applyNumberFormat="1" applyFont="1" applyFill="1"/>
    <xf numFmtId="3" fontId="13" fillId="4" borderId="0" xfId="0" applyNumberFormat="1" applyFont="1" applyFill="1"/>
    <xf numFmtId="0" fontId="13" fillId="4" borderId="0" xfId="0" applyFont="1" applyFill="1"/>
    <xf numFmtId="175" fontId="13" fillId="4" borderId="0" xfId="4" applyNumberFormat="1" applyFont="1" applyFill="1" applyBorder="1"/>
    <xf numFmtId="175" fontId="13" fillId="4" borderId="0" xfId="4" applyNumberFormat="1" applyFont="1" applyFill="1" applyBorder="1" applyAlignment="1" applyProtection="1">
      <alignment vertical="top"/>
      <protection locked="0"/>
    </xf>
    <xf numFmtId="164" fontId="13" fillId="4" borderId="0" xfId="4" applyFont="1" applyFill="1"/>
    <xf numFmtId="164" fontId="13" fillId="4" borderId="0" xfId="4" applyFont="1" applyFill="1" applyBorder="1" applyAlignment="1">
      <alignment horizontal="center" vertical="top" textRotation="180" wrapText="1"/>
    </xf>
    <xf numFmtId="0" fontId="13" fillId="4" borderId="0" xfId="0" applyFont="1" applyFill="1" applyAlignment="1">
      <alignment vertical="top" wrapText="1"/>
    </xf>
    <xf numFmtId="164" fontId="13" fillId="4" borderId="0" xfId="4" applyFont="1" applyFill="1" applyBorder="1" applyAlignment="1">
      <alignment horizontal="right"/>
    </xf>
    <xf numFmtId="164" fontId="13" fillId="4" borderId="0" xfId="4" applyFont="1" applyFill="1" applyBorder="1" applyAlignment="1">
      <alignment horizontal="center" vertical="top" textRotation="180"/>
    </xf>
    <xf numFmtId="164" fontId="13" fillId="4" borderId="0" xfId="4" applyFont="1" applyFill="1" applyBorder="1"/>
    <xf numFmtId="164" fontId="13" fillId="4" borderId="5" xfId="4" applyFont="1" applyFill="1" applyBorder="1" applyAlignment="1">
      <alignment horizontal="center"/>
    </xf>
    <xf numFmtId="165" fontId="13" fillId="4" borderId="0" xfId="0" applyNumberFormat="1" applyFont="1" applyFill="1" applyBorder="1"/>
    <xf numFmtId="164" fontId="13" fillId="4" borderId="0" xfId="4" applyFont="1" applyFill="1" applyBorder="1" applyAlignment="1" applyProtection="1">
      <alignment horizontal="right" vertical="top" wrapText="1"/>
      <protection locked="0"/>
    </xf>
    <xf numFmtId="0" fontId="13" fillId="4" borderId="0" xfId="0" applyFont="1" applyFill="1" applyBorder="1" applyAlignment="1">
      <alignment horizontal="left"/>
    </xf>
    <xf numFmtId="3" fontId="13" fillId="4" borderId="0" xfId="0" applyNumberFormat="1" applyFont="1" applyFill="1" applyBorder="1" applyAlignment="1">
      <alignment horizontal="right"/>
    </xf>
    <xf numFmtId="43" fontId="13" fillId="4" borderId="0" xfId="0" applyNumberFormat="1" applyFont="1" applyFill="1"/>
    <xf numFmtId="164" fontId="13" fillId="4" borderId="0" xfId="0" applyNumberFormat="1" applyFont="1" applyFill="1"/>
    <xf numFmtId="0" fontId="13" fillId="4" borderId="0" xfId="0" applyFont="1" applyFill="1" applyAlignment="1">
      <alignment horizontal="left"/>
    </xf>
    <xf numFmtId="3" fontId="13" fillId="4" borderId="0" xfId="0" applyNumberFormat="1" applyFont="1" applyFill="1" applyAlignment="1">
      <alignment horizontal="right"/>
    </xf>
    <xf numFmtId="164" fontId="13" fillId="4" borderId="0" xfId="4" applyFont="1" applyFill="1" applyAlignment="1">
      <alignment horizontal="right"/>
    </xf>
    <xf numFmtId="175" fontId="13" fillId="4" borderId="3" xfId="4" applyNumberFormat="1" applyFont="1" applyFill="1" applyBorder="1"/>
    <xf numFmtId="164" fontId="13" fillId="4" borderId="3" xfId="4" applyFont="1" applyFill="1" applyBorder="1" applyAlignment="1">
      <alignment horizontal="center"/>
    </xf>
    <xf numFmtId="164" fontId="13" fillId="4" borderId="15" xfId="4" applyFont="1" applyFill="1" applyBorder="1"/>
    <xf numFmtId="175" fontId="12" fillId="6" borderId="15" xfId="4" applyNumberFormat="1" applyFont="1" applyFill="1" applyBorder="1" applyAlignment="1">
      <alignment horizontal="center"/>
    </xf>
    <xf numFmtId="165" fontId="12" fillId="6" borderId="15" xfId="0" applyNumberFormat="1" applyFont="1" applyFill="1" applyBorder="1" applyAlignment="1">
      <alignment horizontal="center"/>
    </xf>
    <xf numFmtId="0" fontId="13" fillId="4" borderId="0" xfId="0" applyFont="1" applyFill="1" applyAlignment="1">
      <alignment horizontal="center" vertical="top" wrapText="1"/>
    </xf>
    <xf numFmtId="164" fontId="13" fillId="4" borderId="0" xfId="4" applyFont="1" applyFill="1" applyBorder="1" applyAlignment="1">
      <alignment horizontal="center"/>
    </xf>
    <xf numFmtId="164" fontId="12" fillId="6" borderId="15" xfId="4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12" fillId="6" borderId="15" xfId="4" quotePrefix="1" applyNumberFormat="1" applyFont="1" applyFill="1" applyBorder="1" applyAlignment="1">
      <alignment horizontal="center"/>
    </xf>
    <xf numFmtId="14" fontId="12" fillId="6" borderId="15" xfId="0" applyNumberFormat="1" applyFont="1" applyFill="1" applyBorder="1" applyAlignment="1">
      <alignment horizontal="center"/>
    </xf>
    <xf numFmtId="165" fontId="13" fillId="4" borderId="18" xfId="0" applyNumberFormat="1" applyFont="1" applyFill="1" applyBorder="1" applyAlignment="1">
      <alignment horizontal="center"/>
    </xf>
    <xf numFmtId="0" fontId="15" fillId="4" borderId="0" xfId="0" applyNumberFormat="1" applyFont="1" applyFill="1" applyAlignment="1">
      <alignment horizontal="left"/>
    </xf>
    <xf numFmtId="0" fontId="15" fillId="4" borderId="0" xfId="0" applyNumberFormat="1" applyFont="1" applyFill="1" applyAlignment="1">
      <alignment horizontal="center"/>
    </xf>
    <xf numFmtId="0" fontId="14" fillId="4" borderId="0" xfId="0" applyFont="1" applyFill="1"/>
    <xf numFmtId="4" fontId="13" fillId="4" borderId="0" xfId="0" applyNumberFormat="1" applyFont="1" applyFill="1"/>
    <xf numFmtId="165" fontId="13" fillId="4" borderId="0" xfId="0" applyNumberFormat="1" applyFont="1" applyFill="1" applyAlignment="1">
      <alignment horizontal="left"/>
    </xf>
    <xf numFmtId="0" fontId="13" fillId="4" borderId="15" xfId="0" applyFont="1" applyFill="1" applyBorder="1"/>
    <xf numFmtId="175" fontId="13" fillId="4" borderId="11" xfId="4" applyNumberFormat="1" applyFont="1" applyFill="1" applyBorder="1"/>
    <xf numFmtId="3" fontId="13" fillId="4" borderId="5" xfId="0" applyNumberFormat="1" applyFont="1" applyFill="1" applyBorder="1"/>
    <xf numFmtId="164" fontId="13" fillId="4" borderId="5" xfId="4" applyFont="1" applyFill="1" applyBorder="1"/>
    <xf numFmtId="2" fontId="13" fillId="4" borderId="5" xfId="0" applyNumberFormat="1" applyFont="1" applyFill="1" applyBorder="1"/>
    <xf numFmtId="2" fontId="13" fillId="4" borderId="15" xfId="0" applyNumberFormat="1" applyFont="1" applyFill="1" applyBorder="1"/>
    <xf numFmtId="175" fontId="13" fillId="4" borderId="0" xfId="0" applyNumberFormat="1" applyFont="1" applyFill="1"/>
    <xf numFmtId="175" fontId="13" fillId="5" borderId="15" xfId="4" applyNumberFormat="1" applyFont="1" applyFill="1" applyBorder="1"/>
    <xf numFmtId="175" fontId="13" fillId="3" borderId="0" xfId="4" applyNumberFormat="1" applyFont="1" applyFill="1" applyBorder="1"/>
    <xf numFmtId="175" fontId="13" fillId="3" borderId="15" xfId="4" applyNumberFormat="1" applyFont="1" applyFill="1" applyBorder="1"/>
    <xf numFmtId="164" fontId="13" fillId="3" borderId="15" xfId="4" applyFont="1" applyFill="1" applyBorder="1"/>
    <xf numFmtId="3" fontId="12" fillId="6" borderId="15" xfId="0" applyNumberFormat="1" applyFont="1" applyFill="1" applyBorder="1" applyAlignment="1">
      <alignment horizontal="center"/>
    </xf>
    <xf numFmtId="0" fontId="12" fillId="6" borderId="15" xfId="0" applyNumberFormat="1" applyFont="1" applyFill="1" applyBorder="1" applyAlignment="1">
      <alignment horizontal="center"/>
    </xf>
    <xf numFmtId="175" fontId="13" fillId="4" borderId="9" xfId="4" applyNumberFormat="1" applyFont="1" applyFill="1" applyBorder="1"/>
    <xf numFmtId="3" fontId="13" fillId="4" borderId="0" xfId="11" applyNumberFormat="1" applyFont="1" applyFill="1" applyAlignment="1">
      <alignment vertical="center"/>
    </xf>
    <xf numFmtId="0" fontId="13" fillId="4" borderId="0" xfId="11" applyFont="1" applyFill="1" applyAlignment="1">
      <alignment vertical="center"/>
    </xf>
    <xf numFmtId="175" fontId="13" fillId="4" borderId="0" xfId="4" applyNumberFormat="1" applyFont="1" applyFill="1" applyAlignment="1">
      <alignment vertical="center"/>
    </xf>
    <xf numFmtId="0" fontId="13" fillId="4" borderId="0" xfId="0" applyFont="1" applyFill="1" applyBorder="1"/>
    <xf numFmtId="0" fontId="13" fillId="4" borderId="4" xfId="0" applyFont="1" applyFill="1" applyBorder="1" applyAlignment="1">
      <alignment horizontal="center"/>
    </xf>
    <xf numFmtId="3" fontId="13" fillId="4" borderId="4" xfId="0" applyNumberFormat="1" applyFont="1" applyFill="1" applyBorder="1"/>
    <xf numFmtId="166" fontId="13" fillId="4" borderId="0" xfId="0" applyNumberFormat="1" applyFont="1" applyFill="1"/>
    <xf numFmtId="0" fontId="13" fillId="4" borderId="0" xfId="0" quotePrefix="1" applyFont="1" applyFill="1"/>
    <xf numFmtId="0" fontId="13" fillId="4" borderId="5" xfId="0" applyFont="1" applyFill="1" applyBorder="1" applyAlignment="1">
      <alignment horizontal="center"/>
    </xf>
    <xf numFmtId="3" fontId="13" fillId="4" borderId="0" xfId="0" applyNumberFormat="1" applyFont="1" applyFill="1" applyBorder="1"/>
    <xf numFmtId="0" fontId="13" fillId="4" borderId="3" xfId="0" applyFont="1" applyFill="1" applyBorder="1" applyAlignment="1">
      <alignment horizontal="center"/>
    </xf>
    <xf numFmtId="3" fontId="13" fillId="4" borderId="3" xfId="0" applyNumberFormat="1" applyFont="1" applyFill="1" applyBorder="1"/>
    <xf numFmtId="1" fontId="15" fillId="4" borderId="0" xfId="11" applyNumberFormat="1" applyFont="1" applyFill="1" applyAlignment="1">
      <alignment horizontal="left" vertical="center"/>
    </xf>
    <xf numFmtId="3" fontId="13" fillId="4" borderId="17" xfId="0" applyNumberFormat="1" applyFont="1" applyFill="1" applyBorder="1"/>
    <xf numFmtId="4" fontId="13" fillId="4" borderId="0" xfId="11" applyNumberFormat="1" applyFont="1" applyFill="1" applyAlignment="1">
      <alignment vertical="center"/>
    </xf>
    <xf numFmtId="0" fontId="14" fillId="4" borderId="0" xfId="11" applyFont="1" applyFill="1"/>
    <xf numFmtId="175" fontId="13" fillId="4" borderId="4" xfId="4" applyNumberFormat="1" applyFont="1" applyFill="1" applyBorder="1"/>
    <xf numFmtId="4" fontId="13" fillId="4" borderId="18" xfId="0" applyNumberFormat="1" applyFont="1" applyFill="1" applyBorder="1"/>
    <xf numFmtId="175" fontId="12" fillId="6" borderId="4" xfId="4" applyNumberFormat="1" applyFont="1" applyFill="1" applyBorder="1" applyAlignment="1">
      <alignment horizontal="center" vertical="center" wrapText="1"/>
    </xf>
    <xf numFmtId="9" fontId="12" fillId="6" borderId="3" xfId="12" applyFont="1" applyFill="1" applyBorder="1" applyAlignment="1">
      <alignment horizontal="center"/>
    </xf>
    <xf numFmtId="0" fontId="13" fillId="4" borderId="4" xfId="0" applyFont="1" applyFill="1" applyBorder="1" applyAlignment="1">
      <alignment horizontal="left"/>
    </xf>
    <xf numFmtId="0" fontId="13" fillId="4" borderId="5" xfId="0" applyFont="1" applyFill="1" applyBorder="1" applyAlignment="1">
      <alignment horizontal="left"/>
    </xf>
    <xf numFmtId="0" fontId="13" fillId="4" borderId="3" xfId="0" applyFont="1" applyFill="1" applyBorder="1" applyAlignment="1">
      <alignment horizontal="left"/>
    </xf>
    <xf numFmtId="43" fontId="13" fillId="5" borderId="4" xfId="4" applyNumberFormat="1" applyFont="1" applyFill="1" applyBorder="1"/>
    <xf numFmtId="175" fontId="13" fillId="5" borderId="5" xfId="4" applyNumberFormat="1" applyFont="1" applyFill="1" applyBorder="1"/>
    <xf numFmtId="165" fontId="13" fillId="4" borderId="10" xfId="0" applyNumberFormat="1" applyFont="1" applyFill="1" applyBorder="1" applyAlignment="1">
      <alignment horizontal="center"/>
    </xf>
    <xf numFmtId="0" fontId="13" fillId="4" borderId="3" xfId="0" applyNumberFormat="1" applyFont="1" applyFill="1" applyBorder="1" applyAlignment="1">
      <alignment horizontal="center"/>
    </xf>
    <xf numFmtId="0" fontId="13" fillId="4" borderId="0" xfId="11" applyFont="1" applyFill="1" applyBorder="1" applyAlignment="1">
      <alignment vertical="center"/>
    </xf>
    <xf numFmtId="10" fontId="13" fillId="4" borderId="0" xfId="12" applyNumberFormat="1" applyFont="1" applyFill="1" applyAlignment="1">
      <alignment vertical="center"/>
    </xf>
    <xf numFmtId="10" fontId="13" fillId="4" borderId="0" xfId="12" applyNumberFormat="1" applyFont="1" applyFill="1"/>
    <xf numFmtId="10" fontId="13" fillId="4" borderId="3" xfId="12" applyNumberFormat="1" applyFont="1" applyFill="1" applyBorder="1"/>
    <xf numFmtId="10" fontId="13" fillId="4" borderId="4" xfId="12" applyNumberFormat="1" applyFont="1" applyFill="1" applyBorder="1"/>
    <xf numFmtId="10" fontId="13" fillId="4" borderId="5" xfId="12" applyNumberFormat="1" applyFont="1" applyFill="1" applyBorder="1"/>
    <xf numFmtId="4" fontId="13" fillId="4" borderId="15" xfId="0" applyNumberFormat="1" applyFont="1" applyFill="1" applyBorder="1"/>
    <xf numFmtId="10" fontId="13" fillId="4" borderId="15" xfId="12" applyNumberFormat="1" applyFont="1" applyFill="1" applyBorder="1"/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10" fontId="13" fillId="4" borderId="8" xfId="12" applyNumberFormat="1" applyFont="1" applyFill="1" applyBorder="1"/>
    <xf numFmtId="10" fontId="13" fillId="4" borderId="9" xfId="12" applyNumberFormat="1" applyFont="1" applyFill="1" applyBorder="1"/>
    <xf numFmtId="10" fontId="13" fillId="4" borderId="10" xfId="12" applyNumberFormat="1" applyFont="1" applyFill="1" applyBorder="1"/>
    <xf numFmtId="0" fontId="13" fillId="4" borderId="3" xfId="0" applyFont="1" applyFill="1" applyBorder="1"/>
    <xf numFmtId="4" fontId="13" fillId="4" borderId="11" xfId="0" applyNumberFormat="1" applyFont="1" applyFill="1" applyBorder="1"/>
    <xf numFmtId="2" fontId="13" fillId="4" borderId="5" xfId="13" applyNumberFormat="1" applyFont="1" applyFill="1" applyBorder="1"/>
    <xf numFmtId="2" fontId="13" fillId="4" borderId="3" xfId="13" applyNumberFormat="1" applyFont="1" applyFill="1" applyBorder="1"/>
    <xf numFmtId="9" fontId="12" fillId="6" borderId="15" xfId="12" applyNumberFormat="1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9" fontId="12" fillId="6" borderId="15" xfId="12" applyNumberFormat="1" applyFont="1" applyFill="1" applyBorder="1" applyAlignment="1">
      <alignment horizontal="center" vertical="center"/>
    </xf>
    <xf numFmtId="164" fontId="12" fillId="6" borderId="15" xfId="4" applyFont="1" applyFill="1" applyBorder="1" applyAlignment="1">
      <alignment vertical="center" wrapText="1"/>
    </xf>
    <xf numFmtId="4" fontId="13" fillId="4" borderId="12" xfId="0" applyNumberFormat="1" applyFont="1" applyFill="1" applyBorder="1"/>
    <xf numFmtId="168" fontId="13" fillId="4" borderId="0" xfId="11" applyNumberFormat="1" applyFont="1" applyFill="1" applyAlignment="1">
      <alignment vertical="center"/>
    </xf>
    <xf numFmtId="175" fontId="13" fillId="4" borderId="8" xfId="4" applyNumberFormat="1" applyFont="1" applyFill="1" applyBorder="1"/>
    <xf numFmtId="175" fontId="13" fillId="4" borderId="16" xfId="4" applyNumberFormat="1" applyFont="1" applyFill="1" applyBorder="1"/>
    <xf numFmtId="175" fontId="13" fillId="4" borderId="10" xfId="4" applyNumberFormat="1" applyFont="1" applyFill="1" applyBorder="1"/>
    <xf numFmtId="175" fontId="13" fillId="4" borderId="17" xfId="4" applyNumberFormat="1" applyFont="1" applyFill="1" applyBorder="1"/>
    <xf numFmtId="175" fontId="13" fillId="4" borderId="18" xfId="4" applyNumberFormat="1" applyFont="1" applyFill="1" applyBorder="1"/>
    <xf numFmtId="175" fontId="13" fillId="4" borderId="6" xfId="4" applyNumberFormat="1" applyFont="1" applyFill="1" applyBorder="1"/>
    <xf numFmtId="169" fontId="13" fillId="4" borderId="0" xfId="0" applyNumberFormat="1" applyFont="1" applyFill="1"/>
    <xf numFmtId="0" fontId="13" fillId="4" borderId="0" xfId="0" applyFont="1" applyFill="1" applyAlignment="1">
      <alignment vertical="top"/>
    </xf>
    <xf numFmtId="3" fontId="13" fillId="4" borderId="0" xfId="0" applyNumberFormat="1" applyFont="1" applyFill="1" applyAlignment="1">
      <alignment vertical="top"/>
    </xf>
    <xf numFmtId="3" fontId="13" fillId="4" borderId="0" xfId="0" applyNumberFormat="1" applyFont="1" applyFill="1" applyBorder="1" applyAlignment="1">
      <alignment vertical="top" wrapText="1"/>
    </xf>
    <xf numFmtId="0" fontId="13" fillId="4" borderId="18" xfId="0" applyFont="1" applyFill="1" applyBorder="1"/>
    <xf numFmtId="0" fontId="13" fillId="4" borderId="6" xfId="0" applyFont="1" applyFill="1" applyBorder="1"/>
    <xf numFmtId="0" fontId="13" fillId="4" borderId="7" xfId="0" applyFont="1" applyFill="1" applyBorder="1"/>
    <xf numFmtId="0" fontId="13" fillId="4" borderId="15" xfId="0" applyFont="1" applyFill="1" applyBorder="1" applyAlignment="1">
      <alignment horizontal="center"/>
    </xf>
    <xf numFmtId="0" fontId="13" fillId="4" borderId="8" xfId="0" applyFont="1" applyFill="1" applyBorder="1"/>
    <xf numFmtId="0" fontId="13" fillId="4" borderId="12" xfId="0" applyFont="1" applyFill="1" applyBorder="1"/>
    <xf numFmtId="0" fontId="13" fillId="4" borderId="9" xfId="0" applyFont="1" applyFill="1" applyBorder="1"/>
    <xf numFmtId="0" fontId="13" fillId="4" borderId="11" xfId="0" applyFont="1" applyFill="1" applyBorder="1"/>
    <xf numFmtId="0" fontId="13" fillId="4" borderId="10" xfId="0" applyFont="1" applyFill="1" applyBorder="1"/>
    <xf numFmtId="0" fontId="13" fillId="4" borderId="13" xfId="0" applyFont="1" applyFill="1" applyBorder="1"/>
    <xf numFmtId="172" fontId="13" fillId="4" borderId="0" xfId="0" applyNumberFormat="1" applyFont="1" applyFill="1" applyAlignment="1">
      <alignment vertical="top"/>
    </xf>
    <xf numFmtId="164" fontId="12" fillId="6" borderId="3" xfId="4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left"/>
    </xf>
    <xf numFmtId="0" fontId="13" fillId="4" borderId="9" xfId="0" applyFont="1" applyFill="1" applyBorder="1" applyAlignment="1">
      <alignment horizontal="left"/>
    </xf>
    <xf numFmtId="0" fontId="13" fillId="4" borderId="10" xfId="0" applyFont="1" applyFill="1" applyBorder="1" applyAlignment="1">
      <alignment horizontal="left"/>
    </xf>
    <xf numFmtId="175" fontId="13" fillId="4" borderId="12" xfId="4" applyNumberFormat="1" applyFont="1" applyFill="1" applyBorder="1"/>
    <xf numFmtId="164" fontId="13" fillId="4" borderId="4" xfId="4" applyFont="1" applyFill="1" applyBorder="1"/>
    <xf numFmtId="164" fontId="13" fillId="4" borderId="3" xfId="4" applyFont="1" applyFill="1" applyBorder="1"/>
    <xf numFmtId="3" fontId="13" fillId="4" borderId="8" xfId="0" applyNumberFormat="1" applyFont="1" applyFill="1" applyBorder="1"/>
    <xf numFmtId="3" fontId="13" fillId="4" borderId="10" xfId="0" applyNumberFormat="1" applyFont="1" applyFill="1" applyBorder="1"/>
    <xf numFmtId="3" fontId="13" fillId="4" borderId="18" xfId="0" applyNumberFormat="1" applyFont="1" applyFill="1" applyBorder="1"/>
    <xf numFmtId="3" fontId="13" fillId="4" borderId="13" xfId="0" applyNumberFormat="1" applyFont="1" applyFill="1" applyBorder="1" applyAlignment="1">
      <alignment horizontal="center" vertical="top" wrapText="1"/>
    </xf>
    <xf numFmtId="168" fontId="13" fillId="4" borderId="0" xfId="0" applyNumberFormat="1" applyFont="1" applyFill="1"/>
    <xf numFmtId="3" fontId="13" fillId="4" borderId="4" xfId="12" applyNumberFormat="1" applyFont="1" applyFill="1" applyBorder="1"/>
    <xf numFmtId="3" fontId="13" fillId="4" borderId="5" xfId="12" applyNumberFormat="1" applyFont="1" applyFill="1" applyBorder="1"/>
    <xf numFmtId="3" fontId="13" fillId="4" borderId="3" xfId="12" applyNumberFormat="1" applyFont="1" applyFill="1" applyBorder="1"/>
    <xf numFmtId="3" fontId="13" fillId="4" borderId="15" xfId="12" applyNumberFormat="1" applyFont="1" applyFill="1" applyBorder="1"/>
    <xf numFmtId="177" fontId="13" fillId="4" borderId="5" xfId="4" applyNumberFormat="1" applyFont="1" applyFill="1" applyBorder="1"/>
    <xf numFmtId="177" fontId="13" fillId="4" borderId="3" xfId="4" applyNumberFormat="1" applyFont="1" applyFill="1" applyBorder="1"/>
    <xf numFmtId="175" fontId="13" fillId="5" borderId="8" xfId="4" applyNumberFormat="1" applyFont="1" applyFill="1" applyBorder="1"/>
    <xf numFmtId="175" fontId="13" fillId="5" borderId="9" xfId="4" applyNumberFormat="1" applyFont="1" applyFill="1" applyBorder="1"/>
    <xf numFmtId="175" fontId="13" fillId="5" borderId="10" xfId="4" applyNumberFormat="1" applyFont="1" applyFill="1" applyBorder="1"/>
    <xf numFmtId="164" fontId="13" fillId="4" borderId="12" xfId="4" applyNumberFormat="1" applyFont="1" applyFill="1" applyBorder="1"/>
    <xf numFmtId="164" fontId="13" fillId="4" borderId="11" xfId="4" applyNumberFormat="1" applyFont="1" applyFill="1" applyBorder="1"/>
    <xf numFmtId="164" fontId="13" fillId="4" borderId="13" xfId="4" applyNumberFormat="1" applyFont="1" applyFill="1" applyBorder="1"/>
    <xf numFmtId="164" fontId="13" fillId="4" borderId="15" xfId="4" applyNumberFormat="1" applyFont="1" applyFill="1" applyBorder="1"/>
    <xf numFmtId="175" fontId="13" fillId="8" borderId="15" xfId="4" applyNumberFormat="1" applyFont="1" applyFill="1" applyBorder="1"/>
    <xf numFmtId="175" fontId="13" fillId="5" borderId="4" xfId="4" applyNumberFormat="1" applyFont="1" applyFill="1" applyBorder="1"/>
    <xf numFmtId="175" fontId="13" fillId="5" borderId="3" xfId="4" applyNumberFormat="1" applyFont="1" applyFill="1" applyBorder="1"/>
    <xf numFmtId="3" fontId="12" fillId="6" borderId="4" xfId="0" applyNumberFormat="1" applyFont="1" applyFill="1" applyBorder="1"/>
    <xf numFmtId="0" fontId="12" fillId="6" borderId="0" xfId="0" applyFont="1" applyFill="1"/>
    <xf numFmtId="0" fontId="12" fillId="6" borderId="5" xfId="0" applyFont="1" applyFill="1" applyBorder="1" applyAlignment="1">
      <alignment horizontal="center" vertical="top" wrapText="1"/>
    </xf>
    <xf numFmtId="164" fontId="12" fillId="6" borderId="3" xfId="4" applyNumberFormat="1" applyFont="1" applyFill="1" applyBorder="1"/>
    <xf numFmtId="0" fontId="12" fillId="6" borderId="3" xfId="0" applyFont="1" applyFill="1" applyBorder="1" applyAlignment="1">
      <alignment horizontal="center" vertical="top" wrapText="1"/>
    </xf>
    <xf numFmtId="0" fontId="13" fillId="4" borderId="8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6" borderId="3" xfId="0" applyFont="1" applyFill="1" applyBorder="1" applyAlignment="1">
      <alignment horizontal="center"/>
    </xf>
    <xf numFmtId="164" fontId="12" fillId="6" borderId="5" xfId="4" applyNumberFormat="1" applyFont="1" applyFill="1" applyBorder="1"/>
    <xf numFmtId="164" fontId="13" fillId="4" borderId="8" xfId="4" applyFont="1" applyFill="1" applyBorder="1"/>
    <xf numFmtId="164" fontId="13" fillId="4" borderId="9" xfId="4" applyFont="1" applyFill="1" applyBorder="1"/>
    <xf numFmtId="164" fontId="13" fillId="4" borderId="10" xfId="4" applyFont="1" applyFill="1" applyBorder="1"/>
    <xf numFmtId="175" fontId="13" fillId="4" borderId="13" xfId="4" applyNumberFormat="1" applyFont="1" applyFill="1" applyBorder="1"/>
    <xf numFmtId="4" fontId="13" fillId="4" borderId="8" xfId="12" applyNumberFormat="1" applyFont="1" applyFill="1" applyBorder="1"/>
    <xf numFmtId="2" fontId="13" fillId="4" borderId="4" xfId="0" applyNumberFormat="1" applyFont="1" applyFill="1" applyBorder="1"/>
    <xf numFmtId="10" fontId="13" fillId="4" borderId="4" xfId="0" applyNumberFormat="1" applyFont="1" applyFill="1" applyBorder="1"/>
    <xf numFmtId="2" fontId="13" fillId="4" borderId="0" xfId="0" applyNumberFormat="1" applyFont="1" applyFill="1"/>
    <xf numFmtId="4" fontId="13" fillId="4" borderId="9" xfId="12" applyNumberFormat="1" applyFont="1" applyFill="1" applyBorder="1"/>
    <xf numFmtId="10" fontId="13" fillId="4" borderId="5" xfId="0" applyNumberFormat="1" applyFont="1" applyFill="1" applyBorder="1"/>
    <xf numFmtId="9" fontId="13" fillId="4" borderId="0" xfId="0" applyNumberFormat="1" applyFont="1" applyFill="1"/>
    <xf numFmtId="4" fontId="13" fillId="4" borderId="10" xfId="12" applyNumberFormat="1" applyFont="1" applyFill="1" applyBorder="1"/>
    <xf numFmtId="2" fontId="13" fillId="4" borderId="3" xfId="0" applyNumberFormat="1" applyFont="1" applyFill="1" applyBorder="1"/>
    <xf numFmtId="10" fontId="13" fillId="4" borderId="3" xfId="0" applyNumberFormat="1" applyFont="1" applyFill="1" applyBorder="1"/>
    <xf numFmtId="4" fontId="13" fillId="4" borderId="15" xfId="12" applyNumberFormat="1" applyFont="1" applyFill="1" applyBorder="1"/>
    <xf numFmtId="1" fontId="13" fillId="4" borderId="3" xfId="0" applyNumberFormat="1" applyFont="1" applyFill="1" applyBorder="1"/>
    <xf numFmtId="4" fontId="13" fillId="4" borderId="16" xfId="12" applyNumberFormat="1" applyFont="1" applyFill="1" applyBorder="1"/>
    <xf numFmtId="4" fontId="13" fillId="4" borderId="0" xfId="12" applyNumberFormat="1" applyFont="1" applyFill="1" applyBorder="1"/>
    <xf numFmtId="4" fontId="13" fillId="4" borderId="17" xfId="12" applyNumberFormat="1" applyFont="1" applyFill="1" applyBorder="1"/>
    <xf numFmtId="0" fontId="13" fillId="4" borderId="17" xfId="0" applyFont="1" applyFill="1" applyBorder="1"/>
    <xf numFmtId="175" fontId="13" fillId="4" borderId="9" xfId="4" quotePrefix="1" applyNumberFormat="1" applyFont="1" applyFill="1" applyBorder="1"/>
    <xf numFmtId="0" fontId="12" fillId="6" borderId="4" xfId="0" applyFont="1" applyFill="1" applyBorder="1" applyAlignment="1">
      <alignment horizontal="center" vertical="top" wrapText="1"/>
    </xf>
    <xf numFmtId="9" fontId="12" fillId="6" borderId="4" xfId="0" applyNumberFormat="1" applyFont="1" applyFill="1" applyBorder="1" applyAlignment="1">
      <alignment horizontal="center"/>
    </xf>
    <xf numFmtId="175" fontId="13" fillId="5" borderId="12" xfId="4" applyNumberFormat="1" applyFont="1" applyFill="1" applyBorder="1"/>
    <xf numFmtId="175" fontId="13" fillId="5" borderId="11" xfId="4" applyNumberFormat="1" applyFont="1" applyFill="1" applyBorder="1"/>
    <xf numFmtId="175" fontId="13" fillId="5" borderId="13" xfId="4" applyNumberFormat="1" applyFont="1" applyFill="1" applyBorder="1"/>
    <xf numFmtId="3" fontId="13" fillId="4" borderId="18" xfId="12" applyNumberFormat="1" applyFont="1" applyFill="1" applyBorder="1"/>
    <xf numFmtId="169" fontId="13" fillId="4" borderId="0" xfId="0" applyNumberFormat="1" applyFont="1" applyFill="1" applyAlignment="1">
      <alignment horizontal="center"/>
    </xf>
    <xf numFmtId="170" fontId="13" fillId="4" borderId="0" xfId="0" applyNumberFormat="1" applyFont="1" applyFill="1"/>
    <xf numFmtId="2" fontId="12" fillId="6" borderId="3" xfId="0" applyNumberFormat="1" applyFont="1" applyFill="1" applyBorder="1" applyAlignment="1">
      <alignment horizontal="center" vertical="top" wrapText="1"/>
    </xf>
    <xf numFmtId="3" fontId="13" fillId="4" borderId="7" xfId="12" applyNumberFormat="1" applyFont="1" applyFill="1" applyBorder="1"/>
    <xf numFmtId="165" fontId="13" fillId="4" borderId="15" xfId="0" applyNumberFormat="1" applyFont="1" applyFill="1" applyBorder="1" applyAlignment="1">
      <alignment horizontal="center"/>
    </xf>
    <xf numFmtId="175" fontId="13" fillId="4" borderId="7" xfId="4" applyNumberFormat="1" applyFont="1" applyFill="1" applyBorder="1"/>
    <xf numFmtId="0" fontId="12" fillId="6" borderId="18" xfId="0" applyFont="1" applyFill="1" applyBorder="1"/>
    <xf numFmtId="0" fontId="12" fillId="6" borderId="6" xfId="0" applyFont="1" applyFill="1" applyBorder="1"/>
    <xf numFmtId="0" fontId="12" fillId="6" borderId="15" xfId="0" applyFont="1" applyFill="1" applyBorder="1" applyAlignment="1">
      <alignment horizontal="center"/>
    </xf>
    <xf numFmtId="164" fontId="13" fillId="7" borderId="13" xfId="4" applyNumberFormat="1" applyFont="1" applyFill="1" applyBorder="1"/>
    <xf numFmtId="166" fontId="13" fillId="4" borderId="4" xfId="0" applyNumberFormat="1" applyFont="1" applyFill="1" applyBorder="1"/>
    <xf numFmtId="0" fontId="2" fillId="4" borderId="0" xfId="0" applyFont="1" applyFill="1" applyBorder="1" applyAlignment="1">
      <alignment horizontal="left"/>
    </xf>
    <xf numFmtId="164" fontId="2" fillId="4" borderId="0" xfId="4" applyFont="1" applyFill="1" applyBorder="1" applyAlignment="1">
      <alignment horizontal="right"/>
    </xf>
    <xf numFmtId="0" fontId="13" fillId="4" borderId="9" xfId="0" applyFont="1" applyFill="1" applyBorder="1" applyAlignment="1">
      <alignment horizontal="center"/>
    </xf>
    <xf numFmtId="166" fontId="13" fillId="4" borderId="5" xfId="0" applyNumberFormat="1" applyFont="1" applyFill="1" applyBorder="1"/>
    <xf numFmtId="0" fontId="2" fillId="4" borderId="0" xfId="0" applyFont="1" applyFill="1" applyAlignment="1">
      <alignment horizontal="left"/>
    </xf>
    <xf numFmtId="164" fontId="2" fillId="4" borderId="0" xfId="4" applyFont="1" applyFill="1" applyAlignment="1">
      <alignment horizontal="right"/>
    </xf>
    <xf numFmtId="166" fontId="13" fillId="4" borderId="3" xfId="0" applyNumberFormat="1" applyFont="1" applyFill="1" applyBorder="1"/>
    <xf numFmtId="0" fontId="12" fillId="6" borderId="16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top" wrapText="1"/>
    </xf>
    <xf numFmtId="3" fontId="13" fillId="3" borderId="15" xfId="12" applyNumberFormat="1" applyFont="1" applyFill="1" applyBorder="1"/>
    <xf numFmtId="10" fontId="12" fillId="6" borderId="3" xfId="12" applyNumberFormat="1" applyFont="1" applyFill="1" applyBorder="1" applyAlignment="1">
      <alignment vertical="center"/>
    </xf>
    <xf numFmtId="175" fontId="13" fillId="3" borderId="4" xfId="4" applyNumberFormat="1" applyFont="1" applyFill="1" applyBorder="1"/>
    <xf numFmtId="175" fontId="13" fillId="5" borderId="16" xfId="4" applyNumberFormat="1" applyFont="1" applyFill="1" applyBorder="1"/>
    <xf numFmtId="175" fontId="13" fillId="5" borderId="0" xfId="4" applyNumberFormat="1" applyFont="1" applyFill="1" applyBorder="1"/>
    <xf numFmtId="175" fontId="16" fillId="4" borderId="11" xfId="4" applyNumberFormat="1" applyFont="1" applyFill="1" applyBorder="1"/>
    <xf numFmtId="175" fontId="13" fillId="3" borderId="3" xfId="4" applyNumberFormat="1" applyFont="1" applyFill="1" applyBorder="1"/>
    <xf numFmtId="175" fontId="13" fillId="5" borderId="17" xfId="4" applyNumberFormat="1" applyFont="1" applyFill="1" applyBorder="1"/>
    <xf numFmtId="175" fontId="13" fillId="5" borderId="7" xfId="4" applyNumberFormat="1" applyFont="1" applyFill="1" applyBorder="1"/>
    <xf numFmtId="166" fontId="13" fillId="4" borderId="15" xfId="12" applyNumberFormat="1" applyFont="1" applyFill="1" applyBorder="1"/>
    <xf numFmtId="164" fontId="13" fillId="4" borderId="0" xfId="4" applyFont="1" applyFill="1" applyBorder="1" applyAlignment="1">
      <alignment vertical="center"/>
    </xf>
    <xf numFmtId="164" fontId="13" fillId="4" borderId="0" xfId="4" applyFont="1" applyFill="1" applyAlignment="1">
      <alignment vertical="center"/>
    </xf>
    <xf numFmtId="4" fontId="13" fillId="4" borderId="4" xfId="12" applyNumberFormat="1" applyFont="1" applyFill="1" applyBorder="1"/>
    <xf numFmtId="4" fontId="13" fillId="4" borderId="5" xfId="12" applyNumberFormat="1" applyFont="1" applyFill="1" applyBorder="1"/>
    <xf numFmtId="4" fontId="13" fillId="4" borderId="3" xfId="12" applyNumberFormat="1" applyFont="1" applyFill="1" applyBorder="1"/>
    <xf numFmtId="4" fontId="13" fillId="4" borderId="12" xfId="12" applyNumberFormat="1" applyFont="1" applyFill="1" applyBorder="1"/>
    <xf numFmtId="4" fontId="13" fillId="4" borderId="18" xfId="12" applyNumberFormat="1" applyFont="1" applyFill="1" applyBorder="1"/>
    <xf numFmtId="0" fontId="13" fillId="4" borderId="0" xfId="0" applyFont="1" applyFill="1" applyBorder="1" applyAlignment="1">
      <alignment horizontal="center" vertical="top" wrapText="1"/>
    </xf>
    <xf numFmtId="4" fontId="13" fillId="4" borderId="11" xfId="12" applyNumberFormat="1" applyFont="1" applyFill="1" applyBorder="1"/>
    <xf numFmtId="4" fontId="13" fillId="4" borderId="13" xfId="12" applyNumberFormat="1" applyFont="1" applyFill="1" applyBorder="1"/>
    <xf numFmtId="177" fontId="13" fillId="4" borderId="14" xfId="4" applyNumberFormat="1" applyFont="1" applyFill="1" applyBorder="1"/>
    <xf numFmtId="177" fontId="13" fillId="4" borderId="0" xfId="11" applyNumberFormat="1" applyFont="1" applyFill="1" applyAlignment="1">
      <alignment vertical="center"/>
    </xf>
    <xf numFmtId="177" fontId="13" fillId="4" borderId="0" xfId="0" applyNumberFormat="1" applyFont="1" applyFill="1"/>
    <xf numFmtId="177" fontId="12" fillId="6" borderId="4" xfId="0" applyNumberFormat="1" applyFont="1" applyFill="1" applyBorder="1" applyAlignment="1">
      <alignment horizontal="center" vertical="top" wrapText="1"/>
    </xf>
    <xf numFmtId="2" fontId="12" fillId="6" borderId="5" xfId="0" applyNumberFormat="1" applyFont="1" applyFill="1" applyBorder="1" applyAlignment="1">
      <alignment horizontal="center" vertical="top" wrapText="1"/>
    </xf>
    <xf numFmtId="171" fontId="13" fillId="4" borderId="0" xfId="0" applyNumberFormat="1" applyFont="1" applyFill="1"/>
    <xf numFmtId="166" fontId="13" fillId="4" borderId="0" xfId="12" applyNumberFormat="1" applyFont="1" applyFill="1" applyBorder="1" applyAlignment="1">
      <alignment horizontal="center" vertical="top" wrapText="1"/>
    </xf>
    <xf numFmtId="166" fontId="13" fillId="4" borderId="12" xfId="0" applyNumberFormat="1" applyFont="1" applyFill="1" applyBorder="1"/>
    <xf numFmtId="171" fontId="13" fillId="4" borderId="0" xfId="0" applyNumberFormat="1" applyFont="1" applyFill="1" applyBorder="1"/>
    <xf numFmtId="166" fontId="13" fillId="4" borderId="11" xfId="0" applyNumberFormat="1" applyFont="1" applyFill="1" applyBorder="1"/>
    <xf numFmtId="166" fontId="13" fillId="4" borderId="13" xfId="0" applyNumberFormat="1" applyFont="1" applyFill="1" applyBorder="1"/>
    <xf numFmtId="171" fontId="13" fillId="4" borderId="15" xfId="0" applyNumberFormat="1" applyFont="1" applyFill="1" applyBorder="1"/>
    <xf numFmtId="171" fontId="13" fillId="4" borderId="0" xfId="12" applyNumberFormat="1" applyFont="1" applyFill="1" applyBorder="1"/>
    <xf numFmtId="3" fontId="13" fillId="3" borderId="12" xfId="0" applyNumberFormat="1" applyFont="1" applyFill="1" applyBorder="1"/>
    <xf numFmtId="171" fontId="13" fillId="3" borderId="8" xfId="0" applyNumberFormat="1" applyFont="1" applyFill="1" applyBorder="1"/>
    <xf numFmtId="171" fontId="13" fillId="3" borderId="4" xfId="0" applyNumberFormat="1" applyFont="1" applyFill="1" applyBorder="1"/>
    <xf numFmtId="3" fontId="13" fillId="3" borderId="4" xfId="12" applyNumberFormat="1" applyFont="1" applyFill="1" applyBorder="1"/>
    <xf numFmtId="3" fontId="13" fillId="3" borderId="11" xfId="0" applyNumberFormat="1" applyFont="1" applyFill="1" applyBorder="1"/>
    <xf numFmtId="171" fontId="13" fillId="3" borderId="9" xfId="0" applyNumberFormat="1" applyFont="1" applyFill="1" applyBorder="1"/>
    <xf numFmtId="171" fontId="13" fillId="3" borderId="5" xfId="0" applyNumberFormat="1" applyFont="1" applyFill="1" applyBorder="1"/>
    <xf numFmtId="3" fontId="13" fillId="3" borderId="5" xfId="12" applyNumberFormat="1" applyFont="1" applyFill="1" applyBorder="1"/>
    <xf numFmtId="3" fontId="13" fillId="3" borderId="13" xfId="0" applyNumberFormat="1" applyFont="1" applyFill="1" applyBorder="1"/>
    <xf numFmtId="171" fontId="13" fillId="3" borderId="15" xfId="0" applyNumberFormat="1" applyFont="1" applyFill="1" applyBorder="1"/>
    <xf numFmtId="171" fontId="13" fillId="3" borderId="18" xfId="0" applyNumberFormat="1" applyFont="1" applyFill="1" applyBorder="1"/>
    <xf numFmtId="3" fontId="13" fillId="3" borderId="7" xfId="12" applyNumberFormat="1" applyFont="1" applyFill="1" applyBorder="1"/>
    <xf numFmtId="0" fontId="17" fillId="4" borderId="0" xfId="0" applyFont="1" applyFill="1"/>
    <xf numFmtId="0" fontId="18" fillId="4" borderId="5" xfId="0" applyFont="1" applyFill="1" applyBorder="1" applyAlignment="1">
      <alignment horizontal="center"/>
    </xf>
    <xf numFmtId="0" fontId="18" fillId="4" borderId="5" xfId="0" applyFont="1" applyFill="1" applyBorder="1"/>
    <xf numFmtId="166" fontId="18" fillId="4" borderId="5" xfId="12" applyNumberFormat="1" applyFont="1" applyFill="1" applyBorder="1"/>
    <xf numFmtId="3" fontId="18" fillId="4" borderId="5" xfId="12" applyNumberFormat="1" applyFont="1" applyFill="1" applyBorder="1" applyAlignment="1">
      <alignment horizontal="right"/>
    </xf>
    <xf numFmtId="0" fontId="18" fillId="4" borderId="0" xfId="0" applyFont="1" applyFill="1"/>
    <xf numFmtId="0" fontId="18" fillId="4" borderId="3" xfId="0" applyFont="1" applyFill="1" applyBorder="1" applyAlignment="1">
      <alignment horizontal="center"/>
    </xf>
    <xf numFmtId="167" fontId="13" fillId="4" borderId="0" xfId="0" applyNumberFormat="1" applyFont="1" applyFill="1"/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left" vertical="center"/>
    </xf>
    <xf numFmtId="3" fontId="18" fillId="4" borderId="4" xfId="12" applyNumberFormat="1" applyFont="1" applyFill="1" applyBorder="1"/>
    <xf numFmtId="3" fontId="18" fillId="4" borderId="5" xfId="12" applyNumberFormat="1" applyFont="1" applyFill="1" applyBorder="1"/>
    <xf numFmtId="4" fontId="18" fillId="4" borderId="15" xfId="12" applyNumberFormat="1" applyFont="1" applyFill="1" applyBorder="1"/>
    <xf numFmtId="171" fontId="13" fillId="4" borderId="15" xfId="12" applyNumberFormat="1" applyFont="1" applyFill="1" applyBorder="1"/>
    <xf numFmtId="171" fontId="18" fillId="4" borderId="4" xfId="0" applyNumberFormat="1" applyFont="1" applyFill="1" applyBorder="1"/>
    <xf numFmtId="171" fontId="18" fillId="4" borderId="5" xfId="0" applyNumberFormat="1" applyFont="1" applyFill="1" applyBorder="1"/>
    <xf numFmtId="0" fontId="13" fillId="8" borderId="0" xfId="0" applyFont="1" applyFill="1"/>
    <xf numFmtId="14" fontId="13" fillId="8" borderId="0" xfId="0" applyNumberFormat="1" applyFont="1" applyFill="1"/>
    <xf numFmtId="0" fontId="13" fillId="8" borderId="0" xfId="0" applyFont="1" applyFill="1" applyBorder="1"/>
    <xf numFmtId="0" fontId="14" fillId="8" borderId="0" xfId="0" applyFont="1" applyFill="1"/>
    <xf numFmtId="174" fontId="13" fillId="8" borderId="0" xfId="0" applyNumberFormat="1" applyFont="1" applyFill="1" applyBorder="1"/>
    <xf numFmtId="0" fontId="13" fillId="8" borderId="0" xfId="0" applyFont="1" applyFill="1" applyAlignment="1">
      <alignment horizontal="center" wrapText="1"/>
    </xf>
    <xf numFmtId="164" fontId="13" fillId="8" borderId="0" xfId="4" applyFont="1" applyFill="1"/>
    <xf numFmtId="3" fontId="13" fillId="8" borderId="0" xfId="0" applyNumberFormat="1" applyFont="1" applyFill="1"/>
    <xf numFmtId="2" fontId="13" fillId="8" borderId="0" xfId="0" applyNumberFormat="1" applyFont="1" applyFill="1"/>
    <xf numFmtId="173" fontId="13" fillId="8" borderId="15" xfId="0" applyNumberFormat="1" applyFont="1" applyFill="1" applyBorder="1" applyAlignment="1">
      <alignment horizontal="center" vertical="top" wrapText="1"/>
    </xf>
    <xf numFmtId="0" fontId="13" fillId="8" borderId="0" xfId="0" applyFont="1" applyFill="1" applyAlignment="1">
      <alignment horizontal="center"/>
    </xf>
    <xf numFmtId="9" fontId="13" fillId="8" borderId="0" xfId="0" applyNumberFormat="1" applyFont="1" applyFill="1" applyBorder="1" applyAlignment="1">
      <alignment horizontal="center" vertical="top" wrapText="1"/>
    </xf>
    <xf numFmtId="2" fontId="13" fillId="8" borderId="0" xfId="0" applyNumberFormat="1" applyFont="1" applyFill="1" applyBorder="1" applyAlignment="1">
      <alignment horizontal="center"/>
    </xf>
    <xf numFmtId="10" fontId="13" fillId="8" borderId="15" xfId="0" applyNumberFormat="1" applyFont="1" applyFill="1" applyBorder="1" applyAlignment="1">
      <alignment horizontal="center" vertical="top" wrapText="1"/>
    </xf>
    <xf numFmtId="169" fontId="13" fillId="8" borderId="0" xfId="0" applyNumberFormat="1" applyFont="1" applyFill="1" applyBorder="1"/>
    <xf numFmtId="3" fontId="13" fillId="8" borderId="0" xfId="0" applyNumberFormat="1" applyFont="1" applyFill="1" applyBorder="1"/>
    <xf numFmtId="164" fontId="13" fillId="8" borderId="0" xfId="4" applyFont="1" applyFill="1" applyBorder="1"/>
    <xf numFmtId="0" fontId="13" fillId="8" borderId="15" xfId="0" applyFont="1" applyFill="1" applyBorder="1"/>
    <xf numFmtId="164" fontId="13" fillId="8" borderId="15" xfId="4" applyFont="1" applyFill="1" applyBorder="1"/>
    <xf numFmtId="0" fontId="13" fillId="8" borderId="0" xfId="0" applyFont="1" applyFill="1" applyAlignment="1">
      <alignment vertical="top"/>
    </xf>
    <xf numFmtId="0" fontId="15" fillId="8" borderId="0" xfId="0" applyFont="1" applyFill="1"/>
    <xf numFmtId="0" fontId="13" fillId="7" borderId="15" xfId="0" applyFont="1" applyFill="1" applyBorder="1" applyAlignment="1">
      <alignment horizontal="center"/>
    </xf>
    <xf numFmtId="14" fontId="13" fillId="7" borderId="15" xfId="0" applyNumberFormat="1" applyFont="1" applyFill="1" applyBorder="1" applyAlignment="1">
      <alignment horizontal="center"/>
    </xf>
    <xf numFmtId="9" fontId="13" fillId="7" borderId="15" xfId="0" applyNumberFormat="1" applyFont="1" applyFill="1" applyBorder="1" applyAlignment="1">
      <alignment horizontal="center" vertical="top" wrapText="1"/>
    </xf>
    <xf numFmtId="10" fontId="13" fillId="7" borderId="15" xfId="0" applyNumberFormat="1" applyFont="1" applyFill="1" applyBorder="1" applyAlignment="1">
      <alignment horizontal="center"/>
    </xf>
    <xf numFmtId="0" fontId="13" fillId="8" borderId="0" xfId="0" applyFont="1" applyFill="1" applyBorder="1" applyAlignment="1"/>
    <xf numFmtId="0" fontId="13" fillId="8" borderId="0" xfId="0" applyFont="1" applyFill="1" applyBorder="1" applyAlignment="1">
      <alignment horizontal="left" vertical="top"/>
    </xf>
    <xf numFmtId="0" fontId="13" fillId="8" borderId="0" xfId="0" applyFont="1" applyFill="1" applyBorder="1" applyAlignment="1">
      <alignment horizontal="left"/>
    </xf>
    <xf numFmtId="3" fontId="13" fillId="7" borderId="15" xfId="0" applyNumberFormat="1" applyFont="1" applyFill="1" applyBorder="1"/>
    <xf numFmtId="0" fontId="13" fillId="7" borderId="4" xfId="0" applyFont="1" applyFill="1" applyBorder="1" applyAlignment="1"/>
    <xf numFmtId="3" fontId="13" fillId="8" borderId="15" xfId="0" applyNumberFormat="1" applyFont="1" applyFill="1" applyBorder="1"/>
    <xf numFmtId="0" fontId="13" fillId="8" borderId="15" xfId="0" applyFont="1" applyFill="1" applyBorder="1" applyAlignment="1"/>
    <xf numFmtId="3" fontId="13" fillId="8" borderId="15" xfId="0" applyNumberFormat="1" applyFont="1" applyFill="1" applyBorder="1" applyAlignment="1">
      <alignment horizontal="center"/>
    </xf>
    <xf numFmtId="164" fontId="13" fillId="8" borderId="15" xfId="4" applyFont="1" applyFill="1" applyBorder="1" applyAlignment="1">
      <alignment horizontal="center"/>
    </xf>
    <xf numFmtId="9" fontId="13" fillId="7" borderId="15" xfId="0" applyNumberFormat="1" applyFont="1" applyFill="1" applyBorder="1" applyAlignment="1">
      <alignment horizontal="center"/>
    </xf>
    <xf numFmtId="4" fontId="13" fillId="7" borderId="15" xfId="0" applyNumberFormat="1" applyFont="1" applyFill="1" applyBorder="1"/>
    <xf numFmtId="0" fontId="13" fillId="7" borderId="15" xfId="0" applyFont="1" applyFill="1" applyBorder="1" applyAlignment="1">
      <alignment horizontal="center" vertical="top" wrapText="1"/>
    </xf>
    <xf numFmtId="0" fontId="13" fillId="8" borderId="4" xfId="0" applyFont="1" applyFill="1" applyBorder="1" applyAlignment="1">
      <alignment horizontal="center" vertical="center" wrapText="1"/>
    </xf>
    <xf numFmtId="176" fontId="13" fillId="8" borderId="15" xfId="4" applyNumberFormat="1" applyFont="1" applyFill="1" applyBorder="1"/>
    <xf numFmtId="175" fontId="13" fillId="8" borderId="18" xfId="4" applyNumberFormat="1" applyFont="1" applyFill="1" applyBorder="1"/>
    <xf numFmtId="0" fontId="13" fillId="8" borderId="7" xfId="0" applyFont="1" applyFill="1" applyBorder="1"/>
    <xf numFmtId="173" fontId="13" fillId="8" borderId="3" xfId="12" applyNumberFormat="1" applyFont="1" applyFill="1" applyBorder="1"/>
    <xf numFmtId="2" fontId="13" fillId="8" borderId="4" xfId="0" applyNumberFormat="1" applyFont="1" applyFill="1" applyBorder="1"/>
    <xf numFmtId="0" fontId="13" fillId="8" borderId="3" xfId="0" applyFont="1" applyFill="1" applyBorder="1"/>
    <xf numFmtId="175" fontId="13" fillId="7" borderId="18" xfId="4" applyNumberFormat="1" applyFont="1" applyFill="1" applyBorder="1"/>
    <xf numFmtId="0" fontId="13" fillId="8" borderId="0" xfId="0" quotePrefix="1" applyFont="1" applyFill="1" applyBorder="1"/>
    <xf numFmtId="169" fontId="13" fillId="8" borderId="15" xfId="0" applyNumberFormat="1" applyFont="1" applyFill="1" applyBorder="1"/>
    <xf numFmtId="174" fontId="13" fillId="8" borderId="15" xfId="0" applyNumberFormat="1" applyFont="1" applyFill="1" applyBorder="1"/>
    <xf numFmtId="0" fontId="13" fillId="8" borderId="0" xfId="0" applyFont="1" applyFill="1" applyBorder="1" applyAlignment="1">
      <alignment horizontal="center" vertical="center" wrapText="1"/>
    </xf>
    <xf numFmtId="0" fontId="19" fillId="8" borderId="0" xfId="0" applyFont="1" applyFill="1"/>
    <xf numFmtId="0" fontId="15" fillId="8" borderId="0" xfId="0" applyFont="1" applyFill="1" applyBorder="1"/>
    <xf numFmtId="169" fontId="13" fillId="7" borderId="15" xfId="0" applyNumberFormat="1" applyFont="1" applyFill="1" applyBorder="1" applyAlignment="1">
      <alignment horizontal="center" vertical="top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9" fontId="12" fillId="6" borderId="5" xfId="12" applyFont="1" applyFill="1" applyBorder="1" applyAlignment="1">
      <alignment horizontal="center"/>
    </xf>
    <xf numFmtId="4" fontId="13" fillId="4" borderId="16" xfId="0" applyNumberFormat="1" applyFont="1" applyFill="1" applyBorder="1"/>
    <xf numFmtId="4" fontId="13" fillId="4" borderId="0" xfId="0" applyNumberFormat="1" applyFont="1" applyFill="1" applyBorder="1"/>
    <xf numFmtId="4" fontId="13" fillId="4" borderId="17" xfId="0" applyNumberFormat="1" applyFont="1" applyFill="1" applyBorder="1"/>
    <xf numFmtId="3" fontId="13" fillId="4" borderId="16" xfId="0" applyNumberFormat="1" applyFont="1" applyFill="1" applyBorder="1"/>
    <xf numFmtId="164" fontId="13" fillId="4" borderId="8" xfId="4" applyNumberFormat="1" applyFont="1" applyFill="1" applyBorder="1"/>
    <xf numFmtId="164" fontId="13" fillId="4" borderId="9" xfId="4" applyNumberFormat="1" applyFont="1" applyFill="1" applyBorder="1"/>
    <xf numFmtId="164" fontId="13" fillId="4" borderId="10" xfId="4" applyNumberFormat="1" applyFont="1" applyFill="1" applyBorder="1"/>
    <xf numFmtId="3" fontId="13" fillId="3" borderId="8" xfId="12" applyNumberFormat="1" applyFont="1" applyFill="1" applyBorder="1"/>
    <xf numFmtId="3" fontId="13" fillId="3" borderId="9" xfId="12" applyNumberFormat="1" applyFont="1" applyFill="1" applyBorder="1"/>
    <xf numFmtId="3" fontId="13" fillId="3" borderId="10" xfId="12" applyNumberFormat="1" applyFont="1" applyFill="1" applyBorder="1"/>
    <xf numFmtId="178" fontId="12" fillId="6" borderId="3" xfId="4" applyNumberFormat="1" applyFont="1" applyFill="1" applyBorder="1" applyAlignment="1">
      <alignment vertical="center" wrapText="1"/>
    </xf>
    <xf numFmtId="164" fontId="12" fillId="6" borderId="3" xfId="4" applyFont="1" applyFill="1" applyBorder="1" applyAlignment="1">
      <alignment horizontal="center" vertical="top" wrapText="1"/>
    </xf>
    <xf numFmtId="179" fontId="13" fillId="4" borderId="5" xfId="4" applyNumberFormat="1" applyFont="1" applyFill="1" applyBorder="1"/>
    <xf numFmtId="1" fontId="15" fillId="4" borderId="0" xfId="11" applyNumberFormat="1" applyFont="1" applyFill="1" applyAlignment="1">
      <alignment horizontal="left" vertical="center"/>
    </xf>
    <xf numFmtId="175" fontId="13" fillId="8" borderId="0" xfId="4" applyNumberFormat="1" applyFont="1" applyFill="1"/>
    <xf numFmtId="0" fontId="22" fillId="4" borderId="0" xfId="0" applyFont="1" applyFill="1" applyAlignment="1">
      <alignment horizontal="center"/>
    </xf>
    <xf numFmtId="0" fontId="20" fillId="4" borderId="0" xfId="0" applyFont="1" applyFill="1"/>
    <xf numFmtId="175" fontId="16" fillId="4" borderId="0" xfId="4" applyNumberFormat="1" applyFont="1" applyFill="1"/>
    <xf numFmtId="0" fontId="23" fillId="8" borderId="0" xfId="0" applyFont="1" applyFill="1"/>
    <xf numFmtId="175" fontId="23" fillId="8" borderId="0" xfId="4" applyNumberFormat="1" applyFont="1" applyFill="1"/>
    <xf numFmtId="175" fontId="13" fillId="3" borderId="0" xfId="4" applyNumberFormat="1" applyFont="1" applyFill="1"/>
    <xf numFmtId="0" fontId="25" fillId="6" borderId="0" xfId="0" applyFont="1" applyFill="1"/>
    <xf numFmtId="175" fontId="12" fillId="6" borderId="0" xfId="4" applyNumberFormat="1" applyFont="1" applyFill="1"/>
    <xf numFmtId="0" fontId="23" fillId="8" borderId="0" xfId="0" applyFont="1" applyFill="1" applyAlignment="1">
      <alignment horizontal="right"/>
    </xf>
    <xf numFmtId="168" fontId="16" fillId="4" borderId="0" xfId="11" applyNumberFormat="1" applyFont="1" applyFill="1" applyAlignment="1">
      <alignment vertical="center"/>
    </xf>
    <xf numFmtId="168" fontId="16" fillId="4" borderId="0" xfId="11" applyNumberFormat="1" applyFont="1" applyFill="1" applyBorder="1" applyAlignment="1">
      <alignment vertical="center"/>
    </xf>
    <xf numFmtId="176" fontId="13" fillId="4" borderId="0" xfId="14" applyNumberFormat="1" applyFont="1" applyFill="1" applyBorder="1" applyAlignment="1">
      <alignment vertical="center"/>
    </xf>
    <xf numFmtId="0" fontId="14" fillId="4" borderId="0" xfId="11" applyFont="1" applyFill="1" applyBorder="1"/>
    <xf numFmtId="176" fontId="14" fillId="4" borderId="0" xfId="14" applyNumberFormat="1" applyFont="1" applyFill="1" applyBorder="1"/>
    <xf numFmtId="0" fontId="13" fillId="4" borderId="0" xfId="15" applyFont="1" applyFill="1"/>
    <xf numFmtId="0" fontId="13" fillId="4" borderId="0" xfId="15" applyFont="1" applyFill="1" applyBorder="1"/>
    <xf numFmtId="176" fontId="13" fillId="4" borderId="0" xfId="14" applyNumberFormat="1" applyFont="1" applyFill="1" applyBorder="1"/>
    <xf numFmtId="3" fontId="1" fillId="4" borderId="5" xfId="15" applyNumberFormat="1" applyFont="1" applyFill="1" applyBorder="1" applyAlignment="1">
      <alignment horizontal="right"/>
    </xf>
    <xf numFmtId="43" fontId="13" fillId="4" borderId="5" xfId="14" applyFont="1" applyFill="1" applyBorder="1"/>
    <xf numFmtId="3" fontId="13" fillId="4" borderId="0" xfId="15" applyNumberFormat="1" applyFont="1" applyFill="1" applyBorder="1"/>
    <xf numFmtId="3" fontId="13" fillId="4" borderId="0" xfId="15" applyNumberFormat="1" applyFont="1" applyFill="1" applyBorder="1" applyAlignment="1">
      <alignment horizontal="center"/>
    </xf>
    <xf numFmtId="176" fontId="1" fillId="4" borderId="0" xfId="14" applyNumberFormat="1" applyFont="1" applyFill="1" applyBorder="1" applyAlignment="1">
      <alignment horizontal="left"/>
    </xf>
    <xf numFmtId="3" fontId="1" fillId="4" borderId="0" xfId="15" applyNumberFormat="1" applyFont="1" applyFill="1" applyBorder="1" applyAlignment="1">
      <alignment horizontal="right"/>
    </xf>
    <xf numFmtId="176" fontId="13" fillId="4" borderId="0" xfId="15" applyNumberFormat="1" applyFont="1" applyFill="1" applyBorder="1"/>
    <xf numFmtId="3" fontId="13" fillId="4" borderId="0" xfId="15" applyNumberFormat="1" applyFont="1" applyFill="1"/>
    <xf numFmtId="0" fontId="12" fillId="4" borderId="0" xfId="15" applyFont="1" applyFill="1" applyBorder="1" applyAlignment="1">
      <alignment horizontal="center" vertical="center" wrapText="1"/>
    </xf>
    <xf numFmtId="0" fontId="12" fillId="4" borderId="0" xfId="15" applyFont="1" applyFill="1" applyBorder="1" applyAlignment="1">
      <alignment vertical="center"/>
    </xf>
    <xf numFmtId="176" fontId="12" fillId="4" borderId="0" xfId="14" applyNumberFormat="1" applyFont="1" applyFill="1" applyBorder="1" applyAlignment="1">
      <alignment horizontal="center" vertical="center" wrapText="1"/>
    </xf>
    <xf numFmtId="176" fontId="12" fillId="4" borderId="0" xfId="14" applyNumberFormat="1" applyFont="1" applyFill="1" applyBorder="1" applyAlignment="1">
      <alignment vertical="center"/>
    </xf>
    <xf numFmtId="0" fontId="12" fillId="4" borderId="0" xfId="15" applyFont="1" applyFill="1" applyAlignment="1">
      <alignment vertical="center"/>
    </xf>
    <xf numFmtId="0" fontId="13" fillId="4" borderId="4" xfId="15" applyFont="1" applyFill="1" applyBorder="1"/>
    <xf numFmtId="0" fontId="13" fillId="4" borderId="5" xfId="15" applyFont="1" applyFill="1" applyBorder="1"/>
    <xf numFmtId="0" fontId="13" fillId="4" borderId="3" xfId="15" applyFont="1" applyFill="1" applyBorder="1"/>
    <xf numFmtId="0" fontId="12" fillId="6" borderId="4" xfId="15" applyFont="1" applyFill="1" applyBorder="1" applyAlignment="1">
      <alignment horizontal="center" vertical="center" wrapText="1"/>
    </xf>
    <xf numFmtId="0" fontId="12" fillId="6" borderId="3" xfId="15" quotePrefix="1" applyFont="1" applyFill="1" applyBorder="1" applyAlignment="1">
      <alignment horizontal="center" vertical="center" wrapText="1"/>
    </xf>
    <xf numFmtId="175" fontId="13" fillId="4" borderId="15" xfId="4" applyNumberFormat="1" applyFont="1" applyFill="1" applyBorder="1" applyAlignment="1">
      <alignment horizontal="center"/>
    </xf>
    <xf numFmtId="0" fontId="13" fillId="7" borderId="15" xfId="0" applyFont="1" applyFill="1" applyBorder="1"/>
    <xf numFmtId="175" fontId="13" fillId="4" borderId="7" xfId="4" applyNumberFormat="1" applyFont="1" applyFill="1" applyBorder="1" applyAlignment="1">
      <alignment horizontal="center"/>
    </xf>
    <xf numFmtId="179" fontId="12" fillId="6" borderId="3" xfId="15" quotePrefix="1" applyNumberFormat="1" applyFont="1" applyFill="1" applyBorder="1" applyAlignment="1">
      <alignment horizontal="center" vertical="center" wrapText="1"/>
    </xf>
    <xf numFmtId="175" fontId="13" fillId="5" borderId="15" xfId="4" applyNumberFormat="1" applyFont="1" applyFill="1" applyBorder="1" applyAlignment="1">
      <alignment horizontal="center"/>
    </xf>
    <xf numFmtId="171" fontId="18" fillId="5" borderId="4" xfId="0" applyNumberFormat="1" applyFont="1" applyFill="1" applyBorder="1"/>
    <xf numFmtId="171" fontId="18" fillId="5" borderId="5" xfId="0" applyNumberFormat="1" applyFont="1" applyFill="1" applyBorder="1"/>
    <xf numFmtId="171" fontId="13" fillId="5" borderId="15" xfId="0" applyNumberFormat="1" applyFont="1" applyFill="1" applyBorder="1"/>
    <xf numFmtId="171" fontId="18" fillId="5" borderId="3" xfId="0" applyNumberFormat="1" applyFont="1" applyFill="1" applyBorder="1"/>
    <xf numFmtId="0" fontId="13" fillId="7" borderId="0" xfId="15" applyFont="1" applyFill="1" applyBorder="1" applyAlignment="1">
      <alignment horizontal="center"/>
    </xf>
    <xf numFmtId="0" fontId="13" fillId="7" borderId="15" xfId="15" applyFont="1" applyFill="1" applyBorder="1" applyAlignment="1">
      <alignment horizontal="center"/>
    </xf>
    <xf numFmtId="175" fontId="13" fillId="7" borderId="3" xfId="4" applyNumberFormat="1" applyFont="1" applyFill="1" applyBorder="1" applyAlignment="1">
      <alignment horizontal="center"/>
    </xf>
    <xf numFmtId="175" fontId="13" fillId="7" borderId="15" xfId="4" applyNumberFormat="1" applyFont="1" applyFill="1" applyBorder="1"/>
    <xf numFmtId="0" fontId="13" fillId="7" borderId="15" xfId="4" applyNumberFormat="1" applyFont="1" applyFill="1" applyBorder="1" applyAlignment="1">
      <alignment horizontal="center"/>
    </xf>
    <xf numFmtId="169" fontId="12" fillId="6" borderId="3" xfId="0" applyNumberFormat="1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4" fontId="12" fillId="6" borderId="4" xfId="0" applyNumberFormat="1" applyFont="1" applyFill="1" applyBorder="1" applyAlignment="1">
      <alignment horizontal="center" vertical="center" textRotation="90" wrapText="1"/>
    </xf>
    <xf numFmtId="4" fontId="12" fillId="6" borderId="5" xfId="0" applyNumberFormat="1" applyFont="1" applyFill="1" applyBorder="1" applyAlignment="1">
      <alignment horizontal="center" vertical="center" textRotation="90" wrapText="1"/>
    </xf>
    <xf numFmtId="4" fontId="12" fillId="6" borderId="3" xfId="0" applyNumberFormat="1" applyFont="1" applyFill="1" applyBorder="1" applyAlignment="1">
      <alignment horizontal="center" vertical="center" textRotation="90" wrapText="1"/>
    </xf>
    <xf numFmtId="175" fontId="12" fillId="6" borderId="4" xfId="4" applyNumberFormat="1" applyFont="1" applyFill="1" applyBorder="1" applyAlignment="1">
      <alignment horizontal="center" vertical="center" textRotation="90" wrapText="1"/>
    </xf>
    <xf numFmtId="175" fontId="12" fillId="6" borderId="3" xfId="4" applyNumberFormat="1" applyFont="1" applyFill="1" applyBorder="1" applyAlignment="1">
      <alignment horizontal="center" vertical="center" textRotation="90" wrapText="1"/>
    </xf>
    <xf numFmtId="175" fontId="12" fillId="6" borderId="12" xfId="4" applyNumberFormat="1" applyFont="1" applyFill="1" applyBorder="1" applyAlignment="1">
      <alignment horizontal="center" vertical="center" textRotation="90" wrapText="1"/>
    </xf>
    <xf numFmtId="175" fontId="12" fillId="6" borderId="13" xfId="4" applyNumberFormat="1" applyFont="1" applyFill="1" applyBorder="1" applyAlignment="1">
      <alignment horizontal="center" vertical="center" textRotation="90" wrapText="1"/>
    </xf>
    <xf numFmtId="175" fontId="12" fillId="6" borderId="8" xfId="4" applyNumberFormat="1" applyFont="1" applyFill="1" applyBorder="1" applyAlignment="1">
      <alignment horizontal="center" vertical="center" textRotation="90" wrapText="1"/>
    </xf>
    <xf numFmtId="175" fontId="12" fillId="6" borderId="10" xfId="4" applyNumberFormat="1" applyFont="1" applyFill="1" applyBorder="1" applyAlignment="1">
      <alignment horizontal="center" vertical="center" textRotation="90" wrapText="1"/>
    </xf>
    <xf numFmtId="0" fontId="12" fillId="6" borderId="4" xfId="0" applyNumberFormat="1" applyFont="1" applyFill="1" applyBorder="1" applyAlignment="1">
      <alignment horizontal="center" vertical="center" wrapText="1"/>
    </xf>
    <xf numFmtId="0" fontId="12" fillId="6" borderId="5" xfId="0" applyNumberFormat="1" applyFont="1" applyFill="1" applyBorder="1" applyAlignment="1">
      <alignment horizontal="center" vertical="center" wrapText="1"/>
    </xf>
    <xf numFmtId="0" fontId="12" fillId="6" borderId="3" xfId="0" applyNumberFormat="1" applyFont="1" applyFill="1" applyBorder="1" applyAlignment="1">
      <alignment horizontal="center" vertical="center" wrapText="1"/>
    </xf>
    <xf numFmtId="3" fontId="12" fillId="6" borderId="4" xfId="0" applyNumberFormat="1" applyFont="1" applyFill="1" applyBorder="1" applyAlignment="1">
      <alignment horizontal="center" vertical="center" wrapText="1"/>
    </xf>
    <xf numFmtId="3" fontId="12" fillId="6" borderId="5" xfId="0" applyNumberFormat="1" applyFont="1" applyFill="1" applyBorder="1" applyAlignment="1">
      <alignment horizontal="center" vertical="center" wrapText="1"/>
    </xf>
    <xf numFmtId="3" fontId="12" fillId="6" borderId="3" xfId="0" applyNumberFormat="1" applyFont="1" applyFill="1" applyBorder="1" applyAlignment="1">
      <alignment horizontal="center" vertical="center" wrapText="1"/>
    </xf>
    <xf numFmtId="175" fontId="12" fillId="6" borderId="5" xfId="4" applyNumberFormat="1" applyFont="1" applyFill="1" applyBorder="1" applyAlignment="1">
      <alignment horizontal="center" vertical="center" textRotation="90" wrapText="1"/>
    </xf>
    <xf numFmtId="164" fontId="12" fillId="6" borderId="4" xfId="4" applyFont="1" applyFill="1" applyBorder="1" applyAlignment="1">
      <alignment horizontal="center" vertical="center" textRotation="90" wrapText="1"/>
    </xf>
    <xf numFmtId="164" fontId="12" fillId="6" borderId="3" xfId="4" applyFont="1" applyFill="1" applyBorder="1" applyAlignment="1">
      <alignment horizontal="center" vertical="center" textRotation="90" wrapText="1"/>
    </xf>
    <xf numFmtId="3" fontId="12" fillId="6" borderId="4" xfId="0" applyNumberFormat="1" applyFont="1" applyFill="1" applyBorder="1" applyAlignment="1">
      <alignment horizontal="center" vertical="center" textRotation="90" wrapText="1"/>
    </xf>
    <xf numFmtId="0" fontId="12" fillId="6" borderId="3" xfId="0" applyFont="1" applyFill="1" applyBorder="1" applyAlignment="1">
      <alignment horizontal="center" vertical="center" textRotation="90" wrapText="1"/>
    </xf>
    <xf numFmtId="3" fontId="12" fillId="6" borderId="5" xfId="0" applyNumberFormat="1" applyFont="1" applyFill="1" applyBorder="1" applyAlignment="1">
      <alignment horizontal="center" vertical="center" textRotation="90" wrapText="1"/>
    </xf>
    <xf numFmtId="3" fontId="12" fillId="6" borderId="3" xfId="0" applyNumberFormat="1" applyFont="1" applyFill="1" applyBorder="1" applyAlignment="1">
      <alignment horizontal="center" vertical="center" textRotation="90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175" fontId="12" fillId="6" borderId="4" xfId="4" applyNumberFormat="1" applyFont="1" applyFill="1" applyBorder="1" applyAlignment="1">
      <alignment horizontal="center" vertical="center" wrapText="1"/>
    </xf>
    <xf numFmtId="175" fontId="12" fillId="6" borderId="5" xfId="4" applyNumberFormat="1" applyFont="1" applyFill="1" applyBorder="1" applyAlignment="1">
      <alignment horizontal="center" vertical="center" wrapText="1"/>
    </xf>
    <xf numFmtId="175" fontId="12" fillId="6" borderId="3" xfId="4" applyNumberFormat="1" applyFont="1" applyFill="1" applyBorder="1" applyAlignment="1">
      <alignment horizontal="center" vertical="center" wrapText="1"/>
    </xf>
    <xf numFmtId="4" fontId="12" fillId="6" borderId="4" xfId="0" applyNumberFormat="1" applyFont="1" applyFill="1" applyBorder="1" applyAlignment="1">
      <alignment horizontal="center" vertical="center" wrapText="1"/>
    </xf>
    <xf numFmtId="4" fontId="12" fillId="6" borderId="3" xfId="0" applyNumberFormat="1" applyFont="1" applyFill="1" applyBorder="1" applyAlignment="1">
      <alignment horizontal="center" vertical="center" wrapText="1"/>
    </xf>
    <xf numFmtId="10" fontId="12" fillId="6" borderId="4" xfId="12" applyNumberFormat="1" applyFont="1" applyFill="1" applyBorder="1" applyAlignment="1">
      <alignment horizontal="center" vertical="center" wrapText="1"/>
    </xf>
    <xf numFmtId="10" fontId="12" fillId="6" borderId="5" xfId="12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10" fontId="12" fillId="6" borderId="3" xfId="12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/>
    </xf>
    <xf numFmtId="0" fontId="12" fillId="6" borderId="6" xfId="0" applyFont="1" applyFill="1" applyBorder="1" applyAlignment="1">
      <alignment horizontal="center"/>
    </xf>
    <xf numFmtId="0" fontId="12" fillId="6" borderId="7" xfId="0" applyFont="1" applyFill="1" applyBorder="1" applyAlignment="1">
      <alignment horizontal="center"/>
    </xf>
    <xf numFmtId="164" fontId="12" fillId="6" borderId="4" xfId="4" applyFont="1" applyFill="1" applyBorder="1" applyAlignment="1">
      <alignment horizontal="center" vertical="center" wrapText="1"/>
    </xf>
    <xf numFmtId="164" fontId="12" fillId="6" borderId="5" xfId="4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164" fontId="12" fillId="6" borderId="3" xfId="4" applyFont="1" applyFill="1" applyBorder="1" applyAlignment="1">
      <alignment horizontal="center" vertical="center" wrapText="1"/>
    </xf>
    <xf numFmtId="0" fontId="2" fillId="3" borderId="18" xfId="11" applyFont="1" applyFill="1" applyBorder="1" applyAlignment="1">
      <alignment horizontal="center"/>
    </xf>
    <xf numFmtId="0" fontId="2" fillId="3" borderId="6" xfId="11" applyFont="1" applyFill="1" applyBorder="1" applyAlignment="1">
      <alignment horizontal="center"/>
    </xf>
    <xf numFmtId="0" fontId="2" fillId="3" borderId="7" xfId="11" applyFont="1" applyFill="1" applyBorder="1" applyAlignment="1">
      <alignment horizontal="center"/>
    </xf>
    <xf numFmtId="166" fontId="12" fillId="6" borderId="4" xfId="12" applyNumberFormat="1" applyFont="1" applyFill="1" applyBorder="1" applyAlignment="1">
      <alignment horizontal="center" vertical="center" wrapText="1"/>
    </xf>
    <xf numFmtId="166" fontId="12" fillId="6" borderId="3" xfId="12" applyNumberFormat="1" applyFont="1" applyFill="1" applyBorder="1" applyAlignment="1">
      <alignment horizontal="center" vertical="center" wrapText="1"/>
    </xf>
    <xf numFmtId="0" fontId="12" fillId="6" borderId="4" xfId="15" applyFont="1" applyFill="1" applyBorder="1" applyAlignment="1">
      <alignment horizontal="center" vertical="center" wrapText="1"/>
    </xf>
    <xf numFmtId="0" fontId="12" fillId="6" borderId="3" xfId="15" applyFont="1" applyFill="1" applyBorder="1" applyAlignment="1">
      <alignment horizontal="center" vertical="center" wrapText="1"/>
    </xf>
    <xf numFmtId="0" fontId="12" fillId="6" borderId="8" xfId="15" applyFont="1" applyFill="1" applyBorder="1" applyAlignment="1">
      <alignment horizontal="center" vertical="center" wrapText="1"/>
    </xf>
    <xf numFmtId="0" fontId="12" fillId="6" borderId="10" xfId="15" applyFont="1" applyFill="1" applyBorder="1" applyAlignment="1">
      <alignment horizontal="center" vertical="center" wrapText="1"/>
    </xf>
    <xf numFmtId="166" fontId="12" fillId="6" borderId="12" xfId="12" applyNumberFormat="1" applyFont="1" applyFill="1" applyBorder="1" applyAlignment="1">
      <alignment horizontal="center" vertical="center" wrapText="1"/>
    </xf>
    <xf numFmtId="166" fontId="12" fillId="6" borderId="13" xfId="12" applyNumberFormat="1" applyFont="1" applyFill="1" applyBorder="1" applyAlignment="1">
      <alignment horizontal="center" vertical="center" wrapText="1"/>
    </xf>
    <xf numFmtId="1" fontId="15" fillId="4" borderId="0" xfId="11" applyNumberFormat="1" applyFont="1" applyFill="1" applyAlignment="1">
      <alignment horizontal="left" vertical="center"/>
    </xf>
    <xf numFmtId="0" fontId="15" fillId="4" borderId="0" xfId="0" applyFont="1" applyFill="1" applyAlignment="1">
      <alignment vertical="center"/>
    </xf>
    <xf numFmtId="175" fontId="13" fillId="7" borderId="15" xfId="4" applyNumberFormat="1" applyFont="1" applyFill="1" applyBorder="1" applyAlignment="1">
      <alignment horizontal="center"/>
    </xf>
  </cellXfs>
  <cellStyles count="16">
    <cellStyle name="cexColumnHeadings" xfId="1"/>
    <cellStyle name="cexReportTitle" xfId="2"/>
    <cellStyle name="cexTableEntry" xfId="3"/>
    <cellStyle name="Milliers" xfId="4" builtinId="3"/>
    <cellStyle name="Milliers 2" xfId="5"/>
    <cellStyle name="Milliers 3" xfId="6"/>
    <cellStyle name="Milliers 4" xfId="14"/>
    <cellStyle name="Normal" xfId="0" builtinId="0"/>
    <cellStyle name="Normal 2" xfId="7"/>
    <cellStyle name="Normal 2 2" xfId="8"/>
    <cellStyle name="Normal 2 3" xfId="9"/>
    <cellStyle name="Normal 3" xfId="10"/>
    <cellStyle name="Normal 4" xfId="15"/>
    <cellStyle name="Normal_3crit_2002-03.xls" xfId="11"/>
    <cellStyle name="Pourcentage" xfId="12" builtinId="5"/>
    <cellStyle name="Pourcentage 2" xfId="13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79"/>
  <sheetViews>
    <sheetView zoomScale="85" zoomScaleNormal="85" workbookViewId="0"/>
  </sheetViews>
  <sheetFormatPr baseColWidth="10" defaultColWidth="10.75" defaultRowHeight="15" x14ac:dyDescent="0.25"/>
  <cols>
    <col min="1" max="1" width="48" style="290" bestFit="1" customWidth="1"/>
    <col min="2" max="2" width="13.75" style="290" customWidth="1"/>
    <col min="3" max="3" width="16.625" style="290" customWidth="1"/>
    <col min="4" max="4" width="12.25" style="290" customWidth="1"/>
    <col min="5" max="6" width="11" style="290" bestFit="1" customWidth="1"/>
    <col min="7" max="7" width="12.5" style="290" bestFit="1" customWidth="1"/>
    <col min="8" max="8" width="12" style="290" bestFit="1" customWidth="1"/>
    <col min="9" max="10" width="12.125" style="290" bestFit="1" customWidth="1"/>
    <col min="11" max="11" width="14.375" style="290" bestFit="1" customWidth="1"/>
    <col min="12" max="16384" width="10.75" style="290"/>
  </cols>
  <sheetData>
    <row r="1" spans="1:6" ht="31.5" x14ac:dyDescent="0.5">
      <c r="A1" s="339" t="s">
        <v>427</v>
      </c>
    </row>
    <row r="4" spans="1:6" ht="21" x14ac:dyDescent="0.35">
      <c r="A4" s="310" t="s">
        <v>531</v>
      </c>
    </row>
    <row r="5" spans="1:6" x14ac:dyDescent="0.25">
      <c r="A5" s="290" t="s">
        <v>523</v>
      </c>
      <c r="B5" s="311" t="s">
        <v>591</v>
      </c>
    </row>
    <row r="6" spans="1:6" x14ac:dyDescent="0.25">
      <c r="A6" s="290" t="s">
        <v>592</v>
      </c>
      <c r="B6" s="311">
        <v>2013</v>
      </c>
    </row>
    <row r="7" spans="1:6" x14ac:dyDescent="0.25">
      <c r="A7" s="290" t="s">
        <v>588</v>
      </c>
      <c r="B7" s="312">
        <v>40542</v>
      </c>
    </row>
    <row r="8" spans="1:6" x14ac:dyDescent="0.25">
      <c r="A8" s="290" t="s">
        <v>589</v>
      </c>
      <c r="B8" s="408">
        <v>2014</v>
      </c>
    </row>
    <row r="10" spans="1:6" ht="21" x14ac:dyDescent="0.35">
      <c r="A10" s="310" t="s">
        <v>532</v>
      </c>
      <c r="C10" s="292"/>
      <c r="D10" s="292"/>
    </row>
    <row r="11" spans="1:6" x14ac:dyDescent="0.25">
      <c r="A11" s="290" t="s">
        <v>516</v>
      </c>
      <c r="B11" s="313">
        <v>0.5</v>
      </c>
      <c r="C11" s="301"/>
      <c r="D11" s="301"/>
    </row>
    <row r="12" spans="1:6" x14ac:dyDescent="0.25">
      <c r="A12" s="290" t="s">
        <v>6</v>
      </c>
      <c r="B12" s="313">
        <v>0.3</v>
      </c>
      <c r="C12" s="302"/>
      <c r="D12" s="302"/>
      <c r="F12" s="297"/>
    </row>
    <row r="14" spans="1:6" ht="21" x14ac:dyDescent="0.35">
      <c r="A14" s="310" t="s">
        <v>533</v>
      </c>
    </row>
    <row r="15" spans="1:6" x14ac:dyDescent="0.25">
      <c r="B15" s="303" t="s">
        <v>340</v>
      </c>
      <c r="C15" s="303" t="s">
        <v>337</v>
      </c>
      <c r="D15" s="303" t="s">
        <v>338</v>
      </c>
      <c r="E15" s="303" t="s">
        <v>462</v>
      </c>
    </row>
    <row r="16" spans="1:6" x14ac:dyDescent="0.25">
      <c r="A16" s="290" t="s">
        <v>424</v>
      </c>
      <c r="B16" s="314">
        <v>0.36</v>
      </c>
      <c r="C16" s="314">
        <v>0.46</v>
      </c>
      <c r="D16" s="314">
        <v>0.56000000000000005</v>
      </c>
      <c r="E16" s="314">
        <v>0.66</v>
      </c>
    </row>
    <row r="17" spans="1:12" x14ac:dyDescent="0.25">
      <c r="A17" s="290" t="s">
        <v>534</v>
      </c>
      <c r="B17" s="314">
        <v>1.2</v>
      </c>
      <c r="C17" s="314">
        <v>1.5</v>
      </c>
      <c r="D17" s="314">
        <v>2</v>
      </c>
      <c r="E17" s="314">
        <v>3</v>
      </c>
    </row>
    <row r="18" spans="1:12" x14ac:dyDescent="0.25">
      <c r="I18" s="292"/>
      <c r="J18" s="292"/>
      <c r="K18" s="292"/>
      <c r="L18" s="292"/>
    </row>
    <row r="19" spans="1:12" ht="21" x14ac:dyDescent="0.35">
      <c r="A19" s="310" t="s">
        <v>535</v>
      </c>
      <c r="B19" s="292"/>
      <c r="C19" s="292"/>
      <c r="D19" s="292"/>
      <c r="E19" s="304"/>
      <c r="F19" s="293"/>
      <c r="I19" s="292"/>
      <c r="J19" s="292"/>
      <c r="K19" s="292"/>
      <c r="L19" s="294"/>
    </row>
    <row r="20" spans="1:12" x14ac:dyDescent="0.25">
      <c r="A20" s="316" t="s">
        <v>536</v>
      </c>
      <c r="B20" s="322">
        <v>0</v>
      </c>
      <c r="C20" s="322">
        <v>1000</v>
      </c>
      <c r="D20" s="322">
        <v>3000</v>
      </c>
      <c r="E20" s="322">
        <v>5000</v>
      </c>
      <c r="F20" s="322">
        <v>9000</v>
      </c>
      <c r="G20" s="322">
        <v>12000</v>
      </c>
      <c r="H20" s="322">
        <v>15000</v>
      </c>
      <c r="I20" s="305"/>
      <c r="J20" s="305"/>
      <c r="K20" s="292"/>
      <c r="L20" s="292"/>
    </row>
    <row r="21" spans="1:12" x14ac:dyDescent="0.25">
      <c r="A21" s="316"/>
      <c r="B21" s="322">
        <v>1000</v>
      </c>
      <c r="C21" s="322">
        <v>3000</v>
      </c>
      <c r="D21" s="322">
        <v>5000</v>
      </c>
      <c r="E21" s="322">
        <v>9000</v>
      </c>
      <c r="F21" s="322">
        <v>12000</v>
      </c>
      <c r="G21" s="322">
        <v>15000</v>
      </c>
      <c r="H21" s="322"/>
      <c r="I21" s="305"/>
      <c r="J21" s="305"/>
      <c r="K21" s="292"/>
      <c r="L21" s="292"/>
    </row>
    <row r="22" spans="1:12" x14ac:dyDescent="0.25">
      <c r="A22" s="317" t="s">
        <v>537</v>
      </c>
      <c r="B22" s="323">
        <v>100</v>
      </c>
      <c r="C22" s="323">
        <v>350</v>
      </c>
      <c r="D22" s="323">
        <v>500</v>
      </c>
      <c r="E22" s="323">
        <v>600</v>
      </c>
      <c r="F22" s="323">
        <v>850</v>
      </c>
      <c r="G22" s="323">
        <v>1000</v>
      </c>
      <c r="H22" s="323">
        <v>1050</v>
      </c>
      <c r="I22" s="306"/>
      <c r="J22" s="306"/>
      <c r="K22" s="292"/>
      <c r="L22" s="292"/>
    </row>
    <row r="23" spans="1:12" x14ac:dyDescent="0.25">
      <c r="A23" s="292" t="s">
        <v>517</v>
      </c>
      <c r="B23" s="321">
        <v>99.4</v>
      </c>
      <c r="C23" s="315"/>
      <c r="D23" s="315"/>
      <c r="E23" s="315"/>
      <c r="F23" s="315"/>
      <c r="G23" s="315"/>
      <c r="H23" s="315"/>
      <c r="I23" s="292"/>
      <c r="J23" s="292"/>
      <c r="K23" s="292"/>
      <c r="L23" s="292"/>
    </row>
    <row r="24" spans="1:12" x14ac:dyDescent="0.25">
      <c r="A24" s="292" t="s">
        <v>518</v>
      </c>
      <c r="B24" s="319">
        <v>99.4</v>
      </c>
      <c r="C24" s="315"/>
      <c r="D24" s="315"/>
      <c r="E24" s="315"/>
      <c r="F24" s="315"/>
      <c r="G24" s="315"/>
      <c r="H24" s="315"/>
      <c r="I24" s="292"/>
      <c r="J24" s="292"/>
      <c r="K24" s="292"/>
      <c r="L24" s="292"/>
    </row>
    <row r="25" spans="1:12" x14ac:dyDescent="0.25">
      <c r="A25" s="292" t="s">
        <v>519</v>
      </c>
      <c r="B25" s="308">
        <f>+B22/$B$23*$B$24</f>
        <v>100</v>
      </c>
      <c r="C25" s="308">
        <f t="shared" ref="C25:H25" si="0">+C22/$B$23*$B$24</f>
        <v>350</v>
      </c>
      <c r="D25" s="308">
        <f t="shared" si="0"/>
        <v>500</v>
      </c>
      <c r="E25" s="308">
        <f t="shared" si="0"/>
        <v>600</v>
      </c>
      <c r="F25" s="308">
        <f t="shared" si="0"/>
        <v>850</v>
      </c>
      <c r="G25" s="308">
        <f t="shared" si="0"/>
        <v>1000</v>
      </c>
      <c r="H25" s="308">
        <f t="shared" si="0"/>
        <v>1050</v>
      </c>
      <c r="I25" s="292"/>
      <c r="J25" s="292"/>
      <c r="K25" s="292"/>
      <c r="L25" s="292"/>
    </row>
    <row r="27" spans="1:12" ht="21" x14ac:dyDescent="0.35">
      <c r="A27" s="310" t="s">
        <v>538</v>
      </c>
    </row>
    <row r="28" spans="1:12" x14ac:dyDescent="0.25">
      <c r="A28" s="290" t="s">
        <v>539</v>
      </c>
      <c r="B28" s="324">
        <v>0.27</v>
      </c>
    </row>
    <row r="30" spans="1:12" ht="21" x14ac:dyDescent="0.35">
      <c r="A30" s="310" t="s">
        <v>540</v>
      </c>
    </row>
    <row r="31" spans="1:12" x14ac:dyDescent="0.25">
      <c r="A31" s="290" t="s">
        <v>432</v>
      </c>
      <c r="C31" s="295"/>
    </row>
    <row r="32" spans="1:12" x14ac:dyDescent="0.25">
      <c r="A32" s="290" t="s">
        <v>485</v>
      </c>
      <c r="B32" s="325">
        <v>6468177</v>
      </c>
      <c r="C32" s="308">
        <f>Synthèse!L324-Synthèse!F324</f>
        <v>450000.91200017929</v>
      </c>
      <c r="D32" s="320">
        <f>+'J) Plafonnement effort'!I323+'K) Plafonnement aide'!J323+'L) Plafonnement taux'!Q324</f>
        <v>6468177.4211269971</v>
      </c>
      <c r="L32" s="297"/>
    </row>
    <row r="33" spans="1:12" x14ac:dyDescent="0.25">
      <c r="A33" s="290" t="s">
        <v>549</v>
      </c>
      <c r="B33" s="325">
        <v>-450000</v>
      </c>
      <c r="C33" s="296"/>
      <c r="D33" s="297"/>
      <c r="L33" s="297"/>
    </row>
    <row r="34" spans="1:12" x14ac:dyDescent="0.25">
      <c r="G34" s="297"/>
      <c r="H34" s="298"/>
      <c r="L34" s="297"/>
    </row>
    <row r="35" spans="1:12" ht="21" x14ac:dyDescent="0.35">
      <c r="A35" s="310" t="s">
        <v>541</v>
      </c>
      <c r="G35" s="297"/>
      <c r="H35" s="298"/>
      <c r="L35" s="297"/>
    </row>
    <row r="36" spans="1:12" x14ac:dyDescent="0.25">
      <c r="A36" s="309"/>
      <c r="B36" s="327" t="s">
        <v>433</v>
      </c>
      <c r="C36" s="327" t="s">
        <v>431</v>
      </c>
      <c r="E36" s="307" t="s">
        <v>513</v>
      </c>
      <c r="F36" s="307"/>
      <c r="G36" s="329">
        <f>+'D) Ecrêtage'!N323</f>
        <v>33127335.331169713</v>
      </c>
      <c r="H36" s="332"/>
      <c r="I36" s="330" t="s">
        <v>514</v>
      </c>
      <c r="J36" s="307"/>
      <c r="K36" s="170">
        <f>+'I) Dépenses thématiques'!I323</f>
        <v>176698639</v>
      </c>
    </row>
    <row r="37" spans="1:12" x14ac:dyDescent="0.25">
      <c r="A37" s="290" t="s">
        <v>542</v>
      </c>
      <c r="B37" s="326">
        <v>8</v>
      </c>
      <c r="C37" s="299">
        <f>+H38</f>
        <v>0.71905161230464676</v>
      </c>
      <c r="E37" s="307" t="s">
        <v>515</v>
      </c>
      <c r="F37" s="307"/>
      <c r="G37" s="334">
        <v>4</v>
      </c>
      <c r="H37" s="333"/>
      <c r="I37" s="330" t="s">
        <v>253</v>
      </c>
      <c r="J37" s="307"/>
      <c r="K37" s="170">
        <f>+'I) Dépenses thématiques'!M323</f>
        <v>7584852</v>
      </c>
    </row>
    <row r="38" spans="1:12" x14ac:dyDescent="0.25">
      <c r="A38" s="290" t="s">
        <v>543</v>
      </c>
      <c r="B38" s="326">
        <v>1</v>
      </c>
      <c r="C38" s="299">
        <f>+H38</f>
        <v>0.71905161230464676</v>
      </c>
      <c r="E38" s="307" t="s">
        <v>544</v>
      </c>
      <c r="F38" s="307"/>
      <c r="G38" s="328">
        <f>+G36*G37</f>
        <v>132509341.32467885</v>
      </c>
      <c r="H38" s="331">
        <f>+G38/K38</f>
        <v>0.71905161230464676</v>
      </c>
      <c r="I38" s="307" t="s">
        <v>174</v>
      </c>
      <c r="J38" s="307"/>
      <c r="K38" s="170">
        <f>SUM(K36:K37)</f>
        <v>184283491</v>
      </c>
    </row>
    <row r="40" spans="1:12" ht="21" x14ac:dyDescent="0.35">
      <c r="A40" s="310" t="s">
        <v>546</v>
      </c>
    </row>
    <row r="42" spans="1:12" x14ac:dyDescent="0.25">
      <c r="A42" s="290" t="s">
        <v>428</v>
      </c>
      <c r="B42" s="341">
        <f>53.243+$B$55</f>
        <v>54.047272794284424</v>
      </c>
    </row>
    <row r="43" spans="1:12" x14ac:dyDescent="0.25">
      <c r="A43" s="290" t="s">
        <v>429</v>
      </c>
      <c r="B43" s="341">
        <v>-5.5</v>
      </c>
    </row>
    <row r="44" spans="1:12" x14ac:dyDescent="0.25">
      <c r="A44" s="290" t="s">
        <v>430</v>
      </c>
      <c r="B44" s="341">
        <f>B42+35</f>
        <v>89.047272794284424</v>
      </c>
    </row>
    <row r="46" spans="1:12" x14ac:dyDescent="0.25">
      <c r="A46" s="300"/>
      <c r="B46" s="291"/>
    </row>
    <row r="47" spans="1:12" ht="21" x14ac:dyDescent="0.35">
      <c r="A47" s="340" t="s">
        <v>545</v>
      </c>
      <c r="B47" s="292"/>
      <c r="E47" s="292"/>
    </row>
    <row r="48" spans="1:12" ht="45" x14ac:dyDescent="0.25">
      <c r="B48" s="338" t="s">
        <v>504</v>
      </c>
      <c r="C48" s="292"/>
      <c r="D48" s="292"/>
      <c r="E48" s="292"/>
    </row>
    <row r="49" spans="1:5" x14ac:dyDescent="0.25">
      <c r="A49" s="292" t="s">
        <v>583</v>
      </c>
      <c r="B49" s="318">
        <v>675983500</v>
      </c>
      <c r="C49" s="292"/>
      <c r="D49" s="292"/>
      <c r="E49" s="292"/>
    </row>
    <row r="50" spans="1:5" x14ac:dyDescent="0.25">
      <c r="A50" s="292" t="s">
        <v>584</v>
      </c>
      <c r="B50" s="318">
        <v>703936600</v>
      </c>
      <c r="C50" s="305"/>
      <c r="D50" s="292"/>
      <c r="E50" s="292"/>
    </row>
    <row r="51" spans="1:5" x14ac:dyDescent="0.25">
      <c r="A51" s="292" t="s">
        <v>585</v>
      </c>
      <c r="B51" s="318">
        <v>33902721.314613</v>
      </c>
      <c r="C51" s="292"/>
      <c r="D51" s="292"/>
      <c r="E51" s="292"/>
    </row>
    <row r="52" spans="1:5" x14ac:dyDescent="0.25">
      <c r="A52" s="292" t="s">
        <v>586</v>
      </c>
      <c r="B52" s="318">
        <f>'B) D RI'!U325</f>
        <v>34755744.815253168</v>
      </c>
      <c r="C52" s="305"/>
      <c r="D52" s="292"/>
      <c r="E52" s="292"/>
    </row>
    <row r="53" spans="1:5" x14ac:dyDescent="0.25">
      <c r="A53" s="292" t="s">
        <v>505</v>
      </c>
      <c r="B53" s="336">
        <f>(B50-B49)*100/B49</f>
        <v>4.1351748970204154</v>
      </c>
      <c r="C53" s="292"/>
      <c r="D53" s="292"/>
      <c r="E53" s="292"/>
    </row>
    <row r="54" spans="1:5" x14ac:dyDescent="0.25">
      <c r="A54" s="292" t="s">
        <v>506</v>
      </c>
      <c r="B54" s="336">
        <f>(B52-B51)*100/B51</f>
        <v>2.5160915335504126</v>
      </c>
      <c r="C54" s="305"/>
      <c r="D54" s="292"/>
      <c r="E54" s="292"/>
    </row>
    <row r="55" spans="1:5" x14ac:dyDescent="0.25">
      <c r="A55" s="292" t="s">
        <v>507</v>
      </c>
      <c r="B55" s="337">
        <f>(B50-B49)/B52</f>
        <v>0.80427279428442267</v>
      </c>
      <c r="C55" s="335"/>
      <c r="D55" s="292"/>
      <c r="E55" s="292"/>
    </row>
    <row r="56" spans="1:5" x14ac:dyDescent="0.25">
      <c r="A56" s="292"/>
      <c r="B56" s="292"/>
      <c r="C56" s="292"/>
      <c r="D56" s="292"/>
      <c r="E56" s="292"/>
    </row>
    <row r="57" spans="1:5" ht="21" x14ac:dyDescent="0.35">
      <c r="A57" s="340" t="s">
        <v>574</v>
      </c>
      <c r="B57" s="292"/>
      <c r="C57" s="292"/>
      <c r="D57" s="292"/>
      <c r="E57" s="292"/>
    </row>
    <row r="58" spans="1:5" x14ac:dyDescent="0.25">
      <c r="A58" s="292" t="s">
        <v>575</v>
      </c>
      <c r="B58" s="396">
        <v>2</v>
      </c>
      <c r="C58" s="292"/>
      <c r="D58" s="292"/>
      <c r="E58" s="292"/>
    </row>
    <row r="59" spans="1:5" x14ac:dyDescent="0.25">
      <c r="A59" s="292" t="s">
        <v>587</v>
      </c>
      <c r="B59" s="407">
        <v>64955763</v>
      </c>
      <c r="C59" s="292"/>
      <c r="D59" s="292"/>
      <c r="E59" s="292"/>
    </row>
    <row r="60" spans="1:5" x14ac:dyDescent="0.25">
      <c r="A60" s="292"/>
      <c r="B60" s="292"/>
      <c r="C60" s="292"/>
      <c r="D60" s="292"/>
      <c r="E60" s="292"/>
    </row>
    <row r="61" spans="1:5" ht="21" x14ac:dyDescent="0.35">
      <c r="A61" s="340" t="s">
        <v>551</v>
      </c>
    </row>
    <row r="62" spans="1:5" x14ac:dyDescent="0.25">
      <c r="A62" s="290" t="s">
        <v>457</v>
      </c>
    </row>
    <row r="63" spans="1:5" x14ac:dyDescent="0.25">
      <c r="A63" s="290" t="s">
        <v>374</v>
      </c>
    </row>
    <row r="64" spans="1:5" x14ac:dyDescent="0.25">
      <c r="A64" s="290" t="s">
        <v>303</v>
      </c>
    </row>
    <row r="65" spans="1:1" x14ac:dyDescent="0.25">
      <c r="A65" s="290" t="s">
        <v>23</v>
      </c>
    </row>
    <row r="66" spans="1:1" x14ac:dyDescent="0.25">
      <c r="A66" s="290" t="s">
        <v>82</v>
      </c>
    </row>
    <row r="67" spans="1:1" x14ac:dyDescent="0.25">
      <c r="A67" s="290" t="s">
        <v>146</v>
      </c>
    </row>
    <row r="68" spans="1:1" x14ac:dyDescent="0.25">
      <c r="A68" s="290" t="s">
        <v>307</v>
      </c>
    </row>
    <row r="69" spans="1:1" x14ac:dyDescent="0.25">
      <c r="A69" s="290" t="s">
        <v>510</v>
      </c>
    </row>
    <row r="70" spans="1:1" x14ac:dyDescent="0.25">
      <c r="A70" s="290" t="s">
        <v>212</v>
      </c>
    </row>
    <row r="71" spans="1:1" x14ac:dyDescent="0.25">
      <c r="A71" s="290" t="s">
        <v>83</v>
      </c>
    </row>
    <row r="72" spans="1:1" x14ac:dyDescent="0.25">
      <c r="A72" s="290" t="s">
        <v>395</v>
      </c>
    </row>
    <row r="73" spans="1:1" x14ac:dyDescent="0.25">
      <c r="A73" s="290" t="s">
        <v>308</v>
      </c>
    </row>
    <row r="74" spans="1:1" x14ac:dyDescent="0.25">
      <c r="A74" s="290" t="s">
        <v>84</v>
      </c>
    </row>
    <row r="75" spans="1:1" x14ac:dyDescent="0.25">
      <c r="A75" s="290" t="s">
        <v>147</v>
      </c>
    </row>
    <row r="76" spans="1:1" x14ac:dyDescent="0.25">
      <c r="A76" s="290" t="s">
        <v>309</v>
      </c>
    </row>
    <row r="77" spans="1:1" x14ac:dyDescent="0.25">
      <c r="A77" s="290" t="s">
        <v>310</v>
      </c>
    </row>
    <row r="78" spans="1:1" x14ac:dyDescent="0.25">
      <c r="A78" s="290" t="s">
        <v>259</v>
      </c>
    </row>
    <row r="79" spans="1:1" x14ac:dyDescent="0.25">
      <c r="A79" s="290" t="s">
        <v>441</v>
      </c>
    </row>
    <row r="80" spans="1:1" x14ac:dyDescent="0.25">
      <c r="A80" s="290" t="s">
        <v>63</v>
      </c>
    </row>
    <row r="81" spans="1:1" x14ac:dyDescent="0.25">
      <c r="A81" s="290" t="s">
        <v>213</v>
      </c>
    </row>
    <row r="82" spans="1:1" x14ac:dyDescent="0.25">
      <c r="A82" s="290" t="s">
        <v>85</v>
      </c>
    </row>
    <row r="83" spans="1:1" x14ac:dyDescent="0.25">
      <c r="A83" s="290" t="s">
        <v>398</v>
      </c>
    </row>
    <row r="84" spans="1:1" x14ac:dyDescent="0.25">
      <c r="A84" s="290" t="s">
        <v>304</v>
      </c>
    </row>
    <row r="85" spans="1:1" x14ac:dyDescent="0.25">
      <c r="A85" s="290" t="s">
        <v>86</v>
      </c>
    </row>
    <row r="86" spans="1:1" x14ac:dyDescent="0.25">
      <c r="A86" s="290" t="s">
        <v>64</v>
      </c>
    </row>
    <row r="87" spans="1:1" x14ac:dyDescent="0.25">
      <c r="A87" s="290" t="s">
        <v>214</v>
      </c>
    </row>
    <row r="88" spans="1:1" x14ac:dyDescent="0.25">
      <c r="A88" s="290" t="s">
        <v>244</v>
      </c>
    </row>
    <row r="89" spans="1:1" x14ac:dyDescent="0.25">
      <c r="A89" s="290" t="s">
        <v>311</v>
      </c>
    </row>
    <row r="90" spans="1:1" x14ac:dyDescent="0.25">
      <c r="A90" s="290" t="s">
        <v>260</v>
      </c>
    </row>
    <row r="91" spans="1:1" x14ac:dyDescent="0.25">
      <c r="A91" s="290" t="s">
        <v>40</v>
      </c>
    </row>
    <row r="92" spans="1:1" x14ac:dyDescent="0.25">
      <c r="A92" s="290" t="s">
        <v>261</v>
      </c>
    </row>
    <row r="93" spans="1:1" x14ac:dyDescent="0.25">
      <c r="A93" s="290" t="s">
        <v>215</v>
      </c>
    </row>
    <row r="94" spans="1:1" x14ac:dyDescent="0.25">
      <c r="A94" s="290" t="s">
        <v>80</v>
      </c>
    </row>
    <row r="95" spans="1:1" x14ac:dyDescent="0.25">
      <c r="A95" s="290" t="s">
        <v>239</v>
      </c>
    </row>
    <row r="96" spans="1:1" x14ac:dyDescent="0.25">
      <c r="A96" s="290" t="s">
        <v>494</v>
      </c>
    </row>
    <row r="97" spans="1:1" x14ac:dyDescent="0.25">
      <c r="A97" s="290" t="s">
        <v>399</v>
      </c>
    </row>
    <row r="98" spans="1:1" x14ac:dyDescent="0.25">
      <c r="A98" s="290" t="s">
        <v>247</v>
      </c>
    </row>
    <row r="99" spans="1:1" x14ac:dyDescent="0.25">
      <c r="A99" s="290" t="s">
        <v>183</v>
      </c>
    </row>
    <row r="100" spans="1:1" x14ac:dyDescent="0.25">
      <c r="A100" s="290" t="s">
        <v>240</v>
      </c>
    </row>
    <row r="101" spans="1:1" x14ac:dyDescent="0.25">
      <c r="A101" s="290" t="s">
        <v>216</v>
      </c>
    </row>
    <row r="102" spans="1:1" x14ac:dyDescent="0.25">
      <c r="A102" s="290" t="s">
        <v>312</v>
      </c>
    </row>
    <row r="103" spans="1:1" x14ac:dyDescent="0.25">
      <c r="A103" s="290" t="s">
        <v>184</v>
      </c>
    </row>
    <row r="104" spans="1:1" x14ac:dyDescent="0.25">
      <c r="A104" s="290" t="s">
        <v>41</v>
      </c>
    </row>
    <row r="105" spans="1:1" x14ac:dyDescent="0.25">
      <c r="A105" s="290" t="s">
        <v>24</v>
      </c>
    </row>
    <row r="106" spans="1:1" x14ac:dyDescent="0.25">
      <c r="A106" s="290" t="s">
        <v>25</v>
      </c>
    </row>
    <row r="107" spans="1:1" x14ac:dyDescent="0.25">
      <c r="A107" s="290" t="s">
        <v>26</v>
      </c>
    </row>
    <row r="108" spans="1:1" x14ac:dyDescent="0.25">
      <c r="A108" s="290" t="s">
        <v>509</v>
      </c>
    </row>
    <row r="109" spans="1:1" x14ac:dyDescent="0.25">
      <c r="A109" s="290" t="s">
        <v>347</v>
      </c>
    </row>
    <row r="110" spans="1:1" x14ac:dyDescent="0.25">
      <c r="A110" s="290" t="s">
        <v>241</v>
      </c>
    </row>
    <row r="111" spans="1:1" x14ac:dyDescent="0.25">
      <c r="A111" s="290" t="s">
        <v>320</v>
      </c>
    </row>
    <row r="112" spans="1:1" x14ac:dyDescent="0.25">
      <c r="A112" s="290" t="s">
        <v>65</v>
      </c>
    </row>
    <row r="113" spans="1:1" x14ac:dyDescent="0.25">
      <c r="A113" s="290" t="s">
        <v>42</v>
      </c>
    </row>
    <row r="114" spans="1:1" x14ac:dyDescent="0.25">
      <c r="A114" s="290" t="s">
        <v>439</v>
      </c>
    </row>
    <row r="115" spans="1:1" x14ac:dyDescent="0.25">
      <c r="A115" s="290" t="s">
        <v>66</v>
      </c>
    </row>
    <row r="116" spans="1:1" x14ac:dyDescent="0.25">
      <c r="A116" s="290" t="s">
        <v>245</v>
      </c>
    </row>
    <row r="117" spans="1:1" x14ac:dyDescent="0.25">
      <c r="A117" s="290" t="s">
        <v>20</v>
      </c>
    </row>
    <row r="118" spans="1:1" x14ac:dyDescent="0.25">
      <c r="A118" s="290" t="s">
        <v>262</v>
      </c>
    </row>
    <row r="119" spans="1:1" x14ac:dyDescent="0.25">
      <c r="A119" s="290" t="s">
        <v>263</v>
      </c>
    </row>
    <row r="120" spans="1:1" x14ac:dyDescent="0.25">
      <c r="A120" s="290" t="s">
        <v>67</v>
      </c>
    </row>
    <row r="121" spans="1:1" x14ac:dyDescent="0.25">
      <c r="A121" s="290" t="s">
        <v>421</v>
      </c>
    </row>
    <row r="122" spans="1:1" x14ac:dyDescent="0.25">
      <c r="A122" s="290" t="s">
        <v>294</v>
      </c>
    </row>
    <row r="123" spans="1:1" x14ac:dyDescent="0.25">
      <c r="A123" s="290" t="s">
        <v>129</v>
      </c>
    </row>
    <row r="124" spans="1:1" x14ac:dyDescent="0.25">
      <c r="A124" s="290" t="s">
        <v>313</v>
      </c>
    </row>
    <row r="125" spans="1:1" x14ac:dyDescent="0.25">
      <c r="A125" s="290" t="s">
        <v>68</v>
      </c>
    </row>
    <row r="126" spans="1:1" x14ac:dyDescent="0.25">
      <c r="A126" s="290" t="s">
        <v>130</v>
      </c>
    </row>
    <row r="127" spans="1:1" x14ac:dyDescent="0.25">
      <c r="A127" s="290" t="s">
        <v>69</v>
      </c>
    </row>
    <row r="128" spans="1:1" x14ac:dyDescent="0.25">
      <c r="A128" s="290" t="s">
        <v>442</v>
      </c>
    </row>
    <row r="129" spans="1:1" x14ac:dyDescent="0.25">
      <c r="A129" s="290" t="s">
        <v>264</v>
      </c>
    </row>
    <row r="130" spans="1:1" x14ac:dyDescent="0.25">
      <c r="A130" s="290" t="s">
        <v>148</v>
      </c>
    </row>
    <row r="131" spans="1:1" x14ac:dyDescent="0.25">
      <c r="A131" s="290" t="s">
        <v>422</v>
      </c>
    </row>
    <row r="132" spans="1:1" x14ac:dyDescent="0.25">
      <c r="A132" s="290" t="s">
        <v>440</v>
      </c>
    </row>
    <row r="133" spans="1:1" x14ac:dyDescent="0.25">
      <c r="A133" s="290" t="s">
        <v>344</v>
      </c>
    </row>
    <row r="134" spans="1:1" x14ac:dyDescent="0.25">
      <c r="A134" s="290" t="s">
        <v>295</v>
      </c>
    </row>
    <row r="135" spans="1:1" x14ac:dyDescent="0.25">
      <c r="A135" s="290" t="s">
        <v>187</v>
      </c>
    </row>
    <row r="136" spans="1:1" x14ac:dyDescent="0.25">
      <c r="A136" s="290" t="s">
        <v>265</v>
      </c>
    </row>
    <row r="137" spans="1:1" x14ac:dyDescent="0.25">
      <c r="A137" s="290" t="s">
        <v>266</v>
      </c>
    </row>
    <row r="138" spans="1:1" x14ac:dyDescent="0.25">
      <c r="A138" s="290" t="s">
        <v>43</v>
      </c>
    </row>
    <row r="139" spans="1:1" x14ac:dyDescent="0.25">
      <c r="A139" s="290" t="s">
        <v>267</v>
      </c>
    </row>
    <row r="140" spans="1:1" x14ac:dyDescent="0.25">
      <c r="A140" s="290" t="s">
        <v>149</v>
      </c>
    </row>
    <row r="141" spans="1:1" x14ac:dyDescent="0.25">
      <c r="A141" s="290" t="s">
        <v>322</v>
      </c>
    </row>
    <row r="142" spans="1:1" x14ac:dyDescent="0.25">
      <c r="A142" s="290" t="s">
        <v>44</v>
      </c>
    </row>
    <row r="143" spans="1:1" x14ac:dyDescent="0.25">
      <c r="A143" s="290" t="s">
        <v>12</v>
      </c>
    </row>
    <row r="144" spans="1:1" x14ac:dyDescent="0.25">
      <c r="A144" s="290" t="s">
        <v>379</v>
      </c>
    </row>
    <row r="145" spans="1:1" x14ac:dyDescent="0.25">
      <c r="A145" s="290" t="s">
        <v>246</v>
      </c>
    </row>
    <row r="146" spans="1:1" x14ac:dyDescent="0.25">
      <c r="A146" s="290" t="s">
        <v>56</v>
      </c>
    </row>
    <row r="147" spans="1:1" x14ac:dyDescent="0.25">
      <c r="A147" s="290" t="s">
        <v>423</v>
      </c>
    </row>
    <row r="148" spans="1:1" x14ac:dyDescent="0.25">
      <c r="A148" s="290" t="s">
        <v>279</v>
      </c>
    </row>
    <row r="149" spans="1:1" x14ac:dyDescent="0.25">
      <c r="A149" s="290" t="s">
        <v>268</v>
      </c>
    </row>
    <row r="150" spans="1:1" x14ac:dyDescent="0.25">
      <c r="A150" s="290" t="s">
        <v>269</v>
      </c>
    </row>
    <row r="151" spans="1:1" x14ac:dyDescent="0.25">
      <c r="A151" s="290" t="s">
        <v>131</v>
      </c>
    </row>
    <row r="152" spans="1:1" x14ac:dyDescent="0.25">
      <c r="A152" s="290" t="s">
        <v>443</v>
      </c>
    </row>
    <row r="153" spans="1:1" x14ac:dyDescent="0.25">
      <c r="A153" s="290" t="s">
        <v>70</v>
      </c>
    </row>
    <row r="154" spans="1:1" x14ac:dyDescent="0.25">
      <c r="A154" s="290" t="s">
        <v>380</v>
      </c>
    </row>
    <row r="155" spans="1:1" x14ac:dyDescent="0.25">
      <c r="A155" s="290" t="s">
        <v>280</v>
      </c>
    </row>
    <row r="156" spans="1:1" x14ac:dyDescent="0.25">
      <c r="A156" s="290" t="s">
        <v>71</v>
      </c>
    </row>
    <row r="157" spans="1:1" x14ac:dyDescent="0.25">
      <c r="A157" s="290" t="s">
        <v>396</v>
      </c>
    </row>
    <row r="158" spans="1:1" x14ac:dyDescent="0.25">
      <c r="A158" s="290" t="s">
        <v>217</v>
      </c>
    </row>
    <row r="159" spans="1:1" x14ac:dyDescent="0.25">
      <c r="A159" s="290" t="s">
        <v>132</v>
      </c>
    </row>
    <row r="160" spans="1:1" x14ac:dyDescent="0.25">
      <c r="A160" s="290" t="s">
        <v>281</v>
      </c>
    </row>
    <row r="161" spans="1:1" x14ac:dyDescent="0.25">
      <c r="A161" s="290" t="s">
        <v>72</v>
      </c>
    </row>
    <row r="162" spans="1:1" x14ac:dyDescent="0.25">
      <c r="A162" s="290" t="s">
        <v>188</v>
      </c>
    </row>
    <row r="163" spans="1:1" x14ac:dyDescent="0.25">
      <c r="A163" s="290" t="s">
        <v>189</v>
      </c>
    </row>
    <row r="164" spans="1:1" x14ac:dyDescent="0.25">
      <c r="A164" s="290" t="s">
        <v>282</v>
      </c>
    </row>
    <row r="165" spans="1:1" x14ac:dyDescent="0.25">
      <c r="A165" s="290" t="s">
        <v>133</v>
      </c>
    </row>
    <row r="166" spans="1:1" x14ac:dyDescent="0.25">
      <c r="A166" s="290" t="s">
        <v>73</v>
      </c>
    </row>
    <row r="167" spans="1:1" x14ac:dyDescent="0.25">
      <c r="A167" s="290" t="s">
        <v>270</v>
      </c>
    </row>
    <row r="168" spans="1:1" x14ac:dyDescent="0.25">
      <c r="A168" s="290" t="s">
        <v>27</v>
      </c>
    </row>
    <row r="169" spans="1:1" x14ac:dyDescent="0.25">
      <c r="A169" s="290" t="s">
        <v>218</v>
      </c>
    </row>
    <row r="170" spans="1:1" x14ac:dyDescent="0.25">
      <c r="A170" s="290" t="s">
        <v>190</v>
      </c>
    </row>
    <row r="171" spans="1:1" x14ac:dyDescent="0.25">
      <c r="A171" s="290" t="s">
        <v>191</v>
      </c>
    </row>
    <row r="172" spans="1:1" x14ac:dyDescent="0.25">
      <c r="A172" s="290" t="s">
        <v>283</v>
      </c>
    </row>
    <row r="173" spans="1:1" x14ac:dyDescent="0.25">
      <c r="A173" s="290" t="s">
        <v>192</v>
      </c>
    </row>
    <row r="174" spans="1:1" x14ac:dyDescent="0.25">
      <c r="A174" s="290" t="s">
        <v>444</v>
      </c>
    </row>
    <row r="175" spans="1:1" x14ac:dyDescent="0.25">
      <c r="A175" s="290" t="s">
        <v>74</v>
      </c>
    </row>
    <row r="176" spans="1:1" x14ac:dyDescent="0.25">
      <c r="A176" s="290" t="s">
        <v>323</v>
      </c>
    </row>
    <row r="177" spans="1:1" x14ac:dyDescent="0.25">
      <c r="A177" s="290" t="s">
        <v>28</v>
      </c>
    </row>
    <row r="178" spans="1:1" x14ac:dyDescent="0.25">
      <c r="A178" s="290" t="s">
        <v>219</v>
      </c>
    </row>
    <row r="179" spans="1:1" x14ac:dyDescent="0.25">
      <c r="A179" s="290" t="s">
        <v>75</v>
      </c>
    </row>
    <row r="180" spans="1:1" x14ac:dyDescent="0.25">
      <c r="A180" s="290" t="s">
        <v>220</v>
      </c>
    </row>
    <row r="181" spans="1:1" x14ac:dyDescent="0.25">
      <c r="A181" s="290" t="s">
        <v>193</v>
      </c>
    </row>
    <row r="182" spans="1:1" x14ac:dyDescent="0.25">
      <c r="A182" s="290" t="s">
        <v>271</v>
      </c>
    </row>
    <row r="183" spans="1:1" x14ac:dyDescent="0.25">
      <c r="A183" s="290" t="s">
        <v>397</v>
      </c>
    </row>
    <row r="184" spans="1:1" x14ac:dyDescent="0.25">
      <c r="A184" s="290" t="s">
        <v>390</v>
      </c>
    </row>
    <row r="185" spans="1:1" x14ac:dyDescent="0.25">
      <c r="A185" s="290" t="s">
        <v>324</v>
      </c>
    </row>
    <row r="186" spans="1:1" x14ac:dyDescent="0.25">
      <c r="A186" s="290" t="s">
        <v>176</v>
      </c>
    </row>
    <row r="187" spans="1:1" x14ac:dyDescent="0.25">
      <c r="A187" s="290" t="s">
        <v>221</v>
      </c>
    </row>
    <row r="188" spans="1:1" x14ac:dyDescent="0.25">
      <c r="A188" s="290" t="s">
        <v>45</v>
      </c>
    </row>
    <row r="189" spans="1:1" x14ac:dyDescent="0.25">
      <c r="A189" s="290" t="s">
        <v>46</v>
      </c>
    </row>
    <row r="190" spans="1:1" x14ac:dyDescent="0.25">
      <c r="A190" s="290" t="s">
        <v>179</v>
      </c>
    </row>
    <row r="191" spans="1:1" x14ac:dyDescent="0.25">
      <c r="A191" s="290" t="s">
        <v>134</v>
      </c>
    </row>
    <row r="192" spans="1:1" x14ac:dyDescent="0.25">
      <c r="A192" s="290" t="s">
        <v>272</v>
      </c>
    </row>
    <row r="193" spans="1:1" x14ac:dyDescent="0.25">
      <c r="A193" s="290" t="s">
        <v>222</v>
      </c>
    </row>
    <row r="194" spans="1:1" x14ac:dyDescent="0.25">
      <c r="A194" s="290" t="s">
        <v>273</v>
      </c>
    </row>
    <row r="195" spans="1:1" x14ac:dyDescent="0.25">
      <c r="A195" s="290" t="s">
        <v>47</v>
      </c>
    </row>
    <row r="196" spans="1:1" x14ac:dyDescent="0.25">
      <c r="A196" s="290" t="s">
        <v>29</v>
      </c>
    </row>
    <row r="197" spans="1:1" x14ac:dyDescent="0.25">
      <c r="A197" s="290" t="s">
        <v>391</v>
      </c>
    </row>
    <row r="198" spans="1:1" x14ac:dyDescent="0.25">
      <c r="A198" s="290" t="s">
        <v>274</v>
      </c>
    </row>
    <row r="199" spans="1:1" x14ac:dyDescent="0.25">
      <c r="A199" s="290" t="s">
        <v>275</v>
      </c>
    </row>
    <row r="200" spans="1:1" x14ac:dyDescent="0.25">
      <c r="A200" s="290" t="s">
        <v>276</v>
      </c>
    </row>
    <row r="201" spans="1:1" x14ac:dyDescent="0.25">
      <c r="A201" s="290" t="s">
        <v>177</v>
      </c>
    </row>
    <row r="202" spans="1:1" x14ac:dyDescent="0.25">
      <c r="A202" s="290" t="s">
        <v>497</v>
      </c>
    </row>
    <row r="203" spans="1:1" x14ac:dyDescent="0.25">
      <c r="A203" s="290" t="s">
        <v>178</v>
      </c>
    </row>
    <row r="204" spans="1:1" x14ac:dyDescent="0.25">
      <c r="A204" s="290" t="s">
        <v>13</v>
      </c>
    </row>
    <row r="205" spans="1:1" x14ac:dyDescent="0.25">
      <c r="A205" s="290" t="s">
        <v>48</v>
      </c>
    </row>
    <row r="206" spans="1:1" x14ac:dyDescent="0.25">
      <c r="A206" s="290" t="s">
        <v>49</v>
      </c>
    </row>
    <row r="207" spans="1:1" x14ac:dyDescent="0.25">
      <c r="A207" s="290" t="s">
        <v>277</v>
      </c>
    </row>
    <row r="208" spans="1:1" x14ac:dyDescent="0.25">
      <c r="A208" s="290" t="s">
        <v>150</v>
      </c>
    </row>
    <row r="209" spans="1:1" x14ac:dyDescent="0.25">
      <c r="A209" s="290" t="s">
        <v>14</v>
      </c>
    </row>
    <row r="210" spans="1:1" x14ac:dyDescent="0.25">
      <c r="A210" s="290" t="s">
        <v>135</v>
      </c>
    </row>
    <row r="211" spans="1:1" x14ac:dyDescent="0.25">
      <c r="A211" s="290" t="s">
        <v>57</v>
      </c>
    </row>
    <row r="212" spans="1:1" x14ac:dyDescent="0.25">
      <c r="A212" s="290" t="s">
        <v>499</v>
      </c>
    </row>
    <row r="213" spans="1:1" x14ac:dyDescent="0.25">
      <c r="A213" s="290" t="s">
        <v>445</v>
      </c>
    </row>
    <row r="214" spans="1:1" x14ac:dyDescent="0.25">
      <c r="A214" s="290" t="s">
        <v>381</v>
      </c>
    </row>
    <row r="215" spans="1:1" x14ac:dyDescent="0.25">
      <c r="A215" s="290" t="s">
        <v>248</v>
      </c>
    </row>
    <row r="216" spans="1:1" x14ac:dyDescent="0.25">
      <c r="A216" s="290" t="s">
        <v>255</v>
      </c>
    </row>
    <row r="217" spans="1:1" x14ac:dyDescent="0.25">
      <c r="A217" s="290" t="s">
        <v>366</v>
      </c>
    </row>
    <row r="218" spans="1:1" x14ac:dyDescent="0.25">
      <c r="A218" s="290" t="s">
        <v>207</v>
      </c>
    </row>
    <row r="219" spans="1:1" x14ac:dyDescent="0.25">
      <c r="A219" s="290" t="s">
        <v>60</v>
      </c>
    </row>
    <row r="220" spans="1:1" x14ac:dyDescent="0.25">
      <c r="A220" s="290" t="s">
        <v>36</v>
      </c>
    </row>
    <row r="221" spans="1:1" x14ac:dyDescent="0.25">
      <c r="A221" s="290" t="s">
        <v>373</v>
      </c>
    </row>
    <row r="222" spans="1:1" x14ac:dyDescent="0.25">
      <c r="A222" s="290" t="s">
        <v>156</v>
      </c>
    </row>
    <row r="223" spans="1:1" x14ac:dyDescent="0.25">
      <c r="A223" s="290" t="s">
        <v>151</v>
      </c>
    </row>
    <row r="224" spans="1:1" x14ac:dyDescent="0.25">
      <c r="A224" s="290" t="s">
        <v>194</v>
      </c>
    </row>
    <row r="225" spans="1:1" x14ac:dyDescent="0.25">
      <c r="A225" s="290" t="s">
        <v>242</v>
      </c>
    </row>
    <row r="226" spans="1:1" x14ac:dyDescent="0.25">
      <c r="A226" s="290" t="s">
        <v>243</v>
      </c>
    </row>
    <row r="227" spans="1:1" x14ac:dyDescent="0.25">
      <c r="A227" s="290" t="s">
        <v>157</v>
      </c>
    </row>
    <row r="228" spans="1:1" x14ac:dyDescent="0.25">
      <c r="A228" s="290" t="s">
        <v>371</v>
      </c>
    </row>
    <row r="229" spans="1:1" x14ac:dyDescent="0.25">
      <c r="A229" s="290" t="s">
        <v>314</v>
      </c>
    </row>
    <row r="230" spans="1:1" x14ac:dyDescent="0.25">
      <c r="A230" s="290" t="s">
        <v>152</v>
      </c>
    </row>
    <row r="231" spans="1:1" x14ac:dyDescent="0.25">
      <c r="A231" s="290" t="s">
        <v>382</v>
      </c>
    </row>
    <row r="232" spans="1:1" x14ac:dyDescent="0.25">
      <c r="A232" s="290" t="s">
        <v>7</v>
      </c>
    </row>
    <row r="233" spans="1:1" x14ac:dyDescent="0.25">
      <c r="A233" s="290" t="s">
        <v>195</v>
      </c>
    </row>
    <row r="234" spans="1:1" x14ac:dyDescent="0.25">
      <c r="A234" s="290" t="s">
        <v>411</v>
      </c>
    </row>
    <row r="235" spans="1:1" x14ac:dyDescent="0.25">
      <c r="A235" s="290" t="s">
        <v>136</v>
      </c>
    </row>
    <row r="236" spans="1:1" x14ac:dyDescent="0.25">
      <c r="A236" s="290" t="s">
        <v>137</v>
      </c>
    </row>
    <row r="237" spans="1:1" x14ac:dyDescent="0.25">
      <c r="A237" s="290" t="s">
        <v>30</v>
      </c>
    </row>
    <row r="238" spans="1:1" x14ac:dyDescent="0.25">
      <c r="A238" s="290" t="s">
        <v>196</v>
      </c>
    </row>
    <row r="239" spans="1:1" x14ac:dyDescent="0.25">
      <c r="A239" s="290" t="s">
        <v>8</v>
      </c>
    </row>
    <row r="240" spans="1:1" x14ac:dyDescent="0.25">
      <c r="A240" s="290" t="s">
        <v>197</v>
      </c>
    </row>
    <row r="241" spans="1:1" x14ac:dyDescent="0.25">
      <c r="A241" s="290" t="s">
        <v>180</v>
      </c>
    </row>
    <row r="242" spans="1:1" x14ac:dyDescent="0.25">
      <c r="A242" s="290" t="s">
        <v>325</v>
      </c>
    </row>
    <row r="243" spans="1:1" x14ac:dyDescent="0.25">
      <c r="A243" s="290" t="s">
        <v>412</v>
      </c>
    </row>
    <row r="244" spans="1:1" x14ac:dyDescent="0.25">
      <c r="A244" s="290" t="s">
        <v>446</v>
      </c>
    </row>
    <row r="245" spans="1:1" x14ac:dyDescent="0.25">
      <c r="A245" s="290" t="s">
        <v>50</v>
      </c>
    </row>
    <row r="246" spans="1:1" x14ac:dyDescent="0.25">
      <c r="A246" s="290" t="s">
        <v>9</v>
      </c>
    </row>
    <row r="247" spans="1:1" x14ac:dyDescent="0.25">
      <c r="A247" s="290" t="s">
        <v>10</v>
      </c>
    </row>
    <row r="248" spans="1:1" x14ac:dyDescent="0.25">
      <c r="A248" s="290" t="s">
        <v>326</v>
      </c>
    </row>
    <row r="249" spans="1:1" x14ac:dyDescent="0.25">
      <c r="A249" s="290" t="s">
        <v>278</v>
      </c>
    </row>
    <row r="250" spans="1:1" x14ac:dyDescent="0.25">
      <c r="A250" s="290" t="s">
        <v>15</v>
      </c>
    </row>
    <row r="251" spans="1:1" x14ac:dyDescent="0.25">
      <c r="A251" s="290" t="s">
        <v>11</v>
      </c>
    </row>
    <row r="252" spans="1:1" x14ac:dyDescent="0.25">
      <c r="A252" s="290" t="s">
        <v>413</v>
      </c>
    </row>
    <row r="253" spans="1:1" x14ac:dyDescent="0.25">
      <c r="A253" s="290" t="s">
        <v>447</v>
      </c>
    </row>
    <row r="254" spans="1:1" x14ac:dyDescent="0.25">
      <c r="A254" s="290" t="s">
        <v>315</v>
      </c>
    </row>
    <row r="255" spans="1:1" x14ac:dyDescent="0.25">
      <c r="A255" s="290" t="s">
        <v>511</v>
      </c>
    </row>
    <row r="256" spans="1:1" x14ac:dyDescent="0.25">
      <c r="A256" s="290" t="s">
        <v>383</v>
      </c>
    </row>
    <row r="257" spans="1:1" x14ac:dyDescent="0.25">
      <c r="A257" s="290" t="s">
        <v>414</v>
      </c>
    </row>
    <row r="258" spans="1:1" x14ac:dyDescent="0.25">
      <c r="A258" s="290" t="s">
        <v>498</v>
      </c>
    </row>
    <row r="259" spans="1:1" x14ac:dyDescent="0.25">
      <c r="A259" s="290" t="s">
        <v>200</v>
      </c>
    </row>
    <row r="260" spans="1:1" x14ac:dyDescent="0.25">
      <c r="A260" s="290" t="s">
        <v>327</v>
      </c>
    </row>
    <row r="261" spans="1:1" x14ac:dyDescent="0.25">
      <c r="A261" s="290" t="s">
        <v>58</v>
      </c>
    </row>
    <row r="262" spans="1:1" x14ac:dyDescent="0.25">
      <c r="A262" s="290" t="s">
        <v>201</v>
      </c>
    </row>
    <row r="263" spans="1:1" x14ac:dyDescent="0.25">
      <c r="A263" s="290" t="s">
        <v>31</v>
      </c>
    </row>
    <row r="264" spans="1:1" x14ac:dyDescent="0.25">
      <c r="A264" s="290" t="s">
        <v>198</v>
      </c>
    </row>
    <row r="265" spans="1:1" x14ac:dyDescent="0.25">
      <c r="A265" s="290" t="s">
        <v>223</v>
      </c>
    </row>
    <row r="266" spans="1:1" x14ac:dyDescent="0.25">
      <c r="A266" s="290" t="s">
        <v>138</v>
      </c>
    </row>
    <row r="267" spans="1:1" x14ac:dyDescent="0.25">
      <c r="A267" s="290" t="s">
        <v>330</v>
      </c>
    </row>
    <row r="268" spans="1:1" x14ac:dyDescent="0.25">
      <c r="A268" s="290" t="s">
        <v>331</v>
      </c>
    </row>
    <row r="269" spans="1:1" x14ac:dyDescent="0.25">
      <c r="A269" s="290" t="s">
        <v>153</v>
      </c>
    </row>
    <row r="270" spans="1:1" x14ac:dyDescent="0.25">
      <c r="A270" s="290" t="s">
        <v>78</v>
      </c>
    </row>
    <row r="271" spans="1:1" x14ac:dyDescent="0.25">
      <c r="A271" s="290" t="s">
        <v>139</v>
      </c>
    </row>
    <row r="272" spans="1:1" x14ac:dyDescent="0.25">
      <c r="A272" s="290" t="s">
        <v>154</v>
      </c>
    </row>
    <row r="273" spans="1:1" x14ac:dyDescent="0.25">
      <c r="A273" s="290" t="s">
        <v>332</v>
      </c>
    </row>
    <row r="274" spans="1:1" x14ac:dyDescent="0.25">
      <c r="A274" s="290" t="s">
        <v>316</v>
      </c>
    </row>
    <row r="275" spans="1:1" x14ac:dyDescent="0.25">
      <c r="A275" s="290" t="s">
        <v>384</v>
      </c>
    </row>
    <row r="276" spans="1:1" x14ac:dyDescent="0.25">
      <c r="A276" s="290" t="s">
        <v>317</v>
      </c>
    </row>
    <row r="277" spans="1:1" x14ac:dyDescent="0.25">
      <c r="A277" s="290" t="s">
        <v>166</v>
      </c>
    </row>
    <row r="278" spans="1:1" x14ac:dyDescent="0.25">
      <c r="A278" s="290" t="s">
        <v>167</v>
      </c>
    </row>
    <row r="279" spans="1:1" x14ac:dyDescent="0.25">
      <c r="A279" s="290" t="s">
        <v>202</v>
      </c>
    </row>
    <row r="280" spans="1:1" x14ac:dyDescent="0.25">
      <c r="A280" s="290" t="s">
        <v>501</v>
      </c>
    </row>
    <row r="281" spans="1:1" x14ac:dyDescent="0.25">
      <c r="A281" s="290" t="s">
        <v>451</v>
      </c>
    </row>
    <row r="282" spans="1:1" x14ac:dyDescent="0.25">
      <c r="A282" s="290" t="s">
        <v>224</v>
      </c>
    </row>
    <row r="283" spans="1:1" x14ac:dyDescent="0.25">
      <c r="A283" s="290" t="s">
        <v>225</v>
      </c>
    </row>
    <row r="284" spans="1:1" x14ac:dyDescent="0.25">
      <c r="A284" s="290" t="s">
        <v>203</v>
      </c>
    </row>
    <row r="285" spans="1:1" x14ac:dyDescent="0.25">
      <c r="A285" s="290" t="s">
        <v>158</v>
      </c>
    </row>
    <row r="286" spans="1:1" x14ac:dyDescent="0.25">
      <c r="A286" s="290" t="s">
        <v>16</v>
      </c>
    </row>
    <row r="287" spans="1:1" x14ac:dyDescent="0.25">
      <c r="A287" s="290" t="s">
        <v>204</v>
      </c>
    </row>
    <row r="288" spans="1:1" x14ac:dyDescent="0.25">
      <c r="A288" s="290" t="s">
        <v>205</v>
      </c>
    </row>
    <row r="289" spans="1:1" x14ac:dyDescent="0.25">
      <c r="A289" s="290" t="s">
        <v>226</v>
      </c>
    </row>
    <row r="290" spans="1:1" x14ac:dyDescent="0.25">
      <c r="A290" s="290" t="s">
        <v>32</v>
      </c>
    </row>
    <row r="291" spans="1:1" x14ac:dyDescent="0.25">
      <c r="A291" s="290" t="s">
        <v>227</v>
      </c>
    </row>
    <row r="292" spans="1:1" x14ac:dyDescent="0.25">
      <c r="A292" s="290" t="s">
        <v>206</v>
      </c>
    </row>
    <row r="293" spans="1:1" x14ac:dyDescent="0.25">
      <c r="A293" s="290" t="s">
        <v>452</v>
      </c>
    </row>
    <row r="294" spans="1:1" x14ac:dyDescent="0.25">
      <c r="A294" s="290" t="s">
        <v>79</v>
      </c>
    </row>
    <row r="295" spans="1:1" x14ac:dyDescent="0.25">
      <c r="A295" s="290" t="s">
        <v>256</v>
      </c>
    </row>
    <row r="296" spans="1:1" x14ac:dyDescent="0.25">
      <c r="A296" s="290" t="s">
        <v>199</v>
      </c>
    </row>
    <row r="297" spans="1:1" x14ac:dyDescent="0.25">
      <c r="A297" s="290" t="s">
        <v>140</v>
      </c>
    </row>
    <row r="298" spans="1:1" x14ac:dyDescent="0.25">
      <c r="A298" s="290" t="s">
        <v>159</v>
      </c>
    </row>
    <row r="299" spans="1:1" x14ac:dyDescent="0.25">
      <c r="A299" s="290" t="s">
        <v>333</v>
      </c>
    </row>
    <row r="300" spans="1:1" x14ac:dyDescent="0.25">
      <c r="A300" s="290" t="s">
        <v>346</v>
      </c>
    </row>
    <row r="301" spans="1:1" x14ac:dyDescent="0.25">
      <c r="A301" s="290" t="s">
        <v>160</v>
      </c>
    </row>
    <row r="302" spans="1:1" x14ac:dyDescent="0.25">
      <c r="A302" s="290" t="s">
        <v>257</v>
      </c>
    </row>
    <row r="303" spans="1:1" x14ac:dyDescent="0.25">
      <c r="A303" s="290" t="s">
        <v>448</v>
      </c>
    </row>
    <row r="304" spans="1:1" x14ac:dyDescent="0.25">
      <c r="A304" s="290" t="s">
        <v>168</v>
      </c>
    </row>
    <row r="305" spans="1:1" x14ac:dyDescent="0.25">
      <c r="A305" s="290" t="s">
        <v>359</v>
      </c>
    </row>
    <row r="306" spans="1:1" x14ac:dyDescent="0.25">
      <c r="A306" s="290" t="s">
        <v>164</v>
      </c>
    </row>
    <row r="307" spans="1:1" x14ac:dyDescent="0.25">
      <c r="A307" s="290" t="s">
        <v>169</v>
      </c>
    </row>
    <row r="308" spans="1:1" x14ac:dyDescent="0.25">
      <c r="A308" s="290" t="s">
        <v>33</v>
      </c>
    </row>
    <row r="309" spans="1:1" x14ac:dyDescent="0.25">
      <c r="A309" s="290" t="s">
        <v>171</v>
      </c>
    </row>
    <row r="310" spans="1:1" x14ac:dyDescent="0.25">
      <c r="A310" s="290" t="s">
        <v>254</v>
      </c>
    </row>
    <row r="311" spans="1:1" x14ac:dyDescent="0.25">
      <c r="A311" s="290" t="s">
        <v>360</v>
      </c>
    </row>
    <row r="312" spans="1:1" x14ac:dyDescent="0.25">
      <c r="A312" s="290" t="s">
        <v>328</v>
      </c>
    </row>
    <row r="313" spans="1:1" x14ac:dyDescent="0.25">
      <c r="A313" s="290" t="s">
        <v>141</v>
      </c>
    </row>
    <row r="314" spans="1:1" x14ac:dyDescent="0.25">
      <c r="A314" s="290" t="s">
        <v>21</v>
      </c>
    </row>
    <row r="315" spans="1:1" x14ac:dyDescent="0.25">
      <c r="A315" s="290" t="s">
        <v>22</v>
      </c>
    </row>
    <row r="316" spans="1:1" x14ac:dyDescent="0.25">
      <c r="A316" s="290" t="s">
        <v>453</v>
      </c>
    </row>
    <row r="317" spans="1:1" x14ac:dyDescent="0.25">
      <c r="A317" s="290" t="s">
        <v>228</v>
      </c>
    </row>
    <row r="318" spans="1:1" x14ac:dyDescent="0.25">
      <c r="A318" s="290" t="s">
        <v>37</v>
      </c>
    </row>
    <row r="319" spans="1:1" x14ac:dyDescent="0.25">
      <c r="A319" s="290" t="s">
        <v>367</v>
      </c>
    </row>
    <row r="320" spans="1:1" x14ac:dyDescent="0.25">
      <c r="A320" s="290" t="s">
        <v>155</v>
      </c>
    </row>
    <row r="321" spans="1:1" x14ac:dyDescent="0.25">
      <c r="A321" s="290" t="s">
        <v>415</v>
      </c>
    </row>
    <row r="322" spans="1:1" x14ac:dyDescent="0.25">
      <c r="A322" s="290" t="s">
        <v>392</v>
      </c>
    </row>
    <row r="323" spans="1:1" x14ac:dyDescent="0.25">
      <c r="A323" s="290" t="s">
        <v>393</v>
      </c>
    </row>
    <row r="324" spans="1:1" x14ac:dyDescent="0.25">
      <c r="A324" s="290" t="s">
        <v>361</v>
      </c>
    </row>
    <row r="325" spans="1:1" x14ac:dyDescent="0.25">
      <c r="A325" s="290" t="s">
        <v>362</v>
      </c>
    </row>
    <row r="326" spans="1:1" x14ac:dyDescent="0.25">
      <c r="A326" s="290" t="s">
        <v>142</v>
      </c>
    </row>
    <row r="327" spans="1:1" x14ac:dyDescent="0.25">
      <c r="A327" s="290" t="s">
        <v>394</v>
      </c>
    </row>
    <row r="328" spans="1:1" x14ac:dyDescent="0.25">
      <c r="A328" s="290" t="s">
        <v>343</v>
      </c>
    </row>
    <row r="329" spans="1:1" x14ac:dyDescent="0.25">
      <c r="A329" s="290" t="s">
        <v>208</v>
      </c>
    </row>
    <row r="330" spans="1:1" x14ac:dyDescent="0.25">
      <c r="A330" s="290" t="s">
        <v>172</v>
      </c>
    </row>
    <row r="331" spans="1:1" x14ac:dyDescent="0.25">
      <c r="A331" s="290" t="s">
        <v>329</v>
      </c>
    </row>
    <row r="332" spans="1:1" x14ac:dyDescent="0.25">
      <c r="A332" s="290" t="s">
        <v>209</v>
      </c>
    </row>
    <row r="333" spans="1:1" x14ac:dyDescent="0.25">
      <c r="A333" s="290" t="s">
        <v>368</v>
      </c>
    </row>
    <row r="334" spans="1:1" x14ac:dyDescent="0.25">
      <c r="A334" s="290" t="s">
        <v>59</v>
      </c>
    </row>
    <row r="335" spans="1:1" x14ac:dyDescent="0.25">
      <c r="A335" s="290" t="s">
        <v>165</v>
      </c>
    </row>
    <row r="336" spans="1:1" x14ac:dyDescent="0.25">
      <c r="A336" s="290" t="s">
        <v>454</v>
      </c>
    </row>
    <row r="337" spans="1:1" x14ac:dyDescent="0.25">
      <c r="A337" s="290" t="s">
        <v>210</v>
      </c>
    </row>
    <row r="338" spans="1:1" x14ac:dyDescent="0.25">
      <c r="A338" s="290" t="s">
        <v>455</v>
      </c>
    </row>
    <row r="339" spans="1:1" x14ac:dyDescent="0.25">
      <c r="A339" s="290" t="s">
        <v>143</v>
      </c>
    </row>
    <row r="340" spans="1:1" x14ac:dyDescent="0.25">
      <c r="A340" s="290" t="s">
        <v>369</v>
      </c>
    </row>
    <row r="341" spans="1:1" x14ac:dyDescent="0.25">
      <c r="A341" s="290" t="s">
        <v>34</v>
      </c>
    </row>
    <row r="342" spans="1:1" x14ac:dyDescent="0.25">
      <c r="A342" s="290" t="s">
        <v>495</v>
      </c>
    </row>
    <row r="343" spans="1:1" x14ac:dyDescent="0.25">
      <c r="A343" s="290" t="s">
        <v>363</v>
      </c>
    </row>
    <row r="344" spans="1:1" x14ac:dyDescent="0.25">
      <c r="A344" s="290" t="s">
        <v>370</v>
      </c>
    </row>
    <row r="345" spans="1:1" x14ac:dyDescent="0.25">
      <c r="A345" s="290" t="s">
        <v>17</v>
      </c>
    </row>
    <row r="346" spans="1:1" x14ac:dyDescent="0.25">
      <c r="A346" s="290" t="s">
        <v>456</v>
      </c>
    </row>
    <row r="347" spans="1:1" x14ac:dyDescent="0.25">
      <c r="A347" s="290" t="s">
        <v>18</v>
      </c>
    </row>
    <row r="348" spans="1:1" x14ac:dyDescent="0.25">
      <c r="A348" s="290" t="s">
        <v>318</v>
      </c>
    </row>
    <row r="349" spans="1:1" x14ac:dyDescent="0.25">
      <c r="A349" s="290" t="s">
        <v>500</v>
      </c>
    </row>
    <row r="350" spans="1:1" x14ac:dyDescent="0.25">
      <c r="A350" s="290" t="s">
        <v>449</v>
      </c>
    </row>
    <row r="351" spans="1:1" x14ac:dyDescent="0.25">
      <c r="A351" s="290" t="s">
        <v>173</v>
      </c>
    </row>
    <row r="352" spans="1:1" x14ac:dyDescent="0.25">
      <c r="A352" s="290" t="s">
        <v>450</v>
      </c>
    </row>
    <row r="353" spans="1:1" x14ac:dyDescent="0.25">
      <c r="A353" s="290" t="s">
        <v>385</v>
      </c>
    </row>
    <row r="354" spans="1:1" x14ac:dyDescent="0.25">
      <c r="A354" s="290" t="s">
        <v>386</v>
      </c>
    </row>
    <row r="355" spans="1:1" x14ac:dyDescent="0.25">
      <c r="A355" s="290" t="s">
        <v>364</v>
      </c>
    </row>
    <row r="356" spans="1:1" x14ac:dyDescent="0.25">
      <c r="A356" s="290" t="s">
        <v>61</v>
      </c>
    </row>
    <row r="357" spans="1:1" x14ac:dyDescent="0.25">
      <c r="A357" s="290" t="s">
        <v>62</v>
      </c>
    </row>
    <row r="358" spans="1:1" x14ac:dyDescent="0.25">
      <c r="A358" s="290" t="s">
        <v>372</v>
      </c>
    </row>
    <row r="359" spans="1:1" x14ac:dyDescent="0.25">
      <c r="A359" s="290" t="s">
        <v>345</v>
      </c>
    </row>
    <row r="360" spans="1:1" x14ac:dyDescent="0.25">
      <c r="A360" s="290" t="s">
        <v>144</v>
      </c>
    </row>
    <row r="361" spans="1:1" x14ac:dyDescent="0.25">
      <c r="A361" s="290" t="s">
        <v>38</v>
      </c>
    </row>
    <row r="362" spans="1:1" x14ac:dyDescent="0.25">
      <c r="A362" s="290" t="s">
        <v>365</v>
      </c>
    </row>
    <row r="363" spans="1:1" x14ac:dyDescent="0.25">
      <c r="A363" s="290" t="s">
        <v>235</v>
      </c>
    </row>
    <row r="364" spans="1:1" x14ac:dyDescent="0.25">
      <c r="A364" s="290" t="s">
        <v>19</v>
      </c>
    </row>
    <row r="365" spans="1:1" x14ac:dyDescent="0.25">
      <c r="A365" s="290" t="s">
        <v>170</v>
      </c>
    </row>
    <row r="366" spans="1:1" x14ac:dyDescent="0.25">
      <c r="A366" s="290" t="s">
        <v>35</v>
      </c>
    </row>
    <row r="367" spans="1:1" x14ac:dyDescent="0.25">
      <c r="A367" s="290" t="s">
        <v>39</v>
      </c>
    </row>
    <row r="368" spans="1:1" x14ac:dyDescent="0.25">
      <c r="A368" s="290" t="s">
        <v>145</v>
      </c>
    </row>
    <row r="369" spans="1:1" x14ac:dyDescent="0.25">
      <c r="A369" s="290" t="s">
        <v>211</v>
      </c>
    </row>
    <row r="370" spans="1:1" x14ac:dyDescent="0.25">
      <c r="A370" s="290" t="s">
        <v>236</v>
      </c>
    </row>
    <row r="371" spans="1:1" x14ac:dyDescent="0.25">
      <c r="A371" s="290" t="s">
        <v>319</v>
      </c>
    </row>
    <row r="372" spans="1:1" x14ac:dyDescent="0.25">
      <c r="A372" s="290" t="s">
        <v>387</v>
      </c>
    </row>
    <row r="373" spans="1:1" x14ac:dyDescent="0.25">
      <c r="A373" s="290" t="s">
        <v>438</v>
      </c>
    </row>
    <row r="374" spans="1:1" x14ac:dyDescent="0.25">
      <c r="A374" s="290" t="s">
        <v>237</v>
      </c>
    </row>
    <row r="375" spans="1:1" x14ac:dyDescent="0.25">
      <c r="A375" s="290" t="s">
        <v>496</v>
      </c>
    </row>
    <row r="376" spans="1:1" x14ac:dyDescent="0.25">
      <c r="A376" s="290" t="s">
        <v>238</v>
      </c>
    </row>
    <row r="377" spans="1:1" x14ac:dyDescent="0.25">
      <c r="A377" s="290" t="s">
        <v>186</v>
      </c>
    </row>
    <row r="378" spans="1:1" x14ac:dyDescent="0.25">
      <c r="A378" s="290" t="s">
        <v>185</v>
      </c>
    </row>
    <row r="379" spans="1:1" x14ac:dyDescent="0.25">
      <c r="A379" s="290" t="s">
        <v>81</v>
      </c>
    </row>
  </sheetData>
  <sheetProtection sheet="1" objects="1" scenarios="1"/>
  <protectedRanges>
    <protectedRange sqref="A62:A417 B11:B12 B16:E17 B24 B28 B32:B33 B37:B38 G37 B42:B43 B49:B51 B58 B59 B5:B8" name="Plage1"/>
  </protectedRanges>
  <sortState ref="A56:A373">
    <sortCondition ref="A56"/>
  </sortState>
  <phoneticPr fontId="6" type="noConversion"/>
  <printOptions horizontalCentered="1"/>
  <pageMargins left="0" right="0" top="0" bottom="0" header="0.51181102362204722" footer="0.51181102362204722"/>
  <pageSetup paperSize="9" orientation="landscape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53"/>
  <sheetViews>
    <sheetView workbookViewId="0"/>
  </sheetViews>
  <sheetFormatPr baseColWidth="10" defaultColWidth="11" defaultRowHeight="15" x14ac:dyDescent="0.25"/>
  <cols>
    <col min="1" max="1" width="9.375" style="24" customWidth="1"/>
    <col min="2" max="2" width="22.25" style="24" customWidth="1"/>
    <col min="3" max="3" width="13.375" style="24" customWidth="1"/>
    <col min="4" max="4" width="11.125" style="24" bestFit="1" customWidth="1"/>
    <col min="5" max="5" width="13" style="24" customWidth="1"/>
    <col min="6" max="7" width="12.375" style="24" customWidth="1"/>
    <col min="8" max="9" width="13" style="24" bestFit="1" customWidth="1"/>
    <col min="10" max="10" width="3.5" style="24" customWidth="1"/>
    <col min="11" max="16384" width="11" style="24"/>
  </cols>
  <sheetData>
    <row r="1" spans="1:9" ht="21" x14ac:dyDescent="0.25">
      <c r="A1" s="86" t="s">
        <v>375</v>
      </c>
      <c r="B1" s="74"/>
      <c r="C1" s="123"/>
      <c r="D1" s="123"/>
      <c r="E1" s="123"/>
      <c r="F1" s="123"/>
      <c r="G1" s="123"/>
      <c r="H1" s="123"/>
      <c r="I1" s="123"/>
    </row>
    <row r="3" spans="1:9" x14ac:dyDescent="0.25">
      <c r="A3" s="215" t="s">
        <v>54</v>
      </c>
      <c r="B3" s="216"/>
      <c r="C3" s="217" t="s">
        <v>527</v>
      </c>
      <c r="D3" s="217" t="s">
        <v>461</v>
      </c>
      <c r="E3" s="123"/>
      <c r="F3" s="123"/>
      <c r="G3" s="123"/>
      <c r="H3" s="123"/>
      <c r="I3" s="123"/>
    </row>
    <row r="4" spans="1:9" x14ac:dyDescent="0.25">
      <c r="A4" s="134" t="s">
        <v>121</v>
      </c>
      <c r="B4" s="135"/>
      <c r="C4" s="21">
        <f>E334</f>
        <v>614707254</v>
      </c>
      <c r="D4" s="65"/>
      <c r="E4" s="123"/>
      <c r="F4" s="123"/>
      <c r="G4" s="123"/>
      <c r="H4" s="123"/>
      <c r="I4" s="123"/>
    </row>
    <row r="5" spans="1:9" x14ac:dyDescent="0.25">
      <c r="A5" s="140" t="s">
        <v>488</v>
      </c>
      <c r="B5" s="77"/>
      <c r="C5" s="18">
        <v>0</v>
      </c>
      <c r="D5" s="63">
        <f>C5/$C$334</f>
        <v>0</v>
      </c>
      <c r="E5" s="123"/>
      <c r="F5" s="123"/>
      <c r="G5" s="123"/>
      <c r="H5" s="123"/>
      <c r="I5" s="123"/>
    </row>
    <row r="6" spans="1:9" x14ac:dyDescent="0.25">
      <c r="A6" s="140" t="s">
        <v>487</v>
      </c>
      <c r="B6" s="77"/>
      <c r="C6" s="18">
        <f>Paramètres!B32</f>
        <v>6468177</v>
      </c>
      <c r="D6" s="357">
        <f t="shared" ref="D6:D8" si="0">C6/$C$334</f>
        <v>0.19525195538181583</v>
      </c>
      <c r="E6" s="123"/>
      <c r="F6" s="123"/>
      <c r="G6" s="123"/>
      <c r="H6" s="123"/>
      <c r="I6" s="123"/>
    </row>
    <row r="7" spans="1:9" x14ac:dyDescent="0.25">
      <c r="A7" s="140" t="s">
        <v>122</v>
      </c>
      <c r="B7" s="77"/>
      <c r="C7" s="18">
        <f>'I) Dépenses thématiques'!O323</f>
        <v>-132509337</v>
      </c>
      <c r="D7" s="357">
        <f t="shared" si="0"/>
        <v>-3.9999998694528611</v>
      </c>
      <c r="E7" s="123"/>
      <c r="F7" s="123"/>
      <c r="G7" s="123"/>
      <c r="H7" s="123"/>
      <c r="I7" s="123"/>
    </row>
    <row r="8" spans="1:9" x14ac:dyDescent="0.25">
      <c r="A8" s="142" t="s">
        <v>321</v>
      </c>
      <c r="B8" s="201"/>
      <c r="C8" s="43">
        <f>Paramètres!B33</f>
        <v>-450000</v>
      </c>
      <c r="D8" s="357">
        <f t="shared" si="0"/>
        <v>-1.3583947984388356E-2</v>
      </c>
      <c r="E8" s="123"/>
      <c r="F8" s="123"/>
      <c r="G8" s="123"/>
      <c r="H8" s="123"/>
      <c r="I8" s="123"/>
    </row>
    <row r="9" spans="1:9" x14ac:dyDescent="0.25">
      <c r="A9" s="142" t="s">
        <v>405</v>
      </c>
      <c r="B9" s="201"/>
      <c r="C9" s="43">
        <f>SUM(C5:C8)</f>
        <v>-126491160</v>
      </c>
      <c r="D9" s="45">
        <f>SUM(D5:D8)</f>
        <v>-3.8183318620554338</v>
      </c>
      <c r="E9" s="123"/>
      <c r="F9" s="123"/>
      <c r="G9" s="123"/>
      <c r="H9" s="123"/>
      <c r="I9" s="123"/>
    </row>
    <row r="10" spans="1:9" x14ac:dyDescent="0.25">
      <c r="A10" s="134" t="s">
        <v>493</v>
      </c>
      <c r="B10" s="135"/>
      <c r="C10" s="43">
        <f>-SUM(C4:C8)</f>
        <v>-488216094</v>
      </c>
      <c r="D10" s="45">
        <f>C10/$C$334</f>
        <v>-14.73756005786057</v>
      </c>
      <c r="E10" s="123"/>
      <c r="F10" s="123"/>
      <c r="G10" s="123"/>
      <c r="H10" s="123"/>
      <c r="I10" s="123"/>
    </row>
    <row r="11" spans="1:9" x14ac:dyDescent="0.25">
      <c r="A11" s="134" t="s">
        <v>404</v>
      </c>
      <c r="B11" s="136"/>
      <c r="C11" s="43">
        <f>C9+C10</f>
        <v>-614707254</v>
      </c>
      <c r="D11" s="45">
        <f>D10+D9</f>
        <v>-18.555891919916004</v>
      </c>
      <c r="E11" s="123"/>
      <c r="F11" s="123"/>
      <c r="G11" s="123"/>
      <c r="H11" s="123"/>
      <c r="I11" s="123"/>
    </row>
    <row r="14" spans="1:9" ht="60" customHeight="1" x14ac:dyDescent="0.25">
      <c r="A14" s="435" t="s">
        <v>53</v>
      </c>
      <c r="B14" s="435" t="s">
        <v>123</v>
      </c>
      <c r="C14" s="435" t="s">
        <v>489</v>
      </c>
      <c r="D14" s="454" t="s">
        <v>350</v>
      </c>
      <c r="E14" s="109" t="s">
        <v>121</v>
      </c>
      <c r="F14" s="109" t="s">
        <v>403</v>
      </c>
      <c r="G14" s="109" t="s">
        <v>492</v>
      </c>
      <c r="H14" s="109" t="s">
        <v>342</v>
      </c>
      <c r="I14" s="109" t="s">
        <v>460</v>
      </c>
    </row>
    <row r="15" spans="1:9" x14ac:dyDescent="0.25">
      <c r="A15" s="437"/>
      <c r="B15" s="437"/>
      <c r="C15" s="436"/>
      <c r="D15" s="461"/>
      <c r="E15" s="356">
        <f>-D9+F15+G15</f>
        <v>18.555891905098232</v>
      </c>
      <c r="F15" s="211">
        <f>F334/C334</f>
        <v>11.789700140249989</v>
      </c>
      <c r="G15" s="211">
        <f>G334/C334</f>
        <v>2.9478599027928083</v>
      </c>
      <c r="H15" s="211"/>
      <c r="I15" s="211"/>
    </row>
    <row r="16" spans="1:9" x14ac:dyDescent="0.25">
      <c r="A16" s="78">
        <f>'A) Base RI'!A7</f>
        <v>5401</v>
      </c>
      <c r="B16" s="79" t="str">
        <f>'A) Base RI'!B7</f>
        <v>Aigle</v>
      </c>
      <c r="C16" s="125">
        <f>'D) Ecrêtage'!N5</f>
        <v>256314.41797530872</v>
      </c>
      <c r="D16" s="90">
        <f>'A) Base RI'!AN7</f>
        <v>9771</v>
      </c>
      <c r="E16" s="25">
        <f t="shared" ref="E16:E71" si="1">ROUND(C16*E$15,0)</f>
        <v>4756143</v>
      </c>
      <c r="F16" s="73">
        <f>'F) Population'!K8</f>
        <v>4855350</v>
      </c>
      <c r="G16" s="18">
        <f>'G) Solidarité'!I5</f>
        <v>3120677.2662094724</v>
      </c>
      <c r="H16" s="25">
        <f>F16+G16</f>
        <v>7976027.266209472</v>
      </c>
      <c r="I16" s="98">
        <f>E16-H16</f>
        <v>-3219884.266209472</v>
      </c>
    </row>
    <row r="17" spans="1:9" x14ac:dyDescent="0.25">
      <c r="A17" s="82">
        <f>'A) Base RI'!A8</f>
        <v>5402</v>
      </c>
      <c r="B17" s="62" t="str">
        <f>'A) Base RI'!B8</f>
        <v>Bex</v>
      </c>
      <c r="C17" s="25">
        <f>'D) Ecrêtage'!N6</f>
        <v>163724.47859154927</v>
      </c>
      <c r="D17" s="18">
        <f>'A) Base RI'!AN8</f>
        <v>7007</v>
      </c>
      <c r="E17" s="25">
        <f t="shared" si="1"/>
        <v>3038054</v>
      </c>
      <c r="F17" s="73">
        <f>'F) Population'!K9</f>
        <v>3004200</v>
      </c>
      <c r="G17" s="18">
        <f>'G) Solidarité'!I6</f>
        <v>2878699.587340564</v>
      </c>
      <c r="H17" s="25">
        <f t="shared" ref="H17:H71" si="2">F17+G17</f>
        <v>5882899.5873405635</v>
      </c>
      <c r="I17" s="98">
        <f t="shared" ref="I17:I71" si="3">E17-H17</f>
        <v>-2844845.5873405635</v>
      </c>
    </row>
    <row r="18" spans="1:9" x14ac:dyDescent="0.25">
      <c r="A18" s="82">
        <f>'A) Base RI'!A9</f>
        <v>5403</v>
      </c>
      <c r="B18" s="62" t="str">
        <f>'A) Base RI'!B9</f>
        <v>Chessel</v>
      </c>
      <c r="C18" s="25">
        <f>'D) Ecrêtage'!N7</f>
        <v>7826.6322368421061</v>
      </c>
      <c r="D18" s="18">
        <f>'A) Base RI'!AN9</f>
        <v>362</v>
      </c>
      <c r="E18" s="25">
        <f t="shared" si="1"/>
        <v>145230</v>
      </c>
      <c r="F18" s="73">
        <f>'F) Population'!K10</f>
        <v>36200</v>
      </c>
      <c r="G18" s="18">
        <f>'G) Solidarité'!I7</f>
        <v>184920.31493761885</v>
      </c>
      <c r="H18" s="25">
        <f t="shared" si="2"/>
        <v>221120.31493761885</v>
      </c>
      <c r="I18" s="98">
        <f>E18-H18</f>
        <v>-75890.314937618852</v>
      </c>
    </row>
    <row r="19" spans="1:9" x14ac:dyDescent="0.25">
      <c r="A19" s="82">
        <f>'A) Base RI'!A10</f>
        <v>5404</v>
      </c>
      <c r="B19" s="62" t="str">
        <f>'A) Base RI'!B10</f>
        <v>Corbeyrier</v>
      </c>
      <c r="C19" s="25">
        <f>'D) Ecrêtage'!N8</f>
        <v>8762.5650952380947</v>
      </c>
      <c r="D19" s="18">
        <f>'A) Base RI'!AN10</f>
        <v>421</v>
      </c>
      <c r="E19" s="25">
        <f t="shared" si="1"/>
        <v>162597</v>
      </c>
      <c r="F19" s="73">
        <f>'F) Population'!K11</f>
        <v>42100</v>
      </c>
      <c r="G19" s="18">
        <f>'G) Solidarité'!I8</f>
        <v>189063.11563209281</v>
      </c>
      <c r="H19" s="25">
        <f t="shared" si="2"/>
        <v>231163.11563209281</v>
      </c>
      <c r="I19" s="98">
        <f t="shared" si="3"/>
        <v>-68566.115632092813</v>
      </c>
    </row>
    <row r="20" spans="1:9" x14ac:dyDescent="0.25">
      <c r="A20" s="82">
        <f>'A) Base RI'!A11</f>
        <v>5405</v>
      </c>
      <c r="B20" s="62" t="str">
        <f>'A) Base RI'!B11</f>
        <v>Gryon</v>
      </c>
      <c r="C20" s="25">
        <f>'D) Ecrêtage'!N9</f>
        <v>67187.701777777766</v>
      </c>
      <c r="D20" s="18">
        <f>'A) Base RI'!AN11</f>
        <v>1248</v>
      </c>
      <c r="E20" s="25">
        <f t="shared" si="1"/>
        <v>1246728</v>
      </c>
      <c r="F20" s="73">
        <f>'F) Population'!K12</f>
        <v>186800</v>
      </c>
      <c r="G20" s="18">
        <f>'G) Solidarité'!I9</f>
        <v>0</v>
      </c>
      <c r="H20" s="25">
        <f t="shared" si="2"/>
        <v>186800</v>
      </c>
      <c r="I20" s="98">
        <f t="shared" si="3"/>
        <v>1059928</v>
      </c>
    </row>
    <row r="21" spans="1:9" x14ac:dyDescent="0.25">
      <c r="A21" s="82">
        <f>'A) Base RI'!A12</f>
        <v>5406</v>
      </c>
      <c r="B21" s="62" t="str">
        <f>'A) Base RI'!B12</f>
        <v>Lavey-Morcles</v>
      </c>
      <c r="C21" s="25">
        <f>'D) Ecrêtage'!N10</f>
        <v>19209.951419284946</v>
      </c>
      <c r="D21" s="18">
        <f>'A) Base RI'!AN12</f>
        <v>885</v>
      </c>
      <c r="E21" s="25">
        <f t="shared" si="1"/>
        <v>356458</v>
      </c>
      <c r="F21" s="73">
        <f>'F) Population'!K13</f>
        <v>88500</v>
      </c>
      <c r="G21" s="18">
        <f>'G) Solidarité'!I10</f>
        <v>393036.72172126267</v>
      </c>
      <c r="H21" s="25">
        <f t="shared" si="2"/>
        <v>481536.72172126267</v>
      </c>
      <c r="I21" s="98">
        <f t="shared" si="3"/>
        <v>-125078.72172126267</v>
      </c>
    </row>
    <row r="22" spans="1:9" x14ac:dyDescent="0.25">
      <c r="A22" s="82">
        <f>'A) Base RI'!A13</f>
        <v>5407</v>
      </c>
      <c r="B22" s="62" t="str">
        <f>'A) Base RI'!B13</f>
        <v>Leysin</v>
      </c>
      <c r="C22" s="25">
        <f>'D) Ecrêtage'!N11</f>
        <v>99721.08303418805</v>
      </c>
      <c r="D22" s="18">
        <f>'A) Base RI'!AN13</f>
        <v>4050</v>
      </c>
      <c r="E22" s="25">
        <f t="shared" si="1"/>
        <v>1850414</v>
      </c>
      <c r="F22" s="73">
        <f>'F) Population'!K14</f>
        <v>1325000</v>
      </c>
      <c r="G22" s="18">
        <f>'G) Solidarité'!I11</f>
        <v>1884971.7489335244</v>
      </c>
      <c r="H22" s="25">
        <f t="shared" si="2"/>
        <v>3209971.7489335244</v>
      </c>
      <c r="I22" s="98">
        <f t="shared" si="3"/>
        <v>-1359557.7489335244</v>
      </c>
    </row>
    <row r="23" spans="1:9" x14ac:dyDescent="0.25">
      <c r="A23" s="82">
        <f>'A) Base RI'!A14</f>
        <v>5408</v>
      </c>
      <c r="B23" s="62" t="str">
        <f>'A) Base RI'!B14</f>
        <v>Noville</v>
      </c>
      <c r="C23" s="25">
        <f>'D) Ecrêtage'!N12</f>
        <v>27782.072271762208</v>
      </c>
      <c r="D23" s="18">
        <f>'A) Base RI'!AN14</f>
        <v>971</v>
      </c>
      <c r="E23" s="25">
        <f t="shared" si="1"/>
        <v>515521</v>
      </c>
      <c r="F23" s="73">
        <f>'F) Population'!K15</f>
        <v>97100</v>
      </c>
      <c r="G23" s="18">
        <f>'G) Solidarité'!I12</f>
        <v>362797.11121044453</v>
      </c>
      <c r="H23" s="25">
        <f t="shared" si="2"/>
        <v>459897.11121044453</v>
      </c>
      <c r="I23" s="98">
        <f t="shared" si="3"/>
        <v>55623.888789555465</v>
      </c>
    </row>
    <row r="24" spans="1:9" x14ac:dyDescent="0.25">
      <c r="A24" s="82">
        <f>'A) Base RI'!A15</f>
        <v>5409</v>
      </c>
      <c r="B24" s="62" t="str">
        <f>'A) Base RI'!B15</f>
        <v>Ollon</v>
      </c>
      <c r="C24" s="25">
        <f>'D) Ecrêtage'!N13</f>
        <v>373016.06252262433</v>
      </c>
      <c r="D24" s="18">
        <f>'A) Base RI'!AN15</f>
        <v>7152</v>
      </c>
      <c r="E24" s="25">
        <f t="shared" si="1"/>
        <v>6921646</v>
      </c>
      <c r="F24" s="73">
        <f>'F) Population'!K16</f>
        <v>3091200</v>
      </c>
      <c r="G24" s="18">
        <f>'G) Solidarité'!I13</f>
        <v>0</v>
      </c>
      <c r="H24" s="25">
        <f t="shared" si="2"/>
        <v>3091200</v>
      </c>
      <c r="I24" s="98">
        <f t="shared" si="3"/>
        <v>3830446</v>
      </c>
    </row>
    <row r="25" spans="1:9" x14ac:dyDescent="0.25">
      <c r="A25" s="82">
        <f>'A) Base RI'!A16</f>
        <v>5410</v>
      </c>
      <c r="B25" s="62" t="str">
        <f>'A) Base RI'!B16</f>
        <v>Ormont-Dessous</v>
      </c>
      <c r="C25" s="25">
        <f>'D) Ecrêtage'!N14</f>
        <v>31634.392526539275</v>
      </c>
      <c r="D25" s="18">
        <f>'A) Base RI'!AN16</f>
        <v>1072</v>
      </c>
      <c r="E25" s="25">
        <f t="shared" si="1"/>
        <v>587004</v>
      </c>
      <c r="F25" s="73">
        <f>'F) Population'!K17</f>
        <v>125200</v>
      </c>
      <c r="G25" s="18">
        <f>'G) Solidarité'!I14</f>
        <v>376942.35146816348</v>
      </c>
      <c r="H25" s="25">
        <f t="shared" si="2"/>
        <v>502142.35146816348</v>
      </c>
      <c r="I25" s="98">
        <f t="shared" si="3"/>
        <v>84861.648531836516</v>
      </c>
    </row>
    <row r="26" spans="1:9" x14ac:dyDescent="0.25">
      <c r="A26" s="82">
        <f>'A) Base RI'!A17</f>
        <v>5411</v>
      </c>
      <c r="B26" s="62" t="str">
        <f>'A) Base RI'!B17</f>
        <v>Ormont-Dessus</v>
      </c>
      <c r="C26" s="25">
        <f>'D) Ecrêtage'!N15</f>
        <v>68022.060675675675</v>
      </c>
      <c r="D26" s="18">
        <f>'A) Base RI'!AN17</f>
        <v>1457</v>
      </c>
      <c r="E26" s="25">
        <f t="shared" si="1"/>
        <v>1262210</v>
      </c>
      <c r="F26" s="73">
        <f>'F) Population'!K18</f>
        <v>259950</v>
      </c>
      <c r="G26" s="18">
        <f>'G) Solidarité'!I15</f>
        <v>0</v>
      </c>
      <c r="H26" s="25">
        <f t="shared" si="2"/>
        <v>259950</v>
      </c>
      <c r="I26" s="98">
        <f t="shared" si="3"/>
        <v>1002260</v>
      </c>
    </row>
    <row r="27" spans="1:9" x14ac:dyDescent="0.25">
      <c r="A27" s="82">
        <f>'A) Base RI'!A18</f>
        <v>5412</v>
      </c>
      <c r="B27" s="62" t="str">
        <f>'A) Base RI'!B18</f>
        <v>Rennaz</v>
      </c>
      <c r="C27" s="25">
        <f>'D) Ecrêtage'!N16</f>
        <v>24549.662992125981</v>
      </c>
      <c r="D27" s="18">
        <f>'A) Base RI'!AN18</f>
        <v>802</v>
      </c>
      <c r="E27" s="25">
        <f t="shared" si="1"/>
        <v>455541</v>
      </c>
      <c r="F27" s="73">
        <f>'F) Population'!K19</f>
        <v>80200</v>
      </c>
      <c r="G27" s="18">
        <f>'G) Solidarité'!I16</f>
        <v>170368.30271819254</v>
      </c>
      <c r="H27" s="25">
        <f t="shared" si="2"/>
        <v>250568.30271819254</v>
      </c>
      <c r="I27" s="98">
        <f t="shared" si="3"/>
        <v>204972.69728180746</v>
      </c>
    </row>
    <row r="28" spans="1:9" x14ac:dyDescent="0.25">
      <c r="A28" s="82">
        <f>'A) Base RI'!A19</f>
        <v>5413</v>
      </c>
      <c r="B28" s="62" t="str">
        <f>'A) Base RI'!B19</f>
        <v>Roche</v>
      </c>
      <c r="C28" s="25">
        <f>'D) Ecrêtage'!N17</f>
        <v>35383.920882352941</v>
      </c>
      <c r="D28" s="18">
        <f>'A) Base RI'!AN19</f>
        <v>1499</v>
      </c>
      <c r="E28" s="25">
        <f t="shared" si="1"/>
        <v>656580</v>
      </c>
      <c r="F28" s="73">
        <f>'F) Population'!K20</f>
        <v>274650</v>
      </c>
      <c r="G28" s="18">
        <f>'G) Solidarité'!I17</f>
        <v>558300.23981076607</v>
      </c>
      <c r="H28" s="25">
        <f t="shared" si="2"/>
        <v>832950.23981076607</v>
      </c>
      <c r="I28" s="98">
        <f t="shared" si="3"/>
        <v>-176370.23981076607</v>
      </c>
    </row>
    <row r="29" spans="1:9" x14ac:dyDescent="0.25">
      <c r="A29" s="82">
        <f>'A) Base RI'!A20</f>
        <v>5414</v>
      </c>
      <c r="B29" s="62" t="str">
        <f>'A) Base RI'!B20</f>
        <v>Villeneuve</v>
      </c>
      <c r="C29" s="25">
        <f>'D) Ecrêtage'!N18</f>
        <v>178367.91043478262</v>
      </c>
      <c r="D29" s="18">
        <f>'A) Base RI'!AN20</f>
        <v>5188</v>
      </c>
      <c r="E29" s="25">
        <f t="shared" si="1"/>
        <v>3309776</v>
      </c>
      <c r="F29" s="73">
        <f>'F) Population'!K21</f>
        <v>1912800</v>
      </c>
      <c r="G29" s="18">
        <f>'G) Solidarité'!I18</f>
        <v>930854.58456570096</v>
      </c>
      <c r="H29" s="25">
        <f t="shared" si="2"/>
        <v>2843654.584565701</v>
      </c>
      <c r="I29" s="98">
        <f t="shared" si="3"/>
        <v>466121.41543429904</v>
      </c>
    </row>
    <row r="30" spans="1:9" x14ac:dyDescent="0.25">
      <c r="A30" s="82">
        <f>'A) Base RI'!A21</f>
        <v>5415</v>
      </c>
      <c r="B30" s="62" t="str">
        <f>'A) Base RI'!B21</f>
        <v>Yvorne</v>
      </c>
      <c r="C30" s="25">
        <f>'D) Ecrêtage'!N19</f>
        <v>40073.521995133822</v>
      </c>
      <c r="D30" s="18">
        <f>'A) Base RI'!AN21</f>
        <v>1039</v>
      </c>
      <c r="E30" s="25">
        <f t="shared" si="1"/>
        <v>743600</v>
      </c>
      <c r="F30" s="73">
        <f>'F) Population'!K22</f>
        <v>113650</v>
      </c>
      <c r="G30" s="18">
        <f>'G) Solidarité'!I19</f>
        <v>102511.3222295349</v>
      </c>
      <c r="H30" s="25">
        <f t="shared" si="2"/>
        <v>216161.32222953491</v>
      </c>
      <c r="I30" s="98">
        <f t="shared" si="3"/>
        <v>527438.67777046515</v>
      </c>
    </row>
    <row r="31" spans="1:9" x14ac:dyDescent="0.25">
      <c r="A31" s="82">
        <f>'A) Base RI'!A22</f>
        <v>5421</v>
      </c>
      <c r="B31" s="62" t="str">
        <f>'A) Base RI'!B22</f>
        <v>Apples</v>
      </c>
      <c r="C31" s="25">
        <f>'D) Ecrêtage'!N20</f>
        <v>49174.834507042251</v>
      </c>
      <c r="D31" s="18">
        <f>'A) Base RI'!AN22</f>
        <v>1341</v>
      </c>
      <c r="E31" s="25">
        <f t="shared" si="1"/>
        <v>912483</v>
      </c>
      <c r="F31" s="73">
        <f>'F) Population'!K23</f>
        <v>219350</v>
      </c>
      <c r="G31" s="18">
        <f>'G) Solidarité'!I20</f>
        <v>193202.13865232782</v>
      </c>
      <c r="H31" s="25">
        <f t="shared" si="2"/>
        <v>412552.13865232782</v>
      </c>
      <c r="I31" s="98">
        <f t="shared" si="3"/>
        <v>499930.86134767218</v>
      </c>
    </row>
    <row r="32" spans="1:9" x14ac:dyDescent="0.25">
      <c r="A32" s="82">
        <f>'A) Base RI'!A23</f>
        <v>5422</v>
      </c>
      <c r="B32" s="62" t="str">
        <f>'A) Base RI'!B23</f>
        <v>Aubonne</v>
      </c>
      <c r="C32" s="25">
        <f>'D) Ecrêtage'!N21</f>
        <v>220314.48888331067</v>
      </c>
      <c r="D32" s="18">
        <f>'A) Base RI'!AN23</f>
        <v>3051</v>
      </c>
      <c r="E32" s="25">
        <f t="shared" si="1"/>
        <v>4088132</v>
      </c>
      <c r="F32" s="73">
        <f>'F) Population'!K24</f>
        <v>825500</v>
      </c>
      <c r="G32" s="18">
        <f>'G) Solidarité'!I21</f>
        <v>0</v>
      </c>
      <c r="H32" s="25">
        <f t="shared" si="2"/>
        <v>825500</v>
      </c>
      <c r="I32" s="98">
        <f t="shared" si="3"/>
        <v>3262632</v>
      </c>
    </row>
    <row r="33" spans="1:9" x14ac:dyDescent="0.25">
      <c r="A33" s="82">
        <f>'A) Base RI'!A24</f>
        <v>5423</v>
      </c>
      <c r="B33" s="62" t="str">
        <f>'A) Base RI'!B24</f>
        <v>Ballens</v>
      </c>
      <c r="C33" s="25">
        <f>'D) Ecrêtage'!N22</f>
        <v>16056.117971014495</v>
      </c>
      <c r="D33" s="18">
        <f>'A) Base RI'!AN24</f>
        <v>507</v>
      </c>
      <c r="E33" s="25">
        <f t="shared" si="1"/>
        <v>297936</v>
      </c>
      <c r="F33" s="73">
        <f>'F) Population'!K25</f>
        <v>50700</v>
      </c>
      <c r="G33" s="18">
        <f>'G) Solidarité'!I22</f>
        <v>117005.79711590146</v>
      </c>
      <c r="H33" s="25">
        <f t="shared" si="2"/>
        <v>167705.79711590146</v>
      </c>
      <c r="I33" s="98">
        <f t="shared" si="3"/>
        <v>130230.20288409854</v>
      </c>
    </row>
    <row r="34" spans="1:9" x14ac:dyDescent="0.25">
      <c r="A34" s="82">
        <f>'A) Base RI'!A25</f>
        <v>5424</v>
      </c>
      <c r="B34" s="62" t="str">
        <f>'A) Base RI'!B25</f>
        <v>Berolle</v>
      </c>
      <c r="C34" s="25">
        <f>'D) Ecrêtage'!N23</f>
        <v>9358.0229870129861</v>
      </c>
      <c r="D34" s="18">
        <f>'A) Base RI'!AN25</f>
        <v>302</v>
      </c>
      <c r="E34" s="25">
        <f t="shared" si="1"/>
        <v>173646</v>
      </c>
      <c r="F34" s="73">
        <f>'F) Population'!K26</f>
        <v>30200</v>
      </c>
      <c r="G34" s="18">
        <f>'G) Solidarité'!I23</f>
        <v>91651.393074168547</v>
      </c>
      <c r="H34" s="25">
        <f t="shared" si="2"/>
        <v>121851.39307416855</v>
      </c>
      <c r="I34" s="98">
        <f t="shared" si="3"/>
        <v>51794.606925831453</v>
      </c>
    </row>
    <row r="35" spans="1:9" x14ac:dyDescent="0.25">
      <c r="A35" s="82">
        <f>'A) Base RI'!A26</f>
        <v>5425</v>
      </c>
      <c r="B35" s="62" t="str">
        <f>'A) Base RI'!B26</f>
        <v>Bière</v>
      </c>
      <c r="C35" s="25">
        <f>'D) Ecrêtage'!N24</f>
        <v>37126.422058823526</v>
      </c>
      <c r="D35" s="18">
        <f>'A) Base RI'!AN26</f>
        <v>1526</v>
      </c>
      <c r="E35" s="25">
        <f t="shared" si="1"/>
        <v>688914</v>
      </c>
      <c r="F35" s="73">
        <f>'F) Population'!K27</f>
        <v>284100</v>
      </c>
      <c r="G35" s="18">
        <f>'G) Solidarité'!I24</f>
        <v>548030.38660484704</v>
      </c>
      <c r="H35" s="25">
        <f t="shared" si="2"/>
        <v>832130.38660484704</v>
      </c>
      <c r="I35" s="98">
        <f t="shared" si="3"/>
        <v>-143216.38660484704</v>
      </c>
    </row>
    <row r="36" spans="1:9" x14ac:dyDescent="0.25">
      <c r="A36" s="82">
        <f>'A) Base RI'!A27</f>
        <v>5426</v>
      </c>
      <c r="B36" s="62" t="str">
        <f>'A) Base RI'!B27</f>
        <v>Bougy-Villars</v>
      </c>
      <c r="C36" s="25">
        <f>'D) Ecrêtage'!N25</f>
        <v>39200.766193939591</v>
      </c>
      <c r="D36" s="18">
        <f>'A) Base RI'!AN27</f>
        <v>444</v>
      </c>
      <c r="E36" s="25">
        <f t="shared" si="1"/>
        <v>727405</v>
      </c>
      <c r="F36" s="73">
        <f>'F) Population'!K28</f>
        <v>44400</v>
      </c>
      <c r="G36" s="18">
        <f>'G) Solidarité'!I25</f>
        <v>0</v>
      </c>
      <c r="H36" s="25">
        <f t="shared" si="2"/>
        <v>44400</v>
      </c>
      <c r="I36" s="98">
        <f t="shared" si="3"/>
        <v>683005</v>
      </c>
    </row>
    <row r="37" spans="1:9" x14ac:dyDescent="0.25">
      <c r="A37" s="82">
        <f>'A) Base RI'!A28</f>
        <v>5427</v>
      </c>
      <c r="B37" s="62" t="str">
        <f>'A) Base RI'!B28</f>
        <v>Féchy</v>
      </c>
      <c r="C37" s="25">
        <f>'D) Ecrêtage'!N26</f>
        <v>63481.570392372421</v>
      </c>
      <c r="D37" s="18">
        <f>'A) Base RI'!AN28</f>
        <v>857</v>
      </c>
      <c r="E37" s="25">
        <f t="shared" si="1"/>
        <v>1177957</v>
      </c>
      <c r="F37" s="73">
        <f>'F) Population'!K29</f>
        <v>85700</v>
      </c>
      <c r="G37" s="18">
        <f>'G) Solidarité'!I26</f>
        <v>0</v>
      </c>
      <c r="H37" s="25">
        <f t="shared" si="2"/>
        <v>85700</v>
      </c>
      <c r="I37" s="98">
        <f t="shared" si="3"/>
        <v>1092257</v>
      </c>
    </row>
    <row r="38" spans="1:9" x14ac:dyDescent="0.25">
      <c r="A38" s="82">
        <f>'A) Base RI'!A29</f>
        <v>5428</v>
      </c>
      <c r="B38" s="62" t="str">
        <f>'A) Base RI'!B29</f>
        <v>Gimel</v>
      </c>
      <c r="C38" s="25">
        <f>'D) Ecrêtage'!N27</f>
        <v>54244.883403263411</v>
      </c>
      <c r="D38" s="18">
        <f>'A) Base RI'!AN29</f>
        <v>1923</v>
      </c>
      <c r="E38" s="25">
        <f t="shared" si="1"/>
        <v>1006562</v>
      </c>
      <c r="F38" s="73">
        <f>'F) Population'!K30</f>
        <v>423050</v>
      </c>
      <c r="G38" s="18">
        <f>'G) Solidarité'!I27</f>
        <v>611840.76863143092</v>
      </c>
      <c r="H38" s="25">
        <f t="shared" si="2"/>
        <v>1034890.7686314309</v>
      </c>
      <c r="I38" s="98">
        <f t="shared" si="3"/>
        <v>-28328.768631430925</v>
      </c>
    </row>
    <row r="39" spans="1:9" x14ac:dyDescent="0.25">
      <c r="A39" s="82">
        <f>'A) Base RI'!A30</f>
        <v>5429</v>
      </c>
      <c r="B39" s="62" t="str">
        <f>'A) Base RI'!B30</f>
        <v>Longirod</v>
      </c>
      <c r="C39" s="25">
        <f>'D) Ecrêtage'!N28</f>
        <v>14621.746419753083</v>
      </c>
      <c r="D39" s="18">
        <f>'A) Base RI'!AN30</f>
        <v>441</v>
      </c>
      <c r="E39" s="25">
        <f t="shared" si="1"/>
        <v>271320</v>
      </c>
      <c r="F39" s="73">
        <f>'F) Population'!K31</f>
        <v>44100</v>
      </c>
      <c r="G39" s="18">
        <f>'G) Solidarité'!I28</f>
        <v>123139.10392570305</v>
      </c>
      <c r="H39" s="25">
        <f t="shared" si="2"/>
        <v>167239.10392570304</v>
      </c>
      <c r="I39" s="98">
        <f t="shared" si="3"/>
        <v>104080.89607429696</v>
      </c>
    </row>
    <row r="40" spans="1:9" x14ac:dyDescent="0.25">
      <c r="A40" s="82">
        <f>'A) Base RI'!A31</f>
        <v>5430</v>
      </c>
      <c r="B40" s="62" t="str">
        <f>'A) Base RI'!B31</f>
        <v>Marchissy</v>
      </c>
      <c r="C40" s="25">
        <f>'D) Ecrêtage'!N29</f>
        <v>13069.378271604934</v>
      </c>
      <c r="D40" s="18">
        <f>'A) Base RI'!AN31</f>
        <v>444</v>
      </c>
      <c r="E40" s="25">
        <f t="shared" si="1"/>
        <v>242514</v>
      </c>
      <c r="F40" s="73">
        <f>'F) Population'!K32</f>
        <v>44400</v>
      </c>
      <c r="G40" s="18">
        <f>'G) Solidarité'!I29</f>
        <v>167083.28752248292</v>
      </c>
      <c r="H40" s="25">
        <f t="shared" si="2"/>
        <v>211483.28752248292</v>
      </c>
      <c r="I40" s="98">
        <f t="shared" si="3"/>
        <v>31030.712477517081</v>
      </c>
    </row>
    <row r="41" spans="1:9" x14ac:dyDescent="0.25">
      <c r="A41" s="82">
        <f>'A) Base RI'!A32</f>
        <v>5431</v>
      </c>
      <c r="B41" s="62" t="str">
        <f>'A) Base RI'!B32</f>
        <v>Mollens</v>
      </c>
      <c r="C41" s="25">
        <f>'D) Ecrêtage'!N30</f>
        <v>8024.3136486486483</v>
      </c>
      <c r="D41" s="18">
        <f>'A) Base RI'!AN32</f>
        <v>288</v>
      </c>
      <c r="E41" s="25">
        <f t="shared" si="1"/>
        <v>148898</v>
      </c>
      <c r="F41" s="73">
        <f>'F) Population'!K33</f>
        <v>28800</v>
      </c>
      <c r="G41" s="18">
        <f>'G) Solidarité'!I30</f>
        <v>100324.9316553751</v>
      </c>
      <c r="H41" s="25">
        <f t="shared" si="2"/>
        <v>129124.9316553751</v>
      </c>
      <c r="I41" s="98">
        <f t="shared" si="3"/>
        <v>19773.068344624902</v>
      </c>
    </row>
    <row r="42" spans="1:9" x14ac:dyDescent="0.25">
      <c r="A42" s="82">
        <f>'A) Base RI'!A33</f>
        <v>5432</v>
      </c>
      <c r="B42" s="62" t="str">
        <f>'A) Base RI'!B33</f>
        <v>Montherod</v>
      </c>
      <c r="C42" s="25">
        <f>'D) Ecrêtage'!N31</f>
        <v>17799.430540540543</v>
      </c>
      <c r="D42" s="18">
        <f>'A) Base RI'!AN33</f>
        <v>521</v>
      </c>
      <c r="E42" s="25">
        <f t="shared" si="1"/>
        <v>330284</v>
      </c>
      <c r="F42" s="73">
        <f>'F) Population'!K34</f>
        <v>52100</v>
      </c>
      <c r="G42" s="18">
        <f>'G) Solidarité'!I31</f>
        <v>109980.08067042058</v>
      </c>
      <c r="H42" s="25">
        <f t="shared" si="2"/>
        <v>162080.08067042058</v>
      </c>
      <c r="I42" s="98">
        <f t="shared" si="3"/>
        <v>168203.91932957942</v>
      </c>
    </row>
    <row r="43" spans="1:9" x14ac:dyDescent="0.25">
      <c r="A43" s="82">
        <f>'A) Base RI'!A34</f>
        <v>5434</v>
      </c>
      <c r="B43" s="62" t="str">
        <f>'A) Base RI'!B34</f>
        <v>Saint-George</v>
      </c>
      <c r="C43" s="25">
        <f>'D) Ecrêtage'!N32</f>
        <v>35135.099562043797</v>
      </c>
      <c r="D43" s="18">
        <f>'A) Base RI'!AN34</f>
        <v>951</v>
      </c>
      <c r="E43" s="25">
        <f t="shared" si="1"/>
        <v>651963</v>
      </c>
      <c r="F43" s="73">
        <f>'F) Population'!K35</f>
        <v>95100</v>
      </c>
      <c r="G43" s="18">
        <f>'G) Solidarité'!I32</f>
        <v>122650.99677544973</v>
      </c>
      <c r="H43" s="25">
        <f t="shared" si="2"/>
        <v>217750.99677544972</v>
      </c>
      <c r="I43" s="98">
        <f t="shared" si="3"/>
        <v>434212.00322455028</v>
      </c>
    </row>
    <row r="44" spans="1:9" x14ac:dyDescent="0.25">
      <c r="A44" s="82">
        <f>'A) Base RI'!A35</f>
        <v>5435</v>
      </c>
      <c r="B44" s="62" t="str">
        <f>'A) Base RI'!B35</f>
        <v>Saint-Livres</v>
      </c>
      <c r="C44" s="25">
        <f>'D) Ecrêtage'!N33</f>
        <v>21558.748985507245</v>
      </c>
      <c r="D44" s="18">
        <f>'A) Base RI'!AN35</f>
        <v>699</v>
      </c>
      <c r="E44" s="25">
        <f t="shared" si="1"/>
        <v>400042</v>
      </c>
      <c r="F44" s="73">
        <f>'F) Population'!K36</f>
        <v>69900</v>
      </c>
      <c r="G44" s="18">
        <f>'G) Solidarité'!I33</f>
        <v>172257.15920119346</v>
      </c>
      <c r="H44" s="25">
        <f t="shared" si="2"/>
        <v>242157.15920119346</v>
      </c>
      <c r="I44" s="98">
        <f t="shared" si="3"/>
        <v>157884.84079880654</v>
      </c>
    </row>
    <row r="45" spans="1:9" x14ac:dyDescent="0.25">
      <c r="A45" s="82">
        <f>'A) Base RI'!A36</f>
        <v>5436</v>
      </c>
      <c r="B45" s="62" t="str">
        <f>'A) Base RI'!B36</f>
        <v>Saint-Oyens</v>
      </c>
      <c r="C45" s="25">
        <f>'D) Ecrêtage'!N34</f>
        <v>11369.478086419756</v>
      </c>
      <c r="D45" s="18">
        <f>'A) Base RI'!AN36</f>
        <v>326</v>
      </c>
      <c r="E45" s="25">
        <f t="shared" si="1"/>
        <v>210971</v>
      </c>
      <c r="F45" s="73">
        <f>'F) Population'!K37</f>
        <v>32600</v>
      </c>
      <c r="G45" s="18">
        <f>'G) Solidarité'!I34</f>
        <v>76396.983024636444</v>
      </c>
      <c r="H45" s="25">
        <f t="shared" si="2"/>
        <v>108996.98302463644</v>
      </c>
      <c r="I45" s="98">
        <f t="shared" si="3"/>
        <v>101974.01697536356</v>
      </c>
    </row>
    <row r="46" spans="1:9" x14ac:dyDescent="0.25">
      <c r="A46" s="82">
        <f>'A) Base RI'!A37</f>
        <v>5437</v>
      </c>
      <c r="B46" s="62" t="str">
        <f>'A) Base RI'!B37</f>
        <v>Saubraz</v>
      </c>
      <c r="C46" s="25">
        <f>'D) Ecrêtage'!N35</f>
        <v>8208.7877108433731</v>
      </c>
      <c r="D46" s="18">
        <f>'A) Base RI'!AN37</f>
        <v>385</v>
      </c>
      <c r="E46" s="25">
        <f t="shared" si="1"/>
        <v>152321</v>
      </c>
      <c r="F46" s="73">
        <f>'F) Population'!K38</f>
        <v>38500</v>
      </c>
      <c r="G46" s="18">
        <f>'G) Solidarité'!I35</f>
        <v>237720.67190212198</v>
      </c>
      <c r="H46" s="25">
        <f t="shared" si="2"/>
        <v>276220.67190212198</v>
      </c>
      <c r="I46" s="98">
        <f t="shared" si="3"/>
        <v>-123899.67190212198</v>
      </c>
    </row>
    <row r="47" spans="1:9" x14ac:dyDescent="0.25">
      <c r="A47" s="82">
        <f>'A) Base RI'!A38</f>
        <v>5451</v>
      </c>
      <c r="B47" s="62" t="str">
        <f>'A) Base RI'!B38</f>
        <v>Avenches</v>
      </c>
      <c r="C47" s="25">
        <f>'D) Ecrêtage'!N36</f>
        <v>103750.47926470588</v>
      </c>
      <c r="D47" s="18">
        <f>'A) Base RI'!AN38</f>
        <v>4030</v>
      </c>
      <c r="E47" s="25">
        <f t="shared" si="1"/>
        <v>1925183</v>
      </c>
      <c r="F47" s="73">
        <f>'F) Population'!K39</f>
        <v>1315000</v>
      </c>
      <c r="G47" s="18">
        <f>'G) Solidarité'!I36</f>
        <v>1342388.6094945422</v>
      </c>
      <c r="H47" s="25">
        <f t="shared" si="2"/>
        <v>2657388.6094945422</v>
      </c>
      <c r="I47" s="98">
        <f t="shared" si="3"/>
        <v>-732205.60949454224</v>
      </c>
    </row>
    <row r="48" spans="1:9" x14ac:dyDescent="0.25">
      <c r="A48" s="82">
        <f>'A) Base RI'!A39</f>
        <v>5456</v>
      </c>
      <c r="B48" s="62" t="str">
        <f>'A) Base RI'!B39</f>
        <v>Cudrefin</v>
      </c>
      <c r="C48" s="25">
        <f>'D) Ecrêtage'!N37</f>
        <v>45260.404011299433</v>
      </c>
      <c r="D48" s="18">
        <f>'A) Base RI'!AN39</f>
        <v>1464</v>
      </c>
      <c r="E48" s="25">
        <f t="shared" si="1"/>
        <v>839847</v>
      </c>
      <c r="F48" s="73">
        <f>'F) Population'!K40</f>
        <v>262400</v>
      </c>
      <c r="G48" s="18">
        <f>'G) Solidarité'!I37</f>
        <v>262297.28576168785</v>
      </c>
      <c r="H48" s="25">
        <f t="shared" si="2"/>
        <v>524697.2857616879</v>
      </c>
      <c r="I48" s="98">
        <f t="shared" si="3"/>
        <v>315149.7142383121</v>
      </c>
    </row>
    <row r="49" spans="1:9" x14ac:dyDescent="0.25">
      <c r="A49" s="82">
        <f>'A) Base RI'!A40</f>
        <v>5458</v>
      </c>
      <c r="B49" s="62" t="str">
        <f>'A) Base RI'!B40</f>
        <v>Faoug</v>
      </c>
      <c r="C49" s="25">
        <f>'D) Ecrêtage'!N38</f>
        <v>26731.83262295082</v>
      </c>
      <c r="D49" s="18">
        <f>'A) Base RI'!AN40</f>
        <v>825</v>
      </c>
      <c r="E49" s="25">
        <f t="shared" si="1"/>
        <v>496033</v>
      </c>
      <c r="F49" s="73">
        <f>'F) Population'!K41</f>
        <v>82500</v>
      </c>
      <c r="G49" s="18">
        <f>'G) Solidarité'!I38</f>
        <v>139849.80843149961</v>
      </c>
      <c r="H49" s="25">
        <f t="shared" si="2"/>
        <v>222349.80843149961</v>
      </c>
      <c r="I49" s="98">
        <f t="shared" si="3"/>
        <v>273683.19156850036</v>
      </c>
    </row>
    <row r="50" spans="1:9" x14ac:dyDescent="0.25">
      <c r="A50" s="82">
        <f>'A) Base RI'!A41</f>
        <v>5464</v>
      </c>
      <c r="B50" s="62" t="str">
        <f>'A) Base RI'!B41</f>
        <v>Vully-les-Lacs</v>
      </c>
      <c r="C50" s="25">
        <f>'D) Ecrêtage'!N39</f>
        <v>91629.911044776149</v>
      </c>
      <c r="D50" s="18">
        <f>'A) Base RI'!AN41</f>
        <v>2798</v>
      </c>
      <c r="E50" s="25">
        <f t="shared" si="1"/>
        <v>1700275</v>
      </c>
      <c r="F50" s="73">
        <f>'F) Population'!K42</f>
        <v>729300</v>
      </c>
      <c r="G50" s="18">
        <f>'G) Solidarité'!I39</f>
        <v>554904.67904781713</v>
      </c>
      <c r="H50" s="25">
        <f t="shared" si="2"/>
        <v>1284204.6790478171</v>
      </c>
      <c r="I50" s="98">
        <f t="shared" si="3"/>
        <v>416070.32095218287</v>
      </c>
    </row>
    <row r="51" spans="1:9" x14ac:dyDescent="0.25">
      <c r="A51" s="82">
        <f>'A) Base RI'!A42</f>
        <v>5471</v>
      </c>
      <c r="B51" s="62" t="str">
        <f>'A) Base RI'!B42</f>
        <v>Bettens</v>
      </c>
      <c r="C51" s="25">
        <f>'D) Ecrêtage'!N40</f>
        <v>18668.279507936502</v>
      </c>
      <c r="D51" s="18">
        <f>'A) Base RI'!AN42</f>
        <v>531</v>
      </c>
      <c r="E51" s="25">
        <f t="shared" si="1"/>
        <v>346407</v>
      </c>
      <c r="F51" s="73">
        <f>'F) Population'!K43</f>
        <v>53100</v>
      </c>
      <c r="G51" s="18">
        <f>'G) Solidarité'!I40</f>
        <v>90025.512512289206</v>
      </c>
      <c r="H51" s="25">
        <f t="shared" si="2"/>
        <v>143125.51251228922</v>
      </c>
      <c r="I51" s="98">
        <f t="shared" si="3"/>
        <v>203281.48748771078</v>
      </c>
    </row>
    <row r="52" spans="1:9" x14ac:dyDescent="0.25">
      <c r="A52" s="82">
        <f>'A) Base RI'!A43</f>
        <v>5472</v>
      </c>
      <c r="B52" s="62" t="str">
        <f>'A) Base RI'!B43</f>
        <v>Bournens</v>
      </c>
      <c r="C52" s="25">
        <f>'D) Ecrêtage'!N41</f>
        <v>12834.669250000001</v>
      </c>
      <c r="D52" s="18">
        <f>'A) Base RI'!AN43</f>
        <v>362</v>
      </c>
      <c r="E52" s="25">
        <f t="shared" si="1"/>
        <v>238159</v>
      </c>
      <c r="F52" s="73">
        <f>'F) Population'!K44</f>
        <v>36200</v>
      </c>
      <c r="G52" s="18">
        <f>'G) Solidarité'!I41</f>
        <v>77414.532248970747</v>
      </c>
      <c r="H52" s="25">
        <f t="shared" si="2"/>
        <v>113614.53224897075</v>
      </c>
      <c r="I52" s="98">
        <f t="shared" si="3"/>
        <v>124544.46775102925</v>
      </c>
    </row>
    <row r="53" spans="1:9" x14ac:dyDescent="0.25">
      <c r="A53" s="82">
        <f>'A) Base RI'!A44</f>
        <v>5473</v>
      </c>
      <c r="B53" s="62" t="str">
        <f>'A) Base RI'!B44</f>
        <v>Boussens</v>
      </c>
      <c r="C53" s="25">
        <f>'D) Ecrêtage'!N42</f>
        <v>32904.507681159426</v>
      </c>
      <c r="D53" s="18">
        <f>'A) Base RI'!AN44</f>
        <v>944</v>
      </c>
      <c r="E53" s="25">
        <f t="shared" si="1"/>
        <v>610572</v>
      </c>
      <c r="F53" s="73">
        <f>'F) Population'!K45</f>
        <v>94400</v>
      </c>
      <c r="G53" s="18">
        <f>'G) Solidarité'!I42</f>
        <v>160874.69281914877</v>
      </c>
      <c r="H53" s="25">
        <f t="shared" si="2"/>
        <v>255274.69281914877</v>
      </c>
      <c r="I53" s="98">
        <f t="shared" si="3"/>
        <v>355297.30718085123</v>
      </c>
    </row>
    <row r="54" spans="1:9" x14ac:dyDescent="0.25">
      <c r="A54" s="82">
        <f>'A) Base RI'!A45</f>
        <v>5474</v>
      </c>
      <c r="B54" s="62" t="str">
        <f>'A) Base RI'!B45</f>
        <v>La Chaux (Cossonay)</v>
      </c>
      <c r="C54" s="25">
        <f>'D) Ecrêtage'!N43</f>
        <v>12942.370952380952</v>
      </c>
      <c r="D54" s="18">
        <f>'A) Base RI'!AN45</f>
        <v>422</v>
      </c>
      <c r="E54" s="25">
        <f t="shared" si="1"/>
        <v>240157</v>
      </c>
      <c r="F54" s="73">
        <f>'F) Population'!K46</f>
        <v>42200</v>
      </c>
      <c r="G54" s="18">
        <f>'G) Solidarité'!I43</f>
        <v>131230.89420427449</v>
      </c>
      <c r="H54" s="25">
        <f t="shared" si="2"/>
        <v>173430.89420427449</v>
      </c>
      <c r="I54" s="98">
        <f t="shared" si="3"/>
        <v>66726.105795725511</v>
      </c>
    </row>
    <row r="55" spans="1:9" x14ac:dyDescent="0.25">
      <c r="A55" s="82">
        <f>'A) Base RI'!A46</f>
        <v>5475</v>
      </c>
      <c r="B55" s="62" t="str">
        <f>'A) Base RI'!B46</f>
        <v>Chavannes-le-Veyron</v>
      </c>
      <c r="C55" s="25">
        <f>'D) Ecrêtage'!N44</f>
        <v>2876.9510389610391</v>
      </c>
      <c r="D55" s="18">
        <f>'A) Base RI'!AN46</f>
        <v>127</v>
      </c>
      <c r="E55" s="25">
        <f t="shared" si="1"/>
        <v>53384</v>
      </c>
      <c r="F55" s="73">
        <f>'F) Population'!K47</f>
        <v>12700</v>
      </c>
      <c r="G55" s="18">
        <f>'G) Solidarité'!I44</f>
        <v>63501.161353095915</v>
      </c>
      <c r="H55" s="25">
        <f t="shared" si="2"/>
        <v>76201.161353095915</v>
      </c>
      <c r="I55" s="98">
        <f t="shared" si="3"/>
        <v>-22817.161353095915</v>
      </c>
    </row>
    <row r="56" spans="1:9" x14ac:dyDescent="0.25">
      <c r="A56" s="82">
        <f>'A) Base RI'!A47</f>
        <v>5476</v>
      </c>
      <c r="B56" s="62" t="str">
        <f>'A) Base RI'!B47</f>
        <v>Chevilly</v>
      </c>
      <c r="C56" s="25">
        <f>'D) Ecrêtage'!N45</f>
        <v>7286.6650000000009</v>
      </c>
      <c r="D56" s="18">
        <f>'A) Base RI'!AN47</f>
        <v>249</v>
      </c>
      <c r="E56" s="25">
        <f t="shared" si="1"/>
        <v>135211</v>
      </c>
      <c r="F56" s="73">
        <f>'F) Population'!K48</f>
        <v>24900</v>
      </c>
      <c r="G56" s="18">
        <f>'G) Solidarité'!I45</f>
        <v>79138.341151683358</v>
      </c>
      <c r="H56" s="25">
        <f t="shared" si="2"/>
        <v>104038.34115168336</v>
      </c>
      <c r="I56" s="98">
        <f t="shared" si="3"/>
        <v>31172.658848316642</v>
      </c>
    </row>
    <row r="57" spans="1:9" x14ac:dyDescent="0.25">
      <c r="A57" s="82">
        <f>'A) Base RI'!A48</f>
        <v>5477</v>
      </c>
      <c r="B57" s="62" t="str">
        <f>'A) Base RI'!B48</f>
        <v>Cossonay</v>
      </c>
      <c r="C57" s="25">
        <f>'D) Ecrêtage'!N46</f>
        <v>125737.979346211</v>
      </c>
      <c r="D57" s="18">
        <f>'A) Base RI'!AN48</f>
        <v>3608</v>
      </c>
      <c r="E57" s="25">
        <f t="shared" si="1"/>
        <v>2333180</v>
      </c>
      <c r="F57" s="73">
        <f>'F) Population'!K49</f>
        <v>1104000</v>
      </c>
      <c r="G57" s="18">
        <f>'G) Solidarité'!I46</f>
        <v>585379.21813172672</v>
      </c>
      <c r="H57" s="25">
        <f t="shared" si="2"/>
        <v>1689379.2181317266</v>
      </c>
      <c r="I57" s="98">
        <f t="shared" si="3"/>
        <v>643800.78186827339</v>
      </c>
    </row>
    <row r="58" spans="1:9" x14ac:dyDescent="0.25">
      <c r="A58" s="82">
        <f>'A) Base RI'!A49</f>
        <v>5478</v>
      </c>
      <c r="B58" s="62" t="str">
        <f>'A) Base RI'!B49</f>
        <v>Cottens</v>
      </c>
      <c r="C58" s="25">
        <f>'D) Ecrêtage'!N47</f>
        <v>15613.399583333334</v>
      </c>
      <c r="D58" s="18">
        <f>'A) Base RI'!AN49</f>
        <v>472</v>
      </c>
      <c r="E58" s="25">
        <f t="shared" si="1"/>
        <v>289721</v>
      </c>
      <c r="F58" s="73">
        <f>'F) Population'!K50</f>
        <v>47200</v>
      </c>
      <c r="G58" s="18">
        <f>'G) Solidarité'!I47</f>
        <v>104880.41982077804</v>
      </c>
      <c r="H58" s="25">
        <f t="shared" si="2"/>
        <v>152080.41982077804</v>
      </c>
      <c r="I58" s="98">
        <f t="shared" si="3"/>
        <v>137640.58017922196</v>
      </c>
    </row>
    <row r="59" spans="1:9" x14ac:dyDescent="0.25">
      <c r="A59" s="82">
        <f>'A) Base RI'!A50</f>
        <v>5479</v>
      </c>
      <c r="B59" s="62" t="str">
        <f>'A) Base RI'!B50</f>
        <v>Cuarnens</v>
      </c>
      <c r="C59" s="25">
        <f>'D) Ecrêtage'!N48</f>
        <v>12479.493246753247</v>
      </c>
      <c r="D59" s="18">
        <f>'A) Base RI'!AN50</f>
        <v>435</v>
      </c>
      <c r="E59" s="25">
        <f t="shared" si="1"/>
        <v>231568</v>
      </c>
      <c r="F59" s="73">
        <f>'F) Population'!K51</f>
        <v>43500</v>
      </c>
      <c r="G59" s="18">
        <f>'G) Solidarité'!I48</f>
        <v>155591.55818736769</v>
      </c>
      <c r="H59" s="25">
        <f t="shared" si="2"/>
        <v>199091.55818736769</v>
      </c>
      <c r="I59" s="98">
        <f t="shared" si="3"/>
        <v>32476.441812632314</v>
      </c>
    </row>
    <row r="60" spans="1:9" x14ac:dyDescent="0.25">
      <c r="A60" s="82">
        <f>'A) Base RI'!A51</f>
        <v>5480</v>
      </c>
      <c r="B60" s="62" t="str">
        <f>'A) Base RI'!B51</f>
        <v>Daillens</v>
      </c>
      <c r="C60" s="25">
        <f>'D) Ecrêtage'!N49</f>
        <v>38475.41492957747</v>
      </c>
      <c r="D60" s="18">
        <f>'A) Base RI'!AN51</f>
        <v>940</v>
      </c>
      <c r="E60" s="25">
        <f t="shared" si="1"/>
        <v>713946</v>
      </c>
      <c r="F60" s="73">
        <f>'F) Population'!K52</f>
        <v>94000</v>
      </c>
      <c r="G60" s="18">
        <f>'G) Solidarité'!I49</f>
        <v>55119.820586765723</v>
      </c>
      <c r="H60" s="25">
        <f t="shared" si="2"/>
        <v>149119.82058676571</v>
      </c>
      <c r="I60" s="98">
        <f t="shared" si="3"/>
        <v>564826.17941323435</v>
      </c>
    </row>
    <row r="61" spans="1:9" x14ac:dyDescent="0.25">
      <c r="A61" s="82">
        <f>'A) Base RI'!A52</f>
        <v>5481</v>
      </c>
      <c r="B61" s="62" t="str">
        <f>'A) Base RI'!B52</f>
        <v>Dizy</v>
      </c>
      <c r="C61" s="25">
        <f>'D) Ecrêtage'!N50</f>
        <v>8070.2010810810825</v>
      </c>
      <c r="D61" s="18">
        <f>'A) Base RI'!AN52</f>
        <v>224</v>
      </c>
      <c r="E61" s="25">
        <f t="shared" si="1"/>
        <v>149750</v>
      </c>
      <c r="F61" s="73">
        <f>'F) Population'!K53</f>
        <v>22400</v>
      </c>
      <c r="G61" s="18">
        <f>'G) Solidarité'!I50</f>
        <v>38192.346895993469</v>
      </c>
      <c r="H61" s="25">
        <f t="shared" si="2"/>
        <v>60592.346895993469</v>
      </c>
      <c r="I61" s="98">
        <f t="shared" si="3"/>
        <v>89157.653104006531</v>
      </c>
    </row>
    <row r="62" spans="1:9" x14ac:dyDescent="0.25">
      <c r="A62" s="82">
        <f>'A) Base RI'!A53</f>
        <v>5482</v>
      </c>
      <c r="B62" s="62" t="str">
        <f>'A) Base RI'!B53</f>
        <v>Eclépens</v>
      </c>
      <c r="C62" s="25">
        <f>'D) Ecrêtage'!N51</f>
        <v>63915.275354987818</v>
      </c>
      <c r="D62" s="18">
        <f>'A) Base RI'!AN53</f>
        <v>1010</v>
      </c>
      <c r="E62" s="25">
        <f t="shared" si="1"/>
        <v>1186005</v>
      </c>
      <c r="F62" s="73">
        <f>'F) Population'!K54</f>
        <v>103500</v>
      </c>
      <c r="G62" s="18">
        <f>'G) Solidarité'!I51</f>
        <v>0</v>
      </c>
      <c r="H62" s="25">
        <f t="shared" si="2"/>
        <v>103500</v>
      </c>
      <c r="I62" s="98">
        <f t="shared" si="3"/>
        <v>1082505</v>
      </c>
    </row>
    <row r="63" spans="1:9" x14ac:dyDescent="0.25">
      <c r="A63" s="82">
        <f>'A) Base RI'!A54</f>
        <v>5483</v>
      </c>
      <c r="B63" s="62" t="str">
        <f>'A) Base RI'!B54</f>
        <v>Ferreyres</v>
      </c>
      <c r="C63" s="25">
        <f>'D) Ecrêtage'!N52</f>
        <v>10043.857368421051</v>
      </c>
      <c r="D63" s="18">
        <f>'A) Base RI'!AN54</f>
        <v>302</v>
      </c>
      <c r="E63" s="25">
        <f t="shared" si="1"/>
        <v>186373</v>
      </c>
      <c r="F63" s="73">
        <f>'F) Population'!K55</f>
        <v>30200</v>
      </c>
      <c r="G63" s="18">
        <f>'G) Solidarité'!I52</f>
        <v>73530.065592654864</v>
      </c>
      <c r="H63" s="25">
        <f t="shared" si="2"/>
        <v>103730.06559265486</v>
      </c>
      <c r="I63" s="98">
        <f t="shared" si="3"/>
        <v>82642.934407345136</v>
      </c>
    </row>
    <row r="64" spans="1:9" x14ac:dyDescent="0.25">
      <c r="A64" s="82">
        <f>'A) Base RI'!A55</f>
        <v>5484</v>
      </c>
      <c r="B64" s="62" t="str">
        <f>'A) Base RI'!B55</f>
        <v>Gollion</v>
      </c>
      <c r="C64" s="25">
        <f>'D) Ecrêtage'!N53</f>
        <v>24450.824189189188</v>
      </c>
      <c r="D64" s="18">
        <f>'A) Base RI'!AN55</f>
        <v>813</v>
      </c>
      <c r="E64" s="25">
        <f t="shared" si="1"/>
        <v>453707</v>
      </c>
      <c r="F64" s="73">
        <f>'F) Population'!K56</f>
        <v>81300</v>
      </c>
      <c r="G64" s="18">
        <f>'G) Solidarité'!I53</f>
        <v>244028.81807613221</v>
      </c>
      <c r="H64" s="25">
        <f t="shared" si="2"/>
        <v>325328.81807613221</v>
      </c>
      <c r="I64" s="98">
        <f t="shared" si="3"/>
        <v>128378.18192386779</v>
      </c>
    </row>
    <row r="65" spans="1:9" x14ac:dyDescent="0.25">
      <c r="A65" s="82">
        <f>'A) Base RI'!A56</f>
        <v>5485</v>
      </c>
      <c r="B65" s="62" t="str">
        <f>'A) Base RI'!B56</f>
        <v>Grancy</v>
      </c>
      <c r="C65" s="25">
        <f>'D) Ecrêtage'!N54</f>
        <v>18011.997142857144</v>
      </c>
      <c r="D65" s="18">
        <f>'A) Base RI'!AN56</f>
        <v>388</v>
      </c>
      <c r="E65" s="25">
        <f t="shared" si="1"/>
        <v>334229</v>
      </c>
      <c r="F65" s="73">
        <f>'F) Population'!K57</f>
        <v>38800</v>
      </c>
      <c r="G65" s="18">
        <f>'G) Solidarité'!I54</f>
        <v>0</v>
      </c>
      <c r="H65" s="25">
        <f t="shared" si="2"/>
        <v>38800</v>
      </c>
      <c r="I65" s="98">
        <f t="shared" si="3"/>
        <v>295429</v>
      </c>
    </row>
    <row r="66" spans="1:9" x14ac:dyDescent="0.25">
      <c r="A66" s="82">
        <f>'A) Base RI'!A57</f>
        <v>5486</v>
      </c>
      <c r="B66" s="62" t="str">
        <f>'A) Base RI'!B57</f>
        <v>L'Isle</v>
      </c>
      <c r="C66" s="25">
        <f>'D) Ecrêtage'!N55</f>
        <v>26627.790138888886</v>
      </c>
      <c r="D66" s="18">
        <f>'A) Base RI'!AN57</f>
        <v>1004</v>
      </c>
      <c r="E66" s="25">
        <f t="shared" si="1"/>
        <v>494102</v>
      </c>
      <c r="F66" s="73">
        <f>'F) Population'!K58</f>
        <v>101400</v>
      </c>
      <c r="G66" s="18">
        <f>'G) Solidarité'!I55</f>
        <v>358844.73150698096</v>
      </c>
      <c r="H66" s="25">
        <f t="shared" si="2"/>
        <v>460244.73150698096</v>
      </c>
      <c r="I66" s="98">
        <f t="shared" si="3"/>
        <v>33857.268493019044</v>
      </c>
    </row>
    <row r="67" spans="1:9" x14ac:dyDescent="0.25">
      <c r="A67" s="82">
        <f>'A) Base RI'!A58</f>
        <v>5487</v>
      </c>
      <c r="B67" s="62" t="str">
        <f>'A) Base RI'!B58</f>
        <v>Lussery-Villars</v>
      </c>
      <c r="C67" s="25">
        <f>'D) Ecrêtage'!N56</f>
        <v>14161.564</v>
      </c>
      <c r="D67" s="18">
        <f>'A) Base RI'!AN58</f>
        <v>404</v>
      </c>
      <c r="E67" s="25">
        <f t="shared" si="1"/>
        <v>262780</v>
      </c>
      <c r="F67" s="73">
        <f>'F) Population'!K59</f>
        <v>40400</v>
      </c>
      <c r="G67" s="18">
        <f>'G) Solidarité'!I56</f>
        <v>59760.987043136854</v>
      </c>
      <c r="H67" s="25">
        <f t="shared" si="2"/>
        <v>100160.98704313685</v>
      </c>
      <c r="I67" s="98">
        <f t="shared" si="3"/>
        <v>162619.01295686315</v>
      </c>
    </row>
    <row r="68" spans="1:9" x14ac:dyDescent="0.25">
      <c r="A68" s="82">
        <f>'A) Base RI'!A59</f>
        <v>5488</v>
      </c>
      <c r="B68" s="62" t="str">
        <f>'A) Base RI'!B59</f>
        <v>Mauraz</v>
      </c>
      <c r="C68" s="25">
        <f>'D) Ecrêtage'!N57</f>
        <v>1648.4024324324325</v>
      </c>
      <c r="D68" s="18">
        <f>'A) Base RI'!AN59</f>
        <v>49</v>
      </c>
      <c r="E68" s="25">
        <f t="shared" si="1"/>
        <v>30588</v>
      </c>
      <c r="F68" s="73">
        <f>'F) Population'!K60</f>
        <v>4900</v>
      </c>
      <c r="G68" s="18">
        <f>'G) Solidarité'!I57</f>
        <v>10901.90226636059</v>
      </c>
      <c r="H68" s="25">
        <f t="shared" si="2"/>
        <v>15801.90226636059</v>
      </c>
      <c r="I68" s="98">
        <f t="shared" si="3"/>
        <v>14786.09773363941</v>
      </c>
    </row>
    <row r="69" spans="1:9" x14ac:dyDescent="0.25">
      <c r="A69" s="82">
        <f>'A) Base RI'!A60</f>
        <v>5489</v>
      </c>
      <c r="B69" s="62" t="str">
        <f>'A) Base RI'!B60</f>
        <v>Mex</v>
      </c>
      <c r="C69" s="25">
        <f>'D) Ecrêtage'!N58</f>
        <v>47065.380385310324</v>
      </c>
      <c r="D69" s="18">
        <f>'A) Base RI'!AN60</f>
        <v>670</v>
      </c>
      <c r="E69" s="25">
        <f t="shared" si="1"/>
        <v>873340</v>
      </c>
      <c r="F69" s="73">
        <f>'F) Population'!K61</f>
        <v>67000</v>
      </c>
      <c r="G69" s="18">
        <f>'G) Solidarité'!I58</f>
        <v>0</v>
      </c>
      <c r="H69" s="25">
        <f t="shared" si="2"/>
        <v>67000</v>
      </c>
      <c r="I69" s="98">
        <f t="shared" si="3"/>
        <v>806340</v>
      </c>
    </row>
    <row r="70" spans="1:9" x14ac:dyDescent="0.25">
      <c r="A70" s="82">
        <f>'A) Base RI'!A61</f>
        <v>5490</v>
      </c>
      <c r="B70" s="62" t="str">
        <f>'A) Base RI'!B61</f>
        <v>Moiry</v>
      </c>
      <c r="C70" s="25">
        <f>'D) Ecrêtage'!N59</f>
        <v>7150.2259259259263</v>
      </c>
      <c r="D70" s="18">
        <f>'A) Base RI'!AN61</f>
        <v>263</v>
      </c>
      <c r="E70" s="25">
        <f t="shared" si="1"/>
        <v>132679</v>
      </c>
      <c r="F70" s="73">
        <f>'F) Population'!K62</f>
        <v>26300</v>
      </c>
      <c r="G70" s="18">
        <f>'G) Solidarité'!I59</f>
        <v>114401.66807307703</v>
      </c>
      <c r="H70" s="25">
        <f t="shared" si="2"/>
        <v>140701.66807307705</v>
      </c>
      <c r="I70" s="98">
        <f t="shared" si="3"/>
        <v>-8022.6680730770458</v>
      </c>
    </row>
    <row r="71" spans="1:9" x14ac:dyDescent="0.25">
      <c r="A71" s="82">
        <f>'A) Base RI'!A62</f>
        <v>5491</v>
      </c>
      <c r="B71" s="62" t="str">
        <f>'A) Base RI'!B62</f>
        <v>Mont-la-Ville</v>
      </c>
      <c r="C71" s="25">
        <f>'D) Ecrêtage'!N60</f>
        <v>9158.0513157894729</v>
      </c>
      <c r="D71" s="18">
        <f>'A) Base RI'!AN62</f>
        <v>372</v>
      </c>
      <c r="E71" s="25">
        <f t="shared" si="1"/>
        <v>169936</v>
      </c>
      <c r="F71" s="73">
        <f>'F) Population'!K63</f>
        <v>37200</v>
      </c>
      <c r="G71" s="18">
        <f>'G) Solidarité'!I60</f>
        <v>164407.89974973805</v>
      </c>
      <c r="H71" s="25">
        <f t="shared" si="2"/>
        <v>201607.89974973805</v>
      </c>
      <c r="I71" s="98">
        <f t="shared" si="3"/>
        <v>-31671.899749738048</v>
      </c>
    </row>
    <row r="72" spans="1:9" x14ac:dyDescent="0.25">
      <c r="A72" s="82">
        <f>'A) Base RI'!A63</f>
        <v>5492</v>
      </c>
      <c r="B72" s="62" t="str">
        <f>'A) Base RI'!B63</f>
        <v>Montricher</v>
      </c>
      <c r="C72" s="25">
        <f>'D) Ecrêtage'!N61</f>
        <v>97460.937276275261</v>
      </c>
      <c r="D72" s="18">
        <f>'A) Base RI'!AN63</f>
        <v>930</v>
      </c>
      <c r="E72" s="25">
        <f t="shared" ref="E72:E126" si="4">ROUND(C72*E$15,0)</f>
        <v>1808475</v>
      </c>
      <c r="F72" s="73">
        <f>'F) Population'!K64</f>
        <v>93000</v>
      </c>
      <c r="G72" s="18">
        <f>'G) Solidarité'!I61</f>
        <v>0</v>
      </c>
      <c r="H72" s="25">
        <f t="shared" ref="H72:H126" si="5">F72+G72</f>
        <v>93000</v>
      </c>
      <c r="I72" s="98">
        <f t="shared" ref="I72:I126" si="6">E72-H72</f>
        <v>1715475</v>
      </c>
    </row>
    <row r="73" spans="1:9" x14ac:dyDescent="0.25">
      <c r="A73" s="82">
        <f>'A) Base RI'!A64</f>
        <v>5493</v>
      </c>
      <c r="B73" s="62" t="str">
        <f>'A) Base RI'!B64</f>
        <v>Orny</v>
      </c>
      <c r="C73" s="25">
        <f>'D) Ecrêtage'!N62</f>
        <v>9474.9746364594321</v>
      </c>
      <c r="D73" s="18">
        <f>'A) Base RI'!AN64</f>
        <v>364</v>
      </c>
      <c r="E73" s="25">
        <f t="shared" si="4"/>
        <v>175817</v>
      </c>
      <c r="F73" s="73">
        <f>'F) Population'!K65</f>
        <v>36400</v>
      </c>
      <c r="G73" s="18">
        <f>'G) Solidarité'!I62</f>
        <v>137530.52769173987</v>
      </c>
      <c r="H73" s="25">
        <f t="shared" si="5"/>
        <v>173930.52769173987</v>
      </c>
      <c r="I73" s="98">
        <f t="shared" si="6"/>
        <v>1886.4723082601267</v>
      </c>
    </row>
    <row r="74" spans="1:9" x14ac:dyDescent="0.25">
      <c r="A74" s="82">
        <f>'A) Base RI'!A65</f>
        <v>5494</v>
      </c>
      <c r="B74" s="62" t="str">
        <f>'A) Base RI'!B65</f>
        <v>Pampigny</v>
      </c>
      <c r="C74" s="25">
        <f>'D) Ecrêtage'!N63</f>
        <v>34918.82189206349</v>
      </c>
      <c r="D74" s="18">
        <f>'A) Base RI'!AN65</f>
        <v>1104</v>
      </c>
      <c r="E74" s="25">
        <f t="shared" si="4"/>
        <v>647950</v>
      </c>
      <c r="F74" s="73">
        <f>'F) Population'!K66</f>
        <v>136400</v>
      </c>
      <c r="G74" s="18">
        <f>'G) Solidarité'!I63</f>
        <v>301994.01058602828</v>
      </c>
      <c r="H74" s="25">
        <f t="shared" si="5"/>
        <v>438394.01058602828</v>
      </c>
      <c r="I74" s="98">
        <f t="shared" si="6"/>
        <v>209555.98941397172</v>
      </c>
    </row>
    <row r="75" spans="1:9" x14ac:dyDescent="0.25">
      <c r="A75" s="82">
        <f>'A) Base RI'!A66</f>
        <v>5495</v>
      </c>
      <c r="B75" s="62" t="str">
        <f>'A) Base RI'!B66</f>
        <v>Penthalaz</v>
      </c>
      <c r="C75" s="25">
        <f>'D) Ecrêtage'!N64</f>
        <v>87716.055405405408</v>
      </c>
      <c r="D75" s="18">
        <f>'A) Base RI'!AN66</f>
        <v>3150</v>
      </c>
      <c r="E75" s="25">
        <f t="shared" si="4"/>
        <v>1627650</v>
      </c>
      <c r="F75" s="73">
        <f>'F) Population'!K67</f>
        <v>875000</v>
      </c>
      <c r="G75" s="18">
        <f>'G) Solidarité'!I64</f>
        <v>1098390.2488486348</v>
      </c>
      <c r="H75" s="25">
        <f t="shared" si="5"/>
        <v>1973390.2488486348</v>
      </c>
      <c r="I75" s="98">
        <f t="shared" si="6"/>
        <v>-345740.24884863477</v>
      </c>
    </row>
    <row r="76" spans="1:9" x14ac:dyDescent="0.25">
      <c r="A76" s="82">
        <f>'A) Base RI'!A67</f>
        <v>5496</v>
      </c>
      <c r="B76" s="62" t="str">
        <f>'A) Base RI'!B67</f>
        <v>Penthaz</v>
      </c>
      <c r="C76" s="25">
        <f>'D) Ecrêtage'!N65</f>
        <v>51566.366901408452</v>
      </c>
      <c r="D76" s="18">
        <f>'A) Base RI'!AN67</f>
        <v>1666</v>
      </c>
      <c r="E76" s="25">
        <f t="shared" si="4"/>
        <v>956860</v>
      </c>
      <c r="F76" s="73">
        <f>'F) Population'!K68</f>
        <v>333100</v>
      </c>
      <c r="G76" s="18">
        <f>'G) Solidarité'!I65</f>
        <v>431031.96117332758</v>
      </c>
      <c r="H76" s="25">
        <f t="shared" si="5"/>
        <v>764131.96117332764</v>
      </c>
      <c r="I76" s="98">
        <f t="shared" si="6"/>
        <v>192728.03882667236</v>
      </c>
    </row>
    <row r="77" spans="1:9" x14ac:dyDescent="0.25">
      <c r="A77" s="82">
        <f>'A) Base RI'!A68</f>
        <v>5497</v>
      </c>
      <c r="B77" s="62" t="str">
        <f>'A) Base RI'!B68</f>
        <v>Pompaples</v>
      </c>
      <c r="C77" s="25">
        <f>'D) Ecrêtage'!N66</f>
        <v>20299.313939393938</v>
      </c>
      <c r="D77" s="18">
        <f>'A) Base RI'!AN68</f>
        <v>839</v>
      </c>
      <c r="E77" s="25">
        <f>ROUND(C77*E$15,0)</f>
        <v>376672</v>
      </c>
      <c r="F77" s="73">
        <f>'F) Population'!K69</f>
        <v>83900</v>
      </c>
      <c r="G77" s="18">
        <f>'G) Solidarité'!I66</f>
        <v>285801.98594515026</v>
      </c>
      <c r="H77" s="25">
        <f>F77+G77</f>
        <v>369701.98594515026</v>
      </c>
      <c r="I77" s="98">
        <f>E77-H77</f>
        <v>6970.0140548497438</v>
      </c>
    </row>
    <row r="78" spans="1:9" x14ac:dyDescent="0.25">
      <c r="A78" s="82">
        <f>'A) Base RI'!A69</f>
        <v>5498</v>
      </c>
      <c r="B78" s="62" t="str">
        <f>'A) Base RI'!B69</f>
        <v>La Sarraz</v>
      </c>
      <c r="C78" s="25">
        <f>'D) Ecrêtage'!N67</f>
        <v>72296.623593750002</v>
      </c>
      <c r="D78" s="18">
        <f>'A) Base RI'!AN69</f>
        <v>2510</v>
      </c>
      <c r="E78" s="25">
        <f t="shared" si="4"/>
        <v>1341528</v>
      </c>
      <c r="F78" s="73">
        <f>'F) Population'!K70</f>
        <v>628500</v>
      </c>
      <c r="G78" s="18">
        <f>'G) Solidarité'!I67</f>
        <v>615524.24338457745</v>
      </c>
      <c r="H78" s="25">
        <f t="shared" si="5"/>
        <v>1244024.2433845773</v>
      </c>
      <c r="I78" s="98">
        <f t="shared" si="6"/>
        <v>97503.756615422666</v>
      </c>
    </row>
    <row r="79" spans="1:9" x14ac:dyDescent="0.25">
      <c r="A79" s="82">
        <f>'A) Base RI'!A70</f>
        <v>5499</v>
      </c>
      <c r="B79" s="62" t="str">
        <f>'A) Base RI'!B70</f>
        <v>Senarclens</v>
      </c>
      <c r="C79" s="25">
        <f>'D) Ecrêtage'!N68</f>
        <v>17459.062919708031</v>
      </c>
      <c r="D79" s="18">
        <f>'A) Base RI'!AN70</f>
        <v>435</v>
      </c>
      <c r="E79" s="25">
        <f t="shared" si="4"/>
        <v>323968</v>
      </c>
      <c r="F79" s="73">
        <f>'F) Population'!K71</f>
        <v>43500</v>
      </c>
      <c r="G79" s="18">
        <f>'G) Solidarité'!I68</f>
        <v>30201.294415906741</v>
      </c>
      <c r="H79" s="25">
        <f t="shared" si="5"/>
        <v>73701.294415906741</v>
      </c>
      <c r="I79" s="98">
        <f t="shared" si="6"/>
        <v>250266.70558409326</v>
      </c>
    </row>
    <row r="80" spans="1:9" x14ac:dyDescent="0.25">
      <c r="A80" s="82">
        <f>'A) Base RI'!A71</f>
        <v>5500</v>
      </c>
      <c r="B80" s="62" t="str">
        <f>'A) Base RI'!B71</f>
        <v>Sévery</v>
      </c>
      <c r="C80" s="25">
        <f>'D) Ecrêtage'!N69</f>
        <v>6102.0277564102553</v>
      </c>
      <c r="D80" s="18">
        <f>'A) Base RI'!AN71</f>
        <v>223</v>
      </c>
      <c r="E80" s="25">
        <f t="shared" si="4"/>
        <v>113229</v>
      </c>
      <c r="F80" s="73">
        <f>'F) Population'!K72</f>
        <v>22300</v>
      </c>
      <c r="G80" s="18">
        <f>'G) Solidarité'!I69</f>
        <v>88999.149274767944</v>
      </c>
      <c r="H80" s="25">
        <f t="shared" si="5"/>
        <v>111299.14927476794</v>
      </c>
      <c r="I80" s="98">
        <f t="shared" si="6"/>
        <v>1929.850725232056</v>
      </c>
    </row>
    <row r="81" spans="1:9" x14ac:dyDescent="0.25">
      <c r="A81" s="82">
        <f>'A) Base RI'!A72</f>
        <v>5501</v>
      </c>
      <c r="B81" s="62" t="str">
        <f>'A) Base RI'!B72</f>
        <v>Sullens</v>
      </c>
      <c r="C81" s="25">
        <f>'D) Ecrêtage'!N70</f>
        <v>37787.89666666666</v>
      </c>
      <c r="D81" s="18">
        <f>'A) Base RI'!AN72</f>
        <v>902</v>
      </c>
      <c r="E81" s="25">
        <f t="shared" si="4"/>
        <v>701188</v>
      </c>
      <c r="F81" s="73">
        <f>'F) Population'!K73</f>
        <v>90200</v>
      </c>
      <c r="G81" s="18">
        <f>'G) Solidarité'!I70</f>
        <v>36497.204521530548</v>
      </c>
      <c r="H81" s="25">
        <f t="shared" si="5"/>
        <v>126697.20452153054</v>
      </c>
      <c r="I81" s="98">
        <f t="shared" si="6"/>
        <v>574490.79547846946</v>
      </c>
    </row>
    <row r="82" spans="1:9" x14ac:dyDescent="0.25">
      <c r="A82" s="82">
        <f>'A) Base RI'!A73</f>
        <v>5503</v>
      </c>
      <c r="B82" s="62" t="str">
        <f>'A) Base RI'!B73</f>
        <v>Vufflens-la-Ville</v>
      </c>
      <c r="C82" s="25">
        <f>'D) Ecrêtage'!N71</f>
        <v>57812.991915422885</v>
      </c>
      <c r="D82" s="18">
        <f>'A) Base RI'!AN73</f>
        <v>1226</v>
      </c>
      <c r="E82" s="25">
        <f t="shared" si="4"/>
        <v>1072772</v>
      </c>
      <c r="F82" s="73">
        <f>'F) Population'!K74</f>
        <v>179100</v>
      </c>
      <c r="G82" s="18">
        <f>'G) Solidarité'!I71</f>
        <v>0</v>
      </c>
      <c r="H82" s="25">
        <f t="shared" si="5"/>
        <v>179100</v>
      </c>
      <c r="I82" s="98">
        <f t="shared" si="6"/>
        <v>893672</v>
      </c>
    </row>
    <row r="83" spans="1:9" x14ac:dyDescent="0.25">
      <c r="A83" s="82">
        <f>'A) Base RI'!A74</f>
        <v>5511</v>
      </c>
      <c r="B83" s="62" t="str">
        <f>'A) Base RI'!B74</f>
        <v>Assens</v>
      </c>
      <c r="C83" s="25">
        <f>'D) Ecrêtage'!N72</f>
        <v>39783.593571428566</v>
      </c>
      <c r="D83" s="18">
        <f>'A) Base RI'!AN74</f>
        <v>1024</v>
      </c>
      <c r="E83" s="25">
        <f t="shared" si="4"/>
        <v>738220</v>
      </c>
      <c r="F83" s="73">
        <f>'F) Population'!K75</f>
        <v>108400</v>
      </c>
      <c r="G83" s="18">
        <f>'G) Solidarité'!I72</f>
        <v>99879.640765393429</v>
      </c>
      <c r="H83" s="25">
        <f t="shared" si="5"/>
        <v>208279.64076539344</v>
      </c>
      <c r="I83" s="98">
        <f t="shared" si="6"/>
        <v>529940.35923460661</v>
      </c>
    </row>
    <row r="84" spans="1:9" x14ac:dyDescent="0.25">
      <c r="A84" s="82">
        <f>'A) Base RI'!A75</f>
        <v>5512</v>
      </c>
      <c r="B84" s="62" t="str">
        <f>'A) Base RI'!B75</f>
        <v>Bercher</v>
      </c>
      <c r="C84" s="25">
        <f>'D) Ecrêtage'!N73</f>
        <v>36622.722911392411</v>
      </c>
      <c r="D84" s="18">
        <f>'A) Base RI'!AN75</f>
        <v>1143</v>
      </c>
      <c r="E84" s="25">
        <f t="shared" si="4"/>
        <v>679567</v>
      </c>
      <c r="F84" s="73">
        <f>'F) Population'!K76</f>
        <v>150050</v>
      </c>
      <c r="G84" s="18">
        <f>'G) Solidarité'!I73</f>
        <v>335226.47595749411</v>
      </c>
      <c r="H84" s="25">
        <f t="shared" si="5"/>
        <v>485276.47595749411</v>
      </c>
      <c r="I84" s="98">
        <f t="shared" si="6"/>
        <v>194290.52404250589</v>
      </c>
    </row>
    <row r="85" spans="1:9" x14ac:dyDescent="0.25">
      <c r="A85" s="82">
        <f>'A) Base RI'!A76</f>
        <v>5513</v>
      </c>
      <c r="B85" s="62" t="str">
        <f>'A) Base RI'!B76</f>
        <v>Bioley-Orjulaz</v>
      </c>
      <c r="C85" s="25">
        <f>'D) Ecrêtage'!N74</f>
        <v>28667.291930654523</v>
      </c>
      <c r="D85" s="18">
        <f>'A) Base RI'!AN76</f>
        <v>460</v>
      </c>
      <c r="E85" s="25">
        <f t="shared" si="4"/>
        <v>531947</v>
      </c>
      <c r="F85" s="73">
        <f>'F) Population'!K77</f>
        <v>46000</v>
      </c>
      <c r="G85" s="18">
        <f>'G) Solidarité'!I74</f>
        <v>0</v>
      </c>
      <c r="H85" s="25">
        <f t="shared" si="5"/>
        <v>46000</v>
      </c>
      <c r="I85" s="98">
        <f t="shared" si="6"/>
        <v>485947</v>
      </c>
    </row>
    <row r="86" spans="1:9" x14ac:dyDescent="0.25">
      <c r="A86" s="82">
        <f>'A) Base RI'!A77</f>
        <v>5514</v>
      </c>
      <c r="B86" s="62" t="str">
        <f>'A) Base RI'!B77</f>
        <v>Bottens</v>
      </c>
      <c r="C86" s="25">
        <f>'D) Ecrêtage'!N75</f>
        <v>42846.050910973077</v>
      </c>
      <c r="D86" s="18">
        <f>'A) Base RI'!AN77</f>
        <v>1281</v>
      </c>
      <c r="E86" s="25">
        <f t="shared" si="4"/>
        <v>795047</v>
      </c>
      <c r="F86" s="73">
        <f>'F) Population'!K78</f>
        <v>198350</v>
      </c>
      <c r="G86" s="18">
        <f>'G) Solidarité'!I75</f>
        <v>252487.96963990279</v>
      </c>
      <c r="H86" s="25">
        <f t="shared" si="5"/>
        <v>450837.96963990282</v>
      </c>
      <c r="I86" s="98">
        <f t="shared" si="6"/>
        <v>344209.03036009718</v>
      </c>
    </row>
    <row r="87" spans="1:9" x14ac:dyDescent="0.25">
      <c r="A87" s="82">
        <f>'A) Base RI'!A78</f>
        <v>5515</v>
      </c>
      <c r="B87" s="62" t="str">
        <f>'A) Base RI'!B78</f>
        <v>Bretigny-sur-Morrens</v>
      </c>
      <c r="C87" s="25">
        <f>'D) Ecrêtage'!N76</f>
        <v>22223.6698630137</v>
      </c>
      <c r="D87" s="18">
        <f>'A) Base RI'!AN78</f>
        <v>785</v>
      </c>
      <c r="E87" s="25">
        <f t="shared" si="4"/>
        <v>412380</v>
      </c>
      <c r="F87" s="73">
        <f>'F) Population'!K79</f>
        <v>78500</v>
      </c>
      <c r="G87" s="18">
        <f>'G) Solidarité'!I76</f>
        <v>258656.74852665493</v>
      </c>
      <c r="H87" s="25">
        <f t="shared" si="5"/>
        <v>337156.7485266549</v>
      </c>
      <c r="I87" s="98">
        <f t="shared" si="6"/>
        <v>75223.251473345095</v>
      </c>
    </row>
    <row r="88" spans="1:9" x14ac:dyDescent="0.25">
      <c r="A88" s="82">
        <f>'A) Base RI'!A79</f>
        <v>5516</v>
      </c>
      <c r="B88" s="62" t="str">
        <f>'A) Base RI'!B79</f>
        <v>Cugy</v>
      </c>
      <c r="C88" s="25">
        <f>'D) Ecrêtage'!N77</f>
        <v>117631.39925373136</v>
      </c>
      <c r="D88" s="18">
        <f>'A) Base RI'!AN79</f>
        <v>2738</v>
      </c>
      <c r="E88" s="25">
        <f t="shared" si="4"/>
        <v>2182756</v>
      </c>
      <c r="F88" s="73">
        <f>'F) Population'!K80</f>
        <v>708300</v>
      </c>
      <c r="G88" s="18">
        <f>'G) Solidarité'!I77</f>
        <v>43670.505933999499</v>
      </c>
      <c r="H88" s="25">
        <f t="shared" si="5"/>
        <v>751970.50593399955</v>
      </c>
      <c r="I88" s="98">
        <f t="shared" si="6"/>
        <v>1430785.4940660005</v>
      </c>
    </row>
    <row r="89" spans="1:9" x14ac:dyDescent="0.25">
      <c r="A89" s="82">
        <f>'A) Base RI'!A80</f>
        <v>5518</v>
      </c>
      <c r="B89" s="62" t="str">
        <f>'A) Base RI'!B80</f>
        <v>Echallens</v>
      </c>
      <c r="C89" s="25">
        <f>'D) Ecrêtage'!N78</f>
        <v>173156.24540540541</v>
      </c>
      <c r="D89" s="18">
        <f>'A) Base RI'!AN80</f>
        <v>5485</v>
      </c>
      <c r="E89" s="25">
        <f t="shared" si="4"/>
        <v>3213069</v>
      </c>
      <c r="F89" s="73">
        <f>'F) Population'!K81</f>
        <v>2091000</v>
      </c>
      <c r="G89" s="18">
        <f>'G) Solidarité'!I78</f>
        <v>1467857.9473000939</v>
      </c>
      <c r="H89" s="25">
        <f t="shared" si="5"/>
        <v>3558857.9473000942</v>
      </c>
      <c r="I89" s="98">
        <f t="shared" si="6"/>
        <v>-345788.94730009418</v>
      </c>
    </row>
    <row r="90" spans="1:9" x14ac:dyDescent="0.25">
      <c r="A90" s="82">
        <f>'A) Base RI'!A81</f>
        <v>5520</v>
      </c>
      <c r="B90" s="62" t="str">
        <f>'A) Base RI'!B81</f>
        <v>Essertines-sur-Yverdon</v>
      </c>
      <c r="C90" s="25">
        <f>'D) Ecrêtage'!N79</f>
        <v>27983.283972602738</v>
      </c>
      <c r="D90" s="18">
        <f>'A) Base RI'!AN81</f>
        <v>908</v>
      </c>
      <c r="E90" s="25">
        <f t="shared" si="4"/>
        <v>519255</v>
      </c>
      <c r="F90" s="73">
        <f>'F) Population'!K82</f>
        <v>90800</v>
      </c>
      <c r="G90" s="18">
        <f>'G) Solidarité'!I79</f>
        <v>250912.89745157264</v>
      </c>
      <c r="H90" s="25">
        <f t="shared" si="5"/>
        <v>341712.89745157264</v>
      </c>
      <c r="I90" s="98">
        <f t="shared" si="6"/>
        <v>177542.10254842736</v>
      </c>
    </row>
    <row r="91" spans="1:9" x14ac:dyDescent="0.25">
      <c r="A91" s="82">
        <f>'A) Base RI'!A82</f>
        <v>5521</v>
      </c>
      <c r="B91" s="62" t="str">
        <f>'A) Base RI'!B82</f>
        <v>Etagnières</v>
      </c>
      <c r="C91" s="25">
        <f>'D) Ecrêtage'!N80</f>
        <v>36300.178904109591</v>
      </c>
      <c r="D91" s="18">
        <f>'A) Base RI'!AN82</f>
        <v>1106</v>
      </c>
      <c r="E91" s="25">
        <f t="shared" si="4"/>
        <v>673582</v>
      </c>
      <c r="F91" s="73">
        <f>'F) Population'!K83</f>
        <v>137100</v>
      </c>
      <c r="G91" s="18">
        <f>'G) Solidarité'!I80</f>
        <v>258682.45411033611</v>
      </c>
      <c r="H91" s="25">
        <f t="shared" si="5"/>
        <v>395782.45411033614</v>
      </c>
      <c r="I91" s="98">
        <f t="shared" si="6"/>
        <v>277799.54588966386</v>
      </c>
    </row>
    <row r="92" spans="1:9" x14ac:dyDescent="0.25">
      <c r="A92" s="82">
        <f>'A) Base RI'!A83</f>
        <v>5522</v>
      </c>
      <c r="B92" s="62" t="str">
        <f>'A) Base RI'!B83</f>
        <v>Fey</v>
      </c>
      <c r="C92" s="25">
        <f>'D) Ecrêtage'!N81</f>
        <v>16159.379733333333</v>
      </c>
      <c r="D92" s="18">
        <f>'A) Base RI'!AN83</f>
        <v>620</v>
      </c>
      <c r="E92" s="25">
        <f t="shared" si="4"/>
        <v>299852</v>
      </c>
      <c r="F92" s="73">
        <f>'F) Population'!K84</f>
        <v>62000</v>
      </c>
      <c r="G92" s="18">
        <f>'G) Solidarité'!I81</f>
        <v>246804.20795214816</v>
      </c>
      <c r="H92" s="25">
        <f t="shared" si="5"/>
        <v>308804.20795214816</v>
      </c>
      <c r="I92" s="98">
        <f t="shared" si="6"/>
        <v>-8952.2079521481646</v>
      </c>
    </row>
    <row r="93" spans="1:9" x14ac:dyDescent="0.25">
      <c r="A93" s="82">
        <f>'A) Base RI'!A84</f>
        <v>5523</v>
      </c>
      <c r="B93" s="62" t="str">
        <f>'A) Base RI'!B84</f>
        <v>Froideville</v>
      </c>
      <c r="C93" s="25">
        <f>'D) Ecrêtage'!N82</f>
        <v>72242.876052631575</v>
      </c>
      <c r="D93" s="18">
        <f>'A) Base RI'!AN84</f>
        <v>2305</v>
      </c>
      <c r="E93" s="25">
        <f t="shared" si="4"/>
        <v>1340531</v>
      </c>
      <c r="F93" s="73">
        <f>'F) Population'!K85</f>
        <v>556750</v>
      </c>
      <c r="G93" s="18">
        <f>'G) Solidarité'!I82</f>
        <v>662675.34480610315</v>
      </c>
      <c r="H93" s="25">
        <f t="shared" si="5"/>
        <v>1219425.344806103</v>
      </c>
      <c r="I93" s="98">
        <f t="shared" si="6"/>
        <v>121105.65519389696</v>
      </c>
    </row>
    <row r="94" spans="1:9" x14ac:dyDescent="0.25">
      <c r="A94" s="82">
        <f>'A) Base RI'!A85</f>
        <v>5527</v>
      </c>
      <c r="B94" s="62" t="str">
        <f>'A) Base RI'!B85</f>
        <v>Morrens</v>
      </c>
      <c r="C94" s="25">
        <f>'D) Ecrêtage'!N83</f>
        <v>37759.681126760574</v>
      </c>
      <c r="D94" s="18">
        <f>'A) Base RI'!AN85</f>
        <v>1048</v>
      </c>
      <c r="E94" s="25">
        <f t="shared" si="4"/>
        <v>700665</v>
      </c>
      <c r="F94" s="73">
        <f>'F) Population'!K86</f>
        <v>116800</v>
      </c>
      <c r="G94" s="18">
        <f>'G) Solidarité'!I83</f>
        <v>164437.76266901245</v>
      </c>
      <c r="H94" s="25">
        <f t="shared" si="5"/>
        <v>281237.76266901242</v>
      </c>
      <c r="I94" s="98">
        <f t="shared" si="6"/>
        <v>419427.23733098758</v>
      </c>
    </row>
    <row r="95" spans="1:9" x14ac:dyDescent="0.25">
      <c r="A95" s="82">
        <f>'A) Base RI'!A86</f>
        <v>5529</v>
      </c>
      <c r="B95" s="62" t="str">
        <f>'A) Base RI'!B86</f>
        <v>Oulens-sous-Echallens</v>
      </c>
      <c r="C95" s="25">
        <f>'D) Ecrêtage'!N84</f>
        <v>19397.63972972973</v>
      </c>
      <c r="D95" s="18">
        <f>'A) Base RI'!AN86</f>
        <v>529</v>
      </c>
      <c r="E95" s="25">
        <f t="shared" si="4"/>
        <v>359941</v>
      </c>
      <c r="F95" s="73">
        <f>'F) Population'!K87</f>
        <v>52900</v>
      </c>
      <c r="G95" s="18">
        <f>'G) Solidarité'!I84</f>
        <v>82811.809057220788</v>
      </c>
      <c r="H95" s="25">
        <f t="shared" si="5"/>
        <v>135711.80905722079</v>
      </c>
      <c r="I95" s="98">
        <f t="shared" si="6"/>
        <v>224229.19094277921</v>
      </c>
    </row>
    <row r="96" spans="1:9" x14ac:dyDescent="0.25">
      <c r="A96" s="82">
        <f>'A) Base RI'!A87</f>
        <v>5530</v>
      </c>
      <c r="B96" s="62" t="str">
        <f>'A) Base RI'!B87</f>
        <v>Pailly</v>
      </c>
      <c r="C96" s="25">
        <f>'D) Ecrêtage'!N85</f>
        <v>13906.482623655915</v>
      </c>
      <c r="D96" s="18">
        <f>'A) Base RI'!AN87</f>
        <v>524</v>
      </c>
      <c r="E96" s="25">
        <f t="shared" si="4"/>
        <v>258047</v>
      </c>
      <c r="F96" s="73">
        <f>'F) Population'!K88</f>
        <v>52400</v>
      </c>
      <c r="G96" s="18">
        <f>'G) Solidarité'!I85</f>
        <v>216773.78302850589</v>
      </c>
      <c r="H96" s="25">
        <f t="shared" si="5"/>
        <v>269173.78302850586</v>
      </c>
      <c r="I96" s="98">
        <f t="shared" si="6"/>
        <v>-11126.783028505859</v>
      </c>
    </row>
    <row r="97" spans="1:9" x14ac:dyDescent="0.25">
      <c r="A97" s="82">
        <f>'A) Base RI'!A88</f>
        <v>5531</v>
      </c>
      <c r="B97" s="62" t="str">
        <f>'A) Base RI'!B88</f>
        <v>Penthéréaz</v>
      </c>
      <c r="C97" s="25">
        <f>'D) Ecrêtage'!N86</f>
        <v>13188.510897435897</v>
      </c>
      <c r="D97" s="18">
        <f>'A) Base RI'!AN88</f>
        <v>387</v>
      </c>
      <c r="E97" s="25">
        <f t="shared" si="4"/>
        <v>244725</v>
      </c>
      <c r="F97" s="73">
        <f>'F) Population'!K89</f>
        <v>38700</v>
      </c>
      <c r="G97" s="18">
        <f>'G) Solidarité'!I86</f>
        <v>91561.160307892947</v>
      </c>
      <c r="H97" s="25">
        <f t="shared" si="5"/>
        <v>130261.16030789295</v>
      </c>
      <c r="I97" s="98">
        <f t="shared" si="6"/>
        <v>114463.83969210705</v>
      </c>
    </row>
    <row r="98" spans="1:9" x14ac:dyDescent="0.25">
      <c r="A98" s="82">
        <f>'A) Base RI'!A89</f>
        <v>5533</v>
      </c>
      <c r="B98" s="62" t="str">
        <f>'A) Base RI'!B89</f>
        <v>Poliez-Pittet</v>
      </c>
      <c r="C98" s="25">
        <f>'D) Ecrêtage'!N87</f>
        <v>23278.194178403755</v>
      </c>
      <c r="D98" s="18">
        <f>'A) Base RI'!AN89</f>
        <v>802</v>
      </c>
      <c r="E98" s="25">
        <f t="shared" si="4"/>
        <v>431948</v>
      </c>
      <c r="F98" s="73">
        <f>'F) Population'!K90</f>
        <v>80200</v>
      </c>
      <c r="G98" s="18">
        <f>'G) Solidarité'!I87</f>
        <v>238482.85695807901</v>
      </c>
      <c r="H98" s="25">
        <f t="shared" si="5"/>
        <v>318682.85695807904</v>
      </c>
      <c r="I98" s="98">
        <f t="shared" si="6"/>
        <v>113265.14304192096</v>
      </c>
    </row>
    <row r="99" spans="1:9" x14ac:dyDescent="0.25">
      <c r="A99" s="82">
        <f>'A) Base RI'!A90</f>
        <v>5534</v>
      </c>
      <c r="B99" s="62" t="str">
        <f>'A) Base RI'!B90</f>
        <v>Rueyres</v>
      </c>
      <c r="C99" s="25">
        <f>'D) Ecrêtage'!N88</f>
        <v>7491.8463013698638</v>
      </c>
      <c r="D99" s="18">
        <f>'A) Base RI'!AN90</f>
        <v>261</v>
      </c>
      <c r="E99" s="25">
        <f t="shared" si="4"/>
        <v>139018</v>
      </c>
      <c r="F99" s="73">
        <f>'F) Population'!K91</f>
        <v>26100</v>
      </c>
      <c r="G99" s="18">
        <f>'G) Solidarité'!I88</f>
        <v>83819.678112763373</v>
      </c>
      <c r="H99" s="25">
        <f t="shared" si="5"/>
        <v>109919.67811276337</v>
      </c>
      <c r="I99" s="98">
        <f t="shared" si="6"/>
        <v>29098.321887236627</v>
      </c>
    </row>
    <row r="100" spans="1:9" x14ac:dyDescent="0.25">
      <c r="A100" s="82">
        <f>'A) Base RI'!A91</f>
        <v>5535</v>
      </c>
      <c r="B100" s="62" t="str">
        <f>'A) Base RI'!B91</f>
        <v>Saint-Barthélemy</v>
      </c>
      <c r="C100" s="25">
        <f>'D) Ecrêtage'!N89</f>
        <v>20337.444935064934</v>
      </c>
      <c r="D100" s="18">
        <f>'A) Base RI'!AN91</f>
        <v>776</v>
      </c>
      <c r="E100" s="25">
        <f t="shared" si="4"/>
        <v>377379</v>
      </c>
      <c r="F100" s="73">
        <f>'F) Population'!K92</f>
        <v>77600</v>
      </c>
      <c r="G100" s="18">
        <f>'G) Solidarité'!I89</f>
        <v>322952.91888936295</v>
      </c>
      <c r="H100" s="25">
        <f t="shared" si="5"/>
        <v>400552.91888936295</v>
      </c>
      <c r="I100" s="98">
        <f t="shared" si="6"/>
        <v>-23173.918889362947</v>
      </c>
    </row>
    <row r="101" spans="1:9" x14ac:dyDescent="0.25">
      <c r="A101" s="82">
        <f>'A) Base RI'!A92</f>
        <v>5537</v>
      </c>
      <c r="B101" s="62" t="str">
        <f>'A) Base RI'!B92</f>
        <v>Villars-le-Terroir</v>
      </c>
      <c r="C101" s="25">
        <f>'D) Ecrêtage'!N90</f>
        <v>28392.00020547945</v>
      </c>
      <c r="D101" s="18">
        <f>'A) Base RI'!AN92</f>
        <v>944</v>
      </c>
      <c r="E101" s="25">
        <f t="shared" si="4"/>
        <v>526839</v>
      </c>
      <c r="F101" s="73">
        <f>'F) Population'!K93</f>
        <v>94400</v>
      </c>
      <c r="G101" s="18">
        <f>'G) Solidarité'!I90</f>
        <v>275714.07096494274</v>
      </c>
      <c r="H101" s="25">
        <f t="shared" si="5"/>
        <v>370114.07096494274</v>
      </c>
      <c r="I101" s="98">
        <f t="shared" si="6"/>
        <v>156724.92903505726</v>
      </c>
    </row>
    <row r="102" spans="1:9" x14ac:dyDescent="0.25">
      <c r="A102" s="82">
        <f>'A) Base RI'!A93</f>
        <v>5539</v>
      </c>
      <c r="B102" s="62" t="str">
        <f>'A) Base RI'!B93</f>
        <v>Vuarrens</v>
      </c>
      <c r="C102" s="25">
        <f>'D) Ecrêtage'!N91</f>
        <v>22715.815066666666</v>
      </c>
      <c r="D102" s="18">
        <f>'A) Base RI'!AN93</f>
        <v>930</v>
      </c>
      <c r="E102" s="25">
        <f t="shared" si="4"/>
        <v>421512</v>
      </c>
      <c r="F102" s="73">
        <f>'F) Population'!K94</f>
        <v>93000</v>
      </c>
      <c r="G102" s="18">
        <f>'G) Solidarité'!I91</f>
        <v>404286.41343451338</v>
      </c>
      <c r="H102" s="25">
        <f t="shared" si="5"/>
        <v>497286.41343451338</v>
      </c>
      <c r="I102" s="98">
        <f t="shared" si="6"/>
        <v>-75774.413434513379</v>
      </c>
    </row>
    <row r="103" spans="1:9" x14ac:dyDescent="0.25">
      <c r="A103" s="82">
        <f>'A) Base RI'!A94</f>
        <v>5540</v>
      </c>
      <c r="B103" s="62" t="str">
        <f>'A) Base RI'!B94</f>
        <v>Montilliez</v>
      </c>
      <c r="C103" s="25">
        <f>'D) Ecrêtage'!N92</f>
        <v>49229.090304054065</v>
      </c>
      <c r="D103" s="18">
        <f>'A) Base RI'!AN94</f>
        <v>1635</v>
      </c>
      <c r="E103" s="25">
        <f>ROUND(C103*E$15,0)</f>
        <v>913490</v>
      </c>
      <c r="F103" s="73">
        <f>'F) Population'!K95</f>
        <v>322250</v>
      </c>
      <c r="G103" s="18">
        <f>'G) Solidarité'!I92</f>
        <v>489522.6096170519</v>
      </c>
      <c r="H103" s="25">
        <f>F103+G103</f>
        <v>811772.6096170519</v>
      </c>
      <c r="I103" s="98">
        <f>E103-H103</f>
        <v>101717.3903829481</v>
      </c>
    </row>
    <row r="104" spans="1:9" x14ac:dyDescent="0.25">
      <c r="A104" s="82">
        <f>'A) Base RI'!A95</f>
        <v>5541</v>
      </c>
      <c r="B104" s="62" t="str">
        <f>'A) Base RI'!B95</f>
        <v>Goumoëns</v>
      </c>
      <c r="C104" s="25">
        <f>'D) Ecrêtage'!N93</f>
        <v>28419.250909090908</v>
      </c>
      <c r="D104" s="18">
        <f>'A) Base RI'!AN95</f>
        <v>962</v>
      </c>
      <c r="E104" s="25">
        <f>ROUND(C104*E$15,0)</f>
        <v>527345</v>
      </c>
      <c r="F104" s="73">
        <f>'F) Population'!K96</f>
        <v>96200</v>
      </c>
      <c r="G104" s="18">
        <f>'G) Solidarité'!I93</f>
        <v>324730.5249463119</v>
      </c>
      <c r="H104" s="25">
        <f>F104+G104</f>
        <v>420930.5249463119</v>
      </c>
      <c r="I104" s="98">
        <f>E104-H104</f>
        <v>106414.4750536881</v>
      </c>
    </row>
    <row r="105" spans="1:9" x14ac:dyDescent="0.25">
      <c r="A105" s="82">
        <f>'A) Base RI'!A96</f>
        <v>5551</v>
      </c>
      <c r="B105" s="62" t="str">
        <f>'A) Base RI'!B96</f>
        <v>Bonvillars</v>
      </c>
      <c r="C105" s="25">
        <f>'D) Ecrêtage'!N94</f>
        <v>20657.866545454548</v>
      </c>
      <c r="D105" s="18">
        <f>'A) Base RI'!AN96</f>
        <v>514</v>
      </c>
      <c r="E105" s="25">
        <f t="shared" si="4"/>
        <v>383325</v>
      </c>
      <c r="F105" s="73">
        <f>'F) Population'!K97</f>
        <v>51400</v>
      </c>
      <c r="G105" s="18">
        <f>'G) Solidarité'!I94</f>
        <v>22668.314095326255</v>
      </c>
      <c r="H105" s="25">
        <f t="shared" si="5"/>
        <v>74068.314095326263</v>
      </c>
      <c r="I105" s="98">
        <f t="shared" si="6"/>
        <v>309256.68590467377</v>
      </c>
    </row>
    <row r="106" spans="1:9" x14ac:dyDescent="0.25">
      <c r="A106" s="82">
        <f>'A) Base RI'!A97</f>
        <v>5552</v>
      </c>
      <c r="B106" s="62" t="str">
        <f>'A) Base RI'!B97</f>
        <v>Bullet</v>
      </c>
      <c r="C106" s="25">
        <f>'D) Ecrêtage'!N95</f>
        <v>15344.039999999997</v>
      </c>
      <c r="D106" s="18">
        <f>'A) Base RI'!AN97</f>
        <v>596</v>
      </c>
      <c r="E106" s="25">
        <f t="shared" si="4"/>
        <v>284722</v>
      </c>
      <c r="F106" s="73">
        <f>'F) Population'!K98</f>
        <v>59600</v>
      </c>
      <c r="G106" s="18">
        <f>'G) Solidarité'!I95</f>
        <v>210370.96086273523</v>
      </c>
      <c r="H106" s="25">
        <f t="shared" si="5"/>
        <v>269970.96086273523</v>
      </c>
      <c r="I106" s="98">
        <f t="shared" si="6"/>
        <v>14751.039137264772</v>
      </c>
    </row>
    <row r="107" spans="1:9" x14ac:dyDescent="0.25">
      <c r="A107" s="82">
        <f>'A) Base RI'!A98</f>
        <v>5553</v>
      </c>
      <c r="B107" s="62" t="str">
        <f>'A) Base RI'!B98</f>
        <v>Champagne</v>
      </c>
      <c r="C107" s="25">
        <f>'D) Ecrêtage'!N96</f>
        <v>34561.95904761905</v>
      </c>
      <c r="D107" s="18">
        <f>'A) Base RI'!AN98</f>
        <v>1005</v>
      </c>
      <c r="E107" s="25">
        <f t="shared" si="4"/>
        <v>641328</v>
      </c>
      <c r="F107" s="73">
        <f>'F) Population'!K99</f>
        <v>101750</v>
      </c>
      <c r="G107" s="18">
        <f>'G) Solidarité'!I96</f>
        <v>150179.74935727095</v>
      </c>
      <c r="H107" s="25">
        <f t="shared" si="5"/>
        <v>251929.74935727095</v>
      </c>
      <c r="I107" s="98">
        <f t="shared" si="6"/>
        <v>389398.25064272905</v>
      </c>
    </row>
    <row r="108" spans="1:9" x14ac:dyDescent="0.25">
      <c r="A108" s="82">
        <f>'A) Base RI'!A99</f>
        <v>5554</v>
      </c>
      <c r="B108" s="62" t="str">
        <f>'A) Base RI'!B99</f>
        <v>Concise</v>
      </c>
      <c r="C108" s="25">
        <f>'D) Ecrêtage'!N97</f>
        <v>28927.786533333336</v>
      </c>
      <c r="D108" s="18">
        <f>'A) Base RI'!AN99</f>
        <v>932</v>
      </c>
      <c r="E108" s="25">
        <f t="shared" si="4"/>
        <v>536781</v>
      </c>
      <c r="F108" s="73">
        <f>'F) Population'!K100</f>
        <v>93200</v>
      </c>
      <c r="G108" s="18">
        <f>'G) Solidarité'!I97</f>
        <v>267267.03078021057</v>
      </c>
      <c r="H108" s="25">
        <f t="shared" si="5"/>
        <v>360467.03078021057</v>
      </c>
      <c r="I108" s="98">
        <f t="shared" si="6"/>
        <v>176313.96921978943</v>
      </c>
    </row>
    <row r="109" spans="1:9" x14ac:dyDescent="0.25">
      <c r="A109" s="82">
        <f>'A) Base RI'!A100</f>
        <v>5555</v>
      </c>
      <c r="B109" s="62" t="str">
        <f>'A) Base RI'!B100</f>
        <v>Corcelles-près-Concise</v>
      </c>
      <c r="C109" s="25">
        <f>'D) Ecrêtage'!N98</f>
        <v>9553.9681690140824</v>
      </c>
      <c r="D109" s="18">
        <f>'A) Base RI'!AN100</f>
        <v>331</v>
      </c>
      <c r="E109" s="25">
        <f t="shared" si="4"/>
        <v>177282</v>
      </c>
      <c r="F109" s="73">
        <f>'F) Population'!K101</f>
        <v>33100</v>
      </c>
      <c r="G109" s="18">
        <f>'G) Solidarité'!I98</f>
        <v>99496.231750919775</v>
      </c>
      <c r="H109" s="25">
        <f t="shared" si="5"/>
        <v>132596.23175091977</v>
      </c>
      <c r="I109" s="98">
        <f t="shared" si="6"/>
        <v>44685.768249080225</v>
      </c>
    </row>
    <row r="110" spans="1:9" x14ac:dyDescent="0.25">
      <c r="A110" s="82">
        <f>'A) Base RI'!A101</f>
        <v>5556</v>
      </c>
      <c r="B110" s="62" t="str">
        <f>'A) Base RI'!B101</f>
        <v>Fiez</v>
      </c>
      <c r="C110" s="25">
        <f>'D) Ecrêtage'!N99</f>
        <v>10930.395096618358</v>
      </c>
      <c r="D110" s="18">
        <f>'A) Base RI'!AN101</f>
        <v>411</v>
      </c>
      <c r="E110" s="25">
        <f t="shared" si="4"/>
        <v>202823</v>
      </c>
      <c r="F110" s="73">
        <f>'F) Population'!K102</f>
        <v>41100</v>
      </c>
      <c r="G110" s="18">
        <f>'G) Solidarité'!I99</f>
        <v>134343.530800593</v>
      </c>
      <c r="H110" s="25">
        <f t="shared" si="5"/>
        <v>175443.530800593</v>
      </c>
      <c r="I110" s="98">
        <f t="shared" si="6"/>
        <v>27379.469199407002</v>
      </c>
    </row>
    <row r="111" spans="1:9" x14ac:dyDescent="0.25">
      <c r="A111" s="82">
        <f>'A) Base RI'!A102</f>
        <v>5557</v>
      </c>
      <c r="B111" s="62" t="str">
        <f>'A) Base RI'!B102</f>
        <v>Fontaines-sur-Grandson</v>
      </c>
      <c r="C111" s="25">
        <f>'D) Ecrêtage'!N100</f>
        <v>4594.8315942028985</v>
      </c>
      <c r="D111" s="18">
        <f>'A) Base RI'!AN102</f>
        <v>183</v>
      </c>
      <c r="E111" s="25">
        <f t="shared" si="4"/>
        <v>85261</v>
      </c>
      <c r="F111" s="73">
        <f>'F) Population'!K103</f>
        <v>18300</v>
      </c>
      <c r="G111" s="18">
        <f>'G) Solidarité'!I100</f>
        <v>64967.719446296847</v>
      </c>
      <c r="H111" s="25">
        <f t="shared" si="5"/>
        <v>83267.719446296847</v>
      </c>
      <c r="I111" s="98">
        <f t="shared" si="6"/>
        <v>1993.2805537031527</v>
      </c>
    </row>
    <row r="112" spans="1:9" x14ac:dyDescent="0.25">
      <c r="A112" s="82">
        <f>'A) Base RI'!A103</f>
        <v>5559</v>
      </c>
      <c r="B112" s="62" t="str">
        <f>'A) Base RI'!B103</f>
        <v>Giez</v>
      </c>
      <c r="C112" s="25">
        <f>'D) Ecrêtage'!N101</f>
        <v>14748.809242424242</v>
      </c>
      <c r="D112" s="18">
        <f>'A) Base RI'!AN103</f>
        <v>384</v>
      </c>
      <c r="E112" s="25">
        <f t="shared" si="4"/>
        <v>273677</v>
      </c>
      <c r="F112" s="73">
        <f>'F) Population'!K104</f>
        <v>38400</v>
      </c>
      <c r="G112" s="18">
        <f>'G) Solidarité'!I101</f>
        <v>36242.664282933867</v>
      </c>
      <c r="H112" s="25">
        <f t="shared" si="5"/>
        <v>74642.664282933867</v>
      </c>
      <c r="I112" s="98">
        <f t="shared" si="6"/>
        <v>199034.33571706613</v>
      </c>
    </row>
    <row r="113" spans="1:9" x14ac:dyDescent="0.25">
      <c r="A113" s="82">
        <f>'A) Base RI'!A104</f>
        <v>5560</v>
      </c>
      <c r="B113" s="62" t="str">
        <f>'A) Base RI'!B104</f>
        <v>Grandevent</v>
      </c>
      <c r="C113" s="25">
        <f>'D) Ecrêtage'!N102</f>
        <v>6117.1622727272734</v>
      </c>
      <c r="D113" s="18">
        <f>'A) Base RI'!AN104</f>
        <v>226</v>
      </c>
      <c r="E113" s="25">
        <f t="shared" si="4"/>
        <v>113509</v>
      </c>
      <c r="F113" s="73">
        <f>'F) Population'!K105</f>
        <v>22600</v>
      </c>
      <c r="G113" s="18">
        <f>'G) Solidarité'!I102</f>
        <v>65738.580948044371</v>
      </c>
      <c r="H113" s="25">
        <f t="shared" si="5"/>
        <v>88338.580948044371</v>
      </c>
      <c r="I113" s="98">
        <f t="shared" si="6"/>
        <v>25170.419051955629</v>
      </c>
    </row>
    <row r="114" spans="1:9" x14ac:dyDescent="0.25">
      <c r="A114" s="82">
        <f>'A) Base RI'!A105</f>
        <v>5561</v>
      </c>
      <c r="B114" s="62" t="str">
        <f>'A) Base RI'!B105</f>
        <v>Grandson</v>
      </c>
      <c r="C114" s="25">
        <f>'D) Ecrêtage'!N103</f>
        <v>108535.21144927538</v>
      </c>
      <c r="D114" s="18">
        <f>'A) Base RI'!AN105</f>
        <v>3244</v>
      </c>
      <c r="E114" s="25">
        <f t="shared" si="4"/>
        <v>2013968</v>
      </c>
      <c r="F114" s="73">
        <f>'F) Population'!K106</f>
        <v>922000</v>
      </c>
      <c r="G114" s="18">
        <f>'G) Solidarité'!I103</f>
        <v>638793.32770560961</v>
      </c>
      <c r="H114" s="25">
        <f t="shared" si="5"/>
        <v>1560793.3277056096</v>
      </c>
      <c r="I114" s="98">
        <f t="shared" si="6"/>
        <v>453174.67229439039</v>
      </c>
    </row>
    <row r="115" spans="1:9" x14ac:dyDescent="0.25">
      <c r="A115" s="82">
        <f>'A) Base RI'!A106</f>
        <v>5562</v>
      </c>
      <c r="B115" s="62" t="str">
        <f>'A) Base RI'!B106</f>
        <v>Mauborget</v>
      </c>
      <c r="C115" s="25">
        <f>'D) Ecrêtage'!N104</f>
        <v>3378.0009047619046</v>
      </c>
      <c r="D115" s="18">
        <f>'A) Base RI'!AN106</f>
        <v>110</v>
      </c>
      <c r="E115" s="25">
        <f t="shared" si="4"/>
        <v>62682</v>
      </c>
      <c r="F115" s="73">
        <f>'F) Population'!K107</f>
        <v>11000</v>
      </c>
      <c r="G115" s="18">
        <f>'G) Solidarité'!I104</f>
        <v>28184.637246050454</v>
      </c>
      <c r="H115" s="25">
        <f t="shared" si="5"/>
        <v>39184.63724605045</v>
      </c>
      <c r="I115" s="98">
        <f t="shared" si="6"/>
        <v>23497.36275394955</v>
      </c>
    </row>
    <row r="116" spans="1:9" x14ac:dyDescent="0.25">
      <c r="A116" s="82">
        <f>'A) Base RI'!A107</f>
        <v>5563</v>
      </c>
      <c r="B116" s="62" t="str">
        <f>'A) Base RI'!B107</f>
        <v>Mutrux</v>
      </c>
      <c r="C116" s="25">
        <f>'D) Ecrêtage'!N105</f>
        <v>3733.6552866242037</v>
      </c>
      <c r="D116" s="18">
        <f>'A) Base RI'!AN107</f>
        <v>149</v>
      </c>
      <c r="E116" s="25">
        <f t="shared" si="4"/>
        <v>69281</v>
      </c>
      <c r="F116" s="73">
        <f>'F) Population'!K108</f>
        <v>14900</v>
      </c>
      <c r="G116" s="18">
        <f>'G) Solidarité'!I105</f>
        <v>68649.462287760543</v>
      </c>
      <c r="H116" s="25">
        <f t="shared" si="5"/>
        <v>83549.462287760543</v>
      </c>
      <c r="I116" s="98">
        <f t="shared" si="6"/>
        <v>-14268.462287760543</v>
      </c>
    </row>
    <row r="117" spans="1:9" x14ac:dyDescent="0.25">
      <c r="A117" s="82">
        <f>'A) Base RI'!A108</f>
        <v>5564</v>
      </c>
      <c r="B117" s="62" t="str">
        <f>'A) Base RI'!B108</f>
        <v>Novalles</v>
      </c>
      <c r="C117" s="25">
        <f>'D) Ecrêtage'!N106</f>
        <v>2399.5770723684213</v>
      </c>
      <c r="D117" s="18">
        <f>'A) Base RI'!AN108</f>
        <v>102</v>
      </c>
      <c r="E117" s="25">
        <f t="shared" si="4"/>
        <v>44526</v>
      </c>
      <c r="F117" s="73">
        <f>'F) Population'!K109</f>
        <v>10200</v>
      </c>
      <c r="G117" s="18">
        <f>'G) Solidarité'!I106</f>
        <v>47641.200212883043</v>
      </c>
      <c r="H117" s="25">
        <f t="shared" si="5"/>
        <v>57841.200212883043</v>
      </c>
      <c r="I117" s="98">
        <f t="shared" si="6"/>
        <v>-13315.200212883043</v>
      </c>
    </row>
    <row r="118" spans="1:9" x14ac:dyDescent="0.25">
      <c r="A118" s="82">
        <f>'A) Base RI'!A109</f>
        <v>5565</v>
      </c>
      <c r="B118" s="62" t="str">
        <f>'A) Base RI'!B109</f>
        <v>Onnens</v>
      </c>
      <c r="C118" s="25">
        <f>'D) Ecrêtage'!N107</f>
        <v>18028.040615384612</v>
      </c>
      <c r="D118" s="18">
        <f>'A) Base RI'!AN109</f>
        <v>500</v>
      </c>
      <c r="E118" s="25">
        <f t="shared" si="4"/>
        <v>334526</v>
      </c>
      <c r="F118" s="73">
        <f>'F) Population'!K110</f>
        <v>50000</v>
      </c>
      <c r="G118" s="18">
        <f>'G) Solidarité'!I107</f>
        <v>65536.503962264818</v>
      </c>
      <c r="H118" s="25">
        <f t="shared" si="5"/>
        <v>115536.50396226482</v>
      </c>
      <c r="I118" s="98">
        <f t="shared" si="6"/>
        <v>218989.4960377352</v>
      </c>
    </row>
    <row r="119" spans="1:9" x14ac:dyDescent="0.25">
      <c r="A119" s="82">
        <f>'A) Base RI'!A110</f>
        <v>5566</v>
      </c>
      <c r="B119" s="62" t="str">
        <f>'A) Base RI'!B110</f>
        <v>Provence</v>
      </c>
      <c r="C119" s="25">
        <f>'D) Ecrêtage'!N108</f>
        <v>6953.5259259259255</v>
      </c>
      <c r="D119" s="18">
        <f>'A) Base RI'!AN110</f>
        <v>373</v>
      </c>
      <c r="E119" s="25">
        <f t="shared" si="4"/>
        <v>129029</v>
      </c>
      <c r="F119" s="73">
        <f>'F) Population'!K111</f>
        <v>37300</v>
      </c>
      <c r="G119" s="18">
        <f>'G) Solidarité'!I108</f>
        <v>245426.13959802868</v>
      </c>
      <c r="H119" s="25">
        <f t="shared" si="5"/>
        <v>282726.13959802868</v>
      </c>
      <c r="I119" s="98">
        <f t="shared" si="6"/>
        <v>-153697.13959802868</v>
      </c>
    </row>
    <row r="120" spans="1:9" x14ac:dyDescent="0.25">
      <c r="A120" s="82">
        <f>'A) Base RI'!A111</f>
        <v>5568</v>
      </c>
      <c r="B120" s="62" t="str">
        <f>'A) Base RI'!B111</f>
        <v>Sainte-Croix</v>
      </c>
      <c r="C120" s="25">
        <f>'D) Ecrêtage'!N109</f>
        <v>95577.709714285724</v>
      </c>
      <c r="D120" s="18">
        <f>'A) Base RI'!AN111</f>
        <v>4732</v>
      </c>
      <c r="E120" s="25">
        <f t="shared" si="4"/>
        <v>1773530</v>
      </c>
      <c r="F120" s="73">
        <f>'F) Population'!K112</f>
        <v>1666000</v>
      </c>
      <c r="G120" s="18">
        <f>'G) Solidarité'!I109</f>
        <v>2181818.4808710124</v>
      </c>
      <c r="H120" s="25">
        <f t="shared" si="5"/>
        <v>3847818.4808710124</v>
      </c>
      <c r="I120" s="98">
        <f t="shared" si="6"/>
        <v>-2074288.4808710124</v>
      </c>
    </row>
    <row r="121" spans="1:9" x14ac:dyDescent="0.25">
      <c r="A121" s="82">
        <f>'A) Base RI'!A112</f>
        <v>5571</v>
      </c>
      <c r="B121" s="62" t="str">
        <f>'A) Base RI'!B112</f>
        <v>Tévenon</v>
      </c>
      <c r="C121" s="25">
        <f>'D) Ecrêtage'!N110</f>
        <v>19746.460639269408</v>
      </c>
      <c r="D121" s="18">
        <f>'A) Base RI'!AN112</f>
        <v>760</v>
      </c>
      <c r="E121" s="25">
        <f t="shared" si="4"/>
        <v>366413</v>
      </c>
      <c r="F121" s="73">
        <f>'F) Population'!K113</f>
        <v>76000</v>
      </c>
      <c r="G121" s="18">
        <f>'G) Solidarité'!I110</f>
        <v>287924.31414975092</v>
      </c>
      <c r="H121" s="25">
        <f t="shared" si="5"/>
        <v>363924.31414975092</v>
      </c>
      <c r="I121" s="98">
        <f t="shared" si="6"/>
        <v>2488.6858502490795</v>
      </c>
    </row>
    <row r="122" spans="1:9" x14ac:dyDescent="0.25">
      <c r="A122" s="82">
        <f>'A) Base RI'!A113</f>
        <v>5581</v>
      </c>
      <c r="B122" s="62" t="str">
        <f>'A) Base RI'!B113</f>
        <v>Belmont-sur-Lausanne</v>
      </c>
      <c r="C122" s="25">
        <f>'D) Ecrêtage'!N111</f>
        <v>180220.53318944844</v>
      </c>
      <c r="D122" s="18">
        <f>'A) Base RI'!AN113</f>
        <v>3554</v>
      </c>
      <c r="E122" s="25">
        <f t="shared" si="4"/>
        <v>3344153</v>
      </c>
      <c r="F122" s="73">
        <f>'F) Population'!K114</f>
        <v>1077000</v>
      </c>
      <c r="G122" s="18">
        <f>'G) Solidarité'!I111</f>
        <v>0</v>
      </c>
      <c r="H122" s="25">
        <f t="shared" si="5"/>
        <v>1077000</v>
      </c>
      <c r="I122" s="98">
        <f t="shared" si="6"/>
        <v>2267153</v>
      </c>
    </row>
    <row r="123" spans="1:9" x14ac:dyDescent="0.25">
      <c r="A123" s="82">
        <f>'A) Base RI'!A114</f>
        <v>5582</v>
      </c>
      <c r="B123" s="62" t="str">
        <f>'A) Base RI'!B114</f>
        <v>Cheseaux-sur-Lausanne</v>
      </c>
      <c r="C123" s="25">
        <f>'D) Ecrêtage'!N112</f>
        <v>145388.39302013422</v>
      </c>
      <c r="D123" s="18">
        <f>'A) Base RI'!AN114</f>
        <v>4080</v>
      </c>
      <c r="E123" s="25">
        <f t="shared" si="4"/>
        <v>2697811</v>
      </c>
      <c r="F123" s="73">
        <f>'F) Population'!K115</f>
        <v>1340000</v>
      </c>
      <c r="G123" s="18">
        <f>'G) Solidarité'!I112</f>
        <v>740500.70441075042</v>
      </c>
      <c r="H123" s="25">
        <f t="shared" si="5"/>
        <v>2080500.7044107504</v>
      </c>
      <c r="I123" s="98">
        <f t="shared" si="6"/>
        <v>617310.29558924958</v>
      </c>
    </row>
    <row r="124" spans="1:9" x14ac:dyDescent="0.25">
      <c r="A124" s="82">
        <f>'A) Base RI'!A115</f>
        <v>5583</v>
      </c>
      <c r="B124" s="62" t="str">
        <f>'A) Base RI'!B115</f>
        <v>Crissier</v>
      </c>
      <c r="C124" s="25">
        <f>'D) Ecrêtage'!N113</f>
        <v>300610.54815384618</v>
      </c>
      <c r="D124" s="18">
        <f>'A) Base RI'!AN115</f>
        <v>7407</v>
      </c>
      <c r="E124" s="25">
        <f t="shared" si="4"/>
        <v>5578097</v>
      </c>
      <c r="F124" s="73">
        <f>'F) Population'!K116</f>
        <v>3244200</v>
      </c>
      <c r="G124" s="18">
        <f>'G) Solidarité'!I113</f>
        <v>407172.75545938849</v>
      </c>
      <c r="H124" s="25">
        <f t="shared" si="5"/>
        <v>3651372.7554593887</v>
      </c>
      <c r="I124" s="98">
        <f t="shared" si="6"/>
        <v>1926724.2445406113</v>
      </c>
    </row>
    <row r="125" spans="1:9" x14ac:dyDescent="0.25">
      <c r="A125" s="82">
        <f>'A) Base RI'!A116</f>
        <v>5584</v>
      </c>
      <c r="B125" s="62" t="str">
        <f>'A) Base RI'!B116</f>
        <v>Epalinges</v>
      </c>
      <c r="C125" s="25">
        <f>'D) Ecrêtage'!N114</f>
        <v>461506.63590909087</v>
      </c>
      <c r="D125" s="18">
        <f>'A) Base RI'!AN116</f>
        <v>8912</v>
      </c>
      <c r="E125" s="25">
        <f t="shared" si="4"/>
        <v>8563667</v>
      </c>
      <c r="F125" s="73">
        <f>'F) Population'!K117</f>
        <v>4147200</v>
      </c>
      <c r="G125" s="18">
        <f>'G) Solidarité'!I114</f>
        <v>0</v>
      </c>
      <c r="H125" s="25">
        <f t="shared" si="5"/>
        <v>4147200</v>
      </c>
      <c r="I125" s="98">
        <f t="shared" si="6"/>
        <v>4416467</v>
      </c>
    </row>
    <row r="126" spans="1:9" x14ac:dyDescent="0.25">
      <c r="A126" s="82">
        <f>'A) Base RI'!A117</f>
        <v>5585</v>
      </c>
      <c r="B126" s="62" t="str">
        <f>'A) Base RI'!B117</f>
        <v>Jouxtens-Mézery</v>
      </c>
      <c r="C126" s="25">
        <f>'D) Ecrêtage'!N115</f>
        <v>134590.31495665171</v>
      </c>
      <c r="D126" s="18">
        <f>'A) Base RI'!AN117</f>
        <v>1398</v>
      </c>
      <c r="E126" s="25">
        <f t="shared" si="4"/>
        <v>2497443</v>
      </c>
      <c r="F126" s="73">
        <f>'F) Population'!K118</f>
        <v>239300</v>
      </c>
      <c r="G126" s="18">
        <f>'G) Solidarité'!I115</f>
        <v>0</v>
      </c>
      <c r="H126" s="25">
        <f t="shared" si="5"/>
        <v>239300</v>
      </c>
      <c r="I126" s="98">
        <f t="shared" si="6"/>
        <v>2258143</v>
      </c>
    </row>
    <row r="127" spans="1:9" x14ac:dyDescent="0.25">
      <c r="A127" s="82">
        <f>'A) Base RI'!A118</f>
        <v>5586</v>
      </c>
      <c r="B127" s="62" t="str">
        <f>'A) Base RI'!B118</f>
        <v>Lausanne</v>
      </c>
      <c r="C127" s="25">
        <f>'D) Ecrêtage'!N116</f>
        <v>6035853.3985654004</v>
      </c>
      <c r="D127" s="18">
        <f>'A) Base RI'!AN118</f>
        <v>133521</v>
      </c>
      <c r="E127" s="25">
        <f t="shared" ref="E127:E180" si="7">ROUND(C127*E$15,0)</f>
        <v>112000643</v>
      </c>
      <c r="F127" s="73">
        <f>'F) Population'!K119</f>
        <v>134197050</v>
      </c>
      <c r="G127" s="18">
        <f>'G) Solidarité'!I116</f>
        <v>0</v>
      </c>
      <c r="H127" s="25">
        <f t="shared" ref="H127:H180" si="8">F127+G127</f>
        <v>134197050</v>
      </c>
      <c r="I127" s="98">
        <f t="shared" ref="I127:I180" si="9">E127-H127</f>
        <v>-22196407</v>
      </c>
    </row>
    <row r="128" spans="1:9" x14ac:dyDescent="0.25">
      <c r="A128" s="82">
        <f>'A) Base RI'!A119</f>
        <v>5587</v>
      </c>
      <c r="B128" s="62" t="str">
        <f>'A) Base RI'!B119</f>
        <v>Le Mont-sur-Lausanne</v>
      </c>
      <c r="C128" s="25">
        <f>'D) Ecrêtage'!N117</f>
        <v>349051.38502222218</v>
      </c>
      <c r="D128" s="18">
        <f>'A) Base RI'!AN119</f>
        <v>6937</v>
      </c>
      <c r="E128" s="25">
        <f t="shared" si="7"/>
        <v>6476960</v>
      </c>
      <c r="F128" s="73">
        <f>'F) Population'!K120</f>
        <v>2962200</v>
      </c>
      <c r="G128" s="18">
        <f>'G) Solidarité'!I117</f>
        <v>0</v>
      </c>
      <c r="H128" s="25">
        <f t="shared" si="8"/>
        <v>2962200</v>
      </c>
      <c r="I128" s="98">
        <f t="shared" si="9"/>
        <v>3514760</v>
      </c>
    </row>
    <row r="129" spans="1:9" x14ac:dyDescent="0.25">
      <c r="A129" s="82">
        <f>'A) Base RI'!A120</f>
        <v>5588</v>
      </c>
      <c r="B129" s="62" t="str">
        <f>'A) Base RI'!B120</f>
        <v>Paudex</v>
      </c>
      <c r="C129" s="25">
        <f>'D) Ecrêtage'!N118</f>
        <v>119438.63823447276</v>
      </c>
      <c r="D129" s="18">
        <f>'A) Base RI'!AN120</f>
        <v>1454</v>
      </c>
      <c r="E129" s="25">
        <f t="shared" si="7"/>
        <v>2216290</v>
      </c>
      <c r="F129" s="73">
        <f>'F) Population'!K121</f>
        <v>258900</v>
      </c>
      <c r="G129" s="18">
        <f>'G) Solidarité'!I118</f>
        <v>0</v>
      </c>
      <c r="H129" s="25">
        <f t="shared" si="8"/>
        <v>258900</v>
      </c>
      <c r="I129" s="98">
        <f t="shared" si="9"/>
        <v>1957390</v>
      </c>
    </row>
    <row r="130" spans="1:9" x14ac:dyDescent="0.25">
      <c r="A130" s="82">
        <f>'A) Base RI'!A121</f>
        <v>5589</v>
      </c>
      <c r="B130" s="62" t="str">
        <f>'A) Base RI'!B121</f>
        <v>Prilly</v>
      </c>
      <c r="C130" s="25">
        <f>'D) Ecrêtage'!N119</f>
        <v>409964.00829931977</v>
      </c>
      <c r="D130" s="18">
        <f>'A) Base RI'!AN121</f>
        <v>11824</v>
      </c>
      <c r="E130" s="25">
        <f t="shared" si="7"/>
        <v>7607248</v>
      </c>
      <c r="F130" s="73">
        <f>'F) Population'!K122</f>
        <v>6600400</v>
      </c>
      <c r="G130" s="18">
        <f>'G) Solidarité'!I119</f>
        <v>2333241.7768248105</v>
      </c>
      <c r="H130" s="25">
        <f t="shared" si="8"/>
        <v>8933641.7768248096</v>
      </c>
      <c r="I130" s="98">
        <f t="shared" si="9"/>
        <v>-1326393.7768248096</v>
      </c>
    </row>
    <row r="131" spans="1:9" x14ac:dyDescent="0.25">
      <c r="A131" s="82">
        <f>'A) Base RI'!A122</f>
        <v>5590</v>
      </c>
      <c r="B131" s="62" t="str">
        <f>'A) Base RI'!B122</f>
        <v>Pully</v>
      </c>
      <c r="C131" s="25">
        <f>'D) Ecrêtage'!N120</f>
        <v>1233855.8034109231</v>
      </c>
      <c r="D131" s="18">
        <f>'A) Base RI'!AN122</f>
        <v>17598</v>
      </c>
      <c r="E131" s="25">
        <f t="shared" si="7"/>
        <v>22895295</v>
      </c>
      <c r="F131" s="73">
        <f>'F) Population'!K123</f>
        <v>12477900</v>
      </c>
      <c r="G131" s="18">
        <f>'G) Solidarité'!I120</f>
        <v>0</v>
      </c>
      <c r="H131" s="25">
        <f t="shared" si="8"/>
        <v>12477900</v>
      </c>
      <c r="I131" s="98">
        <f t="shared" si="9"/>
        <v>10417395</v>
      </c>
    </row>
    <row r="132" spans="1:9" x14ac:dyDescent="0.25">
      <c r="A132" s="82">
        <f>'A) Base RI'!A123</f>
        <v>5591</v>
      </c>
      <c r="B132" s="62" t="str">
        <f>'A) Base RI'!B123</f>
        <v>Renens</v>
      </c>
      <c r="C132" s="25">
        <f>'D) Ecrêtage'!N121</f>
        <v>507224.92132848047</v>
      </c>
      <c r="D132" s="18">
        <f>'A) Base RI'!AN123</f>
        <v>20307</v>
      </c>
      <c r="E132" s="25">
        <f t="shared" si="7"/>
        <v>9412011</v>
      </c>
      <c r="F132" s="73">
        <f>'F) Population'!K124</f>
        <v>15322350</v>
      </c>
      <c r="G132" s="18">
        <f>'G) Solidarité'!I121</f>
        <v>9396082.4698288664</v>
      </c>
      <c r="H132" s="25">
        <f t="shared" si="8"/>
        <v>24718432.469828866</v>
      </c>
      <c r="I132" s="98">
        <f t="shared" si="9"/>
        <v>-15306421.469828866</v>
      </c>
    </row>
    <row r="133" spans="1:9" x14ac:dyDescent="0.25">
      <c r="A133" s="82">
        <f>'A) Base RI'!A124</f>
        <v>5592</v>
      </c>
      <c r="B133" s="62" t="str">
        <f>'A) Base RI'!B124</f>
        <v>Romanel-sur-Lausanne</v>
      </c>
      <c r="C133" s="25">
        <f>'D) Ecrêtage'!N122</f>
        <v>115467.46028571429</v>
      </c>
      <c r="D133" s="18">
        <f>'A) Base RI'!AN124</f>
        <v>3290</v>
      </c>
      <c r="E133" s="25">
        <f t="shared" si="7"/>
        <v>2142602</v>
      </c>
      <c r="F133" s="73">
        <f>'F) Population'!K125</f>
        <v>945000</v>
      </c>
      <c r="G133" s="18">
        <f>'G) Solidarité'!I122</f>
        <v>561654.40587586036</v>
      </c>
      <c r="H133" s="25">
        <f t="shared" si="8"/>
        <v>1506654.4058758602</v>
      </c>
      <c r="I133" s="98">
        <f t="shared" si="9"/>
        <v>635947.59412413975</v>
      </c>
    </row>
    <row r="134" spans="1:9" x14ac:dyDescent="0.25">
      <c r="A134" s="82">
        <f>'A) Base RI'!A125</f>
        <v>5601</v>
      </c>
      <c r="B134" s="62" t="str">
        <f>'A) Base RI'!B125</f>
        <v>Chexbres</v>
      </c>
      <c r="C134" s="25">
        <f>'D) Ecrêtage'!N123</f>
        <v>102004.96828125001</v>
      </c>
      <c r="D134" s="18">
        <f>'A) Base RI'!AN125</f>
        <v>2180</v>
      </c>
      <c r="E134" s="25">
        <f t="shared" si="7"/>
        <v>1892793</v>
      </c>
      <c r="F134" s="73">
        <f>'F) Population'!K126</f>
        <v>513000</v>
      </c>
      <c r="G134" s="18">
        <f>'G) Solidarité'!I123</f>
        <v>0</v>
      </c>
      <c r="H134" s="25">
        <f t="shared" si="8"/>
        <v>513000</v>
      </c>
      <c r="I134" s="98">
        <f t="shared" si="9"/>
        <v>1379793</v>
      </c>
    </row>
    <row r="135" spans="1:9" x14ac:dyDescent="0.25">
      <c r="A135" s="82">
        <f>'A) Base RI'!A126</f>
        <v>5604</v>
      </c>
      <c r="B135" s="62" t="str">
        <f>'A) Base RI'!B126</f>
        <v>Forel (Lavaux)</v>
      </c>
      <c r="C135" s="25">
        <f>'D) Ecrêtage'!N124</f>
        <v>73679.184999999969</v>
      </c>
      <c r="D135" s="18">
        <f>'A) Base RI'!AN126</f>
        <v>2072</v>
      </c>
      <c r="E135" s="25">
        <f t="shared" si="7"/>
        <v>1367183</v>
      </c>
      <c r="F135" s="73">
        <f>'F) Population'!K127</f>
        <v>475200</v>
      </c>
      <c r="G135" s="18">
        <f>'G) Solidarité'!I124</f>
        <v>297832.49271020235</v>
      </c>
      <c r="H135" s="25">
        <f t="shared" si="8"/>
        <v>773032.49271020235</v>
      </c>
      <c r="I135" s="98">
        <f t="shared" si="9"/>
        <v>594150.50728979765</v>
      </c>
    </row>
    <row r="136" spans="1:9" x14ac:dyDescent="0.25">
      <c r="A136" s="82">
        <f>'A) Base RI'!A127</f>
        <v>5606</v>
      </c>
      <c r="B136" s="62" t="str">
        <f>'A) Base RI'!B127</f>
        <v>Lutry</v>
      </c>
      <c r="C136" s="25">
        <f>'D) Ecrêtage'!N125</f>
        <v>696286.44029501616</v>
      </c>
      <c r="D136" s="18">
        <f>'A) Base RI'!AN127</f>
        <v>9648</v>
      </c>
      <c r="E136" s="25">
        <f t="shared" si="7"/>
        <v>12920216</v>
      </c>
      <c r="F136" s="73">
        <f>'F) Population'!K128</f>
        <v>4750800</v>
      </c>
      <c r="G136" s="18">
        <f>'G) Solidarité'!I125</f>
        <v>0</v>
      </c>
      <c r="H136" s="25">
        <f t="shared" si="8"/>
        <v>4750800</v>
      </c>
      <c r="I136" s="98">
        <f t="shared" si="9"/>
        <v>8169416</v>
      </c>
    </row>
    <row r="137" spans="1:9" x14ac:dyDescent="0.25">
      <c r="A137" s="82">
        <f>'A) Base RI'!A128</f>
        <v>5607</v>
      </c>
      <c r="B137" s="62" t="str">
        <f>'A) Base RI'!B128</f>
        <v>Puidoux</v>
      </c>
      <c r="C137" s="25">
        <f>'D) Ecrêtage'!N126</f>
        <v>102046.9552557545</v>
      </c>
      <c r="D137" s="18">
        <f>'A) Base RI'!AN128</f>
        <v>2815</v>
      </c>
      <c r="E137" s="25">
        <f t="shared" si="7"/>
        <v>1893572</v>
      </c>
      <c r="F137" s="73">
        <f>'F) Population'!K129</f>
        <v>735250</v>
      </c>
      <c r="G137" s="18">
        <f>'G) Solidarité'!I126</f>
        <v>393716.62870076339</v>
      </c>
      <c r="H137" s="25">
        <f t="shared" si="8"/>
        <v>1128966.6287007635</v>
      </c>
      <c r="I137" s="98">
        <f t="shared" si="9"/>
        <v>764605.37129923655</v>
      </c>
    </row>
    <row r="138" spans="1:9" x14ac:dyDescent="0.25">
      <c r="A138" s="82">
        <f>'A) Base RI'!A129</f>
        <v>5609</v>
      </c>
      <c r="B138" s="62" t="str">
        <f>'A) Base RI'!B129</f>
        <v>Rivaz</v>
      </c>
      <c r="C138" s="25">
        <f>'D) Ecrêtage'!N127</f>
        <v>17457.580472440943</v>
      </c>
      <c r="D138" s="18">
        <f>'A) Base RI'!AN129</f>
        <v>345</v>
      </c>
      <c r="E138" s="25">
        <f t="shared" si="7"/>
        <v>323941</v>
      </c>
      <c r="F138" s="73">
        <f>'F) Population'!K130</f>
        <v>34500</v>
      </c>
      <c r="G138" s="18">
        <f>'G) Solidarité'!I127</f>
        <v>0</v>
      </c>
      <c r="H138" s="25">
        <f t="shared" si="8"/>
        <v>34500</v>
      </c>
      <c r="I138" s="98">
        <f t="shared" si="9"/>
        <v>289441</v>
      </c>
    </row>
    <row r="139" spans="1:9" x14ac:dyDescent="0.25">
      <c r="A139" s="82">
        <f>'A) Base RI'!A130</f>
        <v>5610</v>
      </c>
      <c r="B139" s="62" t="str">
        <f>'A) Base RI'!B130</f>
        <v>St-Saphorin (Lavaux)</v>
      </c>
      <c r="C139" s="25">
        <f>'D) Ecrêtage'!N128</f>
        <v>20355.755166666662</v>
      </c>
      <c r="D139" s="18">
        <f>'A) Base RI'!AN130</f>
        <v>378</v>
      </c>
      <c r="E139" s="25">
        <f t="shared" si="7"/>
        <v>377719</v>
      </c>
      <c r="F139" s="73">
        <f>'F) Population'!K131</f>
        <v>37800</v>
      </c>
      <c r="G139" s="18">
        <f>'G) Solidarité'!I128</f>
        <v>0</v>
      </c>
      <c r="H139" s="25">
        <f t="shared" si="8"/>
        <v>37800</v>
      </c>
      <c r="I139" s="98">
        <f t="shared" si="9"/>
        <v>339919</v>
      </c>
    </row>
    <row r="140" spans="1:9" x14ac:dyDescent="0.25">
      <c r="A140" s="82">
        <f>'A) Base RI'!A131</f>
        <v>5611</v>
      </c>
      <c r="B140" s="62" t="str">
        <f>'A) Base RI'!B131</f>
        <v>Savigny</v>
      </c>
      <c r="C140" s="25">
        <f>'D) Ecrêtage'!N129</f>
        <v>133649.01597014922</v>
      </c>
      <c r="D140" s="18">
        <f>'A) Base RI'!AN131</f>
        <v>3304</v>
      </c>
      <c r="E140" s="25">
        <f t="shared" si="7"/>
        <v>2479977</v>
      </c>
      <c r="F140" s="73">
        <f>'F) Population'!K132</f>
        <v>952000</v>
      </c>
      <c r="G140" s="18">
        <f>'G) Solidarité'!I129</f>
        <v>200878.33540671985</v>
      </c>
      <c r="H140" s="25">
        <f t="shared" si="8"/>
        <v>1152878.3354067199</v>
      </c>
      <c r="I140" s="98">
        <f t="shared" si="9"/>
        <v>1327098.6645932801</v>
      </c>
    </row>
    <row r="141" spans="1:9" x14ac:dyDescent="0.25">
      <c r="A141" s="82">
        <f>'A) Base RI'!A132</f>
        <v>5613</v>
      </c>
      <c r="B141" s="62" t="str">
        <f>'A) Base RI'!B132</f>
        <v>Bourg-en-Lavaux</v>
      </c>
      <c r="C141" s="25">
        <f>'D) Ecrêtage'!N130</f>
        <v>307312.25466076838</v>
      </c>
      <c r="D141" s="18">
        <f>'A) Base RI'!AN132</f>
        <v>5184</v>
      </c>
      <c r="E141" s="25">
        <f t="shared" si="7"/>
        <v>5702453</v>
      </c>
      <c r="F141" s="73">
        <f>'F) Population'!K133</f>
        <v>1910400</v>
      </c>
      <c r="G141" s="18">
        <f>'G) Solidarité'!I130</f>
        <v>0</v>
      </c>
      <c r="H141" s="25">
        <f t="shared" si="8"/>
        <v>1910400</v>
      </c>
      <c r="I141" s="98">
        <f t="shared" si="9"/>
        <v>3792053</v>
      </c>
    </row>
    <row r="142" spans="1:9" x14ac:dyDescent="0.25">
      <c r="A142" s="82">
        <f>'A) Base RI'!A133</f>
        <v>5621</v>
      </c>
      <c r="B142" s="62" t="str">
        <f>'A) Base RI'!B133</f>
        <v>Aclens</v>
      </c>
      <c r="C142" s="25">
        <f>'D) Ecrêtage'!N131</f>
        <v>36410.510833032451</v>
      </c>
      <c r="D142" s="18">
        <f>'A) Base RI'!AN133</f>
        <v>538</v>
      </c>
      <c r="E142" s="25">
        <f t="shared" si="7"/>
        <v>675630</v>
      </c>
      <c r="F142" s="73">
        <f>'F) Population'!K134</f>
        <v>53800</v>
      </c>
      <c r="G142" s="18">
        <f>'G) Solidarité'!I131</f>
        <v>0</v>
      </c>
      <c r="H142" s="25">
        <f t="shared" si="8"/>
        <v>53800</v>
      </c>
      <c r="I142" s="98">
        <f t="shared" si="9"/>
        <v>621830</v>
      </c>
    </row>
    <row r="143" spans="1:9" x14ac:dyDescent="0.25">
      <c r="A143" s="82">
        <f>'A) Base RI'!A134</f>
        <v>5622</v>
      </c>
      <c r="B143" s="62" t="str">
        <f>'A) Base RI'!B134</f>
        <v>Bremblens</v>
      </c>
      <c r="C143" s="25">
        <f>'D) Ecrêtage'!N132</f>
        <v>25805.300909090911</v>
      </c>
      <c r="D143" s="18">
        <f>'A) Base RI'!AN134</f>
        <v>495</v>
      </c>
      <c r="E143" s="25">
        <f t="shared" si="7"/>
        <v>478840</v>
      </c>
      <c r="F143" s="73">
        <f>'F) Population'!K135</f>
        <v>49500</v>
      </c>
      <c r="G143" s="18">
        <f>'G) Solidarité'!I132</f>
        <v>0</v>
      </c>
      <c r="H143" s="25">
        <f t="shared" si="8"/>
        <v>49500</v>
      </c>
      <c r="I143" s="98">
        <f t="shared" si="9"/>
        <v>429340</v>
      </c>
    </row>
    <row r="144" spans="1:9" x14ac:dyDescent="0.25">
      <c r="A144" s="82">
        <f>'A) Base RI'!A135</f>
        <v>5623</v>
      </c>
      <c r="B144" s="62" t="str">
        <f>'A) Base RI'!B135</f>
        <v>Buchillon</v>
      </c>
      <c r="C144" s="25">
        <f>'D) Ecrêtage'!N133</f>
        <v>61850.611171951925</v>
      </c>
      <c r="D144" s="18">
        <f>'A) Base RI'!AN135</f>
        <v>616</v>
      </c>
      <c r="E144" s="25">
        <f t="shared" si="7"/>
        <v>1147693</v>
      </c>
      <c r="F144" s="73">
        <f>'F) Population'!K136</f>
        <v>61600</v>
      </c>
      <c r="G144" s="18">
        <f>'G) Solidarité'!I133</f>
        <v>0</v>
      </c>
      <c r="H144" s="25">
        <f t="shared" si="8"/>
        <v>61600</v>
      </c>
      <c r="I144" s="98">
        <f t="shared" si="9"/>
        <v>1086093</v>
      </c>
    </row>
    <row r="145" spans="1:9" x14ac:dyDescent="0.25">
      <c r="A145" s="82">
        <f>'A) Base RI'!A136</f>
        <v>5624</v>
      </c>
      <c r="B145" s="62" t="str">
        <f>'A) Base RI'!B136</f>
        <v>Bussigny</v>
      </c>
      <c r="C145" s="25">
        <f>'D) Ecrêtage'!N134</f>
        <v>356632.38967741939</v>
      </c>
      <c r="D145" s="18">
        <f>'A) Base RI'!AN136</f>
        <v>8208</v>
      </c>
      <c r="E145" s="25">
        <f t="shared" si="7"/>
        <v>6617632</v>
      </c>
      <c r="F145" s="73">
        <f>'F) Population'!K137</f>
        <v>3724800</v>
      </c>
      <c r="G145" s="18">
        <f>'G) Solidarité'!I134</f>
        <v>51009.465326663165</v>
      </c>
      <c r="H145" s="25">
        <f t="shared" si="8"/>
        <v>3775809.4653266631</v>
      </c>
      <c r="I145" s="98">
        <f t="shared" si="9"/>
        <v>2841822.5346733369</v>
      </c>
    </row>
    <row r="146" spans="1:9" x14ac:dyDescent="0.25">
      <c r="A146" s="82">
        <f>'A) Base RI'!A137</f>
        <v>5625</v>
      </c>
      <c r="B146" s="62" t="str">
        <f>'A) Base RI'!B137</f>
        <v>Bussy-Chardonney</v>
      </c>
      <c r="C146" s="25">
        <f>'D) Ecrêtage'!N135</f>
        <v>13870.18990740741</v>
      </c>
      <c r="D146" s="18">
        <f>'A) Base RI'!AN137</f>
        <v>388</v>
      </c>
      <c r="E146" s="25">
        <f t="shared" si="7"/>
        <v>257374</v>
      </c>
      <c r="F146" s="73">
        <f>'F) Population'!K138</f>
        <v>38800</v>
      </c>
      <c r="G146" s="18">
        <f>'G) Solidarité'!I135</f>
        <v>64865.234887566527</v>
      </c>
      <c r="H146" s="25">
        <f t="shared" si="8"/>
        <v>103665.23488756653</v>
      </c>
      <c r="I146" s="98">
        <f t="shared" si="9"/>
        <v>153708.76511243347</v>
      </c>
    </row>
    <row r="147" spans="1:9" x14ac:dyDescent="0.25">
      <c r="A147" s="82">
        <f>'A) Base RI'!A138</f>
        <v>5627</v>
      </c>
      <c r="B147" s="62" t="str">
        <f>'A) Base RI'!B138</f>
        <v>Chavannes-près-Renens</v>
      </c>
      <c r="C147" s="25">
        <f>'D) Ecrêtage'!N136</f>
        <v>170689.33978902953</v>
      </c>
      <c r="D147" s="18">
        <f>'A) Base RI'!AN138</f>
        <v>7169</v>
      </c>
      <c r="E147" s="25">
        <f t="shared" si="7"/>
        <v>3167293</v>
      </c>
      <c r="F147" s="73">
        <f>'F) Population'!K139</f>
        <v>3101400</v>
      </c>
      <c r="G147" s="18">
        <f>'G) Solidarité'!I136</f>
        <v>3567438.1758424193</v>
      </c>
      <c r="H147" s="25">
        <f t="shared" si="8"/>
        <v>6668838.1758424193</v>
      </c>
      <c r="I147" s="98">
        <f t="shared" si="9"/>
        <v>-3501545.1758424193</v>
      </c>
    </row>
    <row r="148" spans="1:9" x14ac:dyDescent="0.25">
      <c r="A148" s="82">
        <f>'A) Base RI'!A139</f>
        <v>5628</v>
      </c>
      <c r="B148" s="62" t="str">
        <f>'A) Base RI'!B139</f>
        <v>Chigny</v>
      </c>
      <c r="C148" s="25">
        <f>'D) Ecrêtage'!N137</f>
        <v>18836.036906773894</v>
      </c>
      <c r="D148" s="18">
        <f>'A) Base RI'!AN139</f>
        <v>330</v>
      </c>
      <c r="E148" s="25">
        <f t="shared" si="7"/>
        <v>349519</v>
      </c>
      <c r="F148" s="73">
        <f>'F) Population'!K140</f>
        <v>33000</v>
      </c>
      <c r="G148" s="18">
        <f>'G) Solidarité'!I137</f>
        <v>0</v>
      </c>
      <c r="H148" s="25">
        <f t="shared" si="8"/>
        <v>33000</v>
      </c>
      <c r="I148" s="98">
        <f t="shared" si="9"/>
        <v>316519</v>
      </c>
    </row>
    <row r="149" spans="1:9" x14ac:dyDescent="0.25">
      <c r="A149" s="82">
        <f>'A) Base RI'!A140</f>
        <v>5629</v>
      </c>
      <c r="B149" s="62" t="str">
        <f>'A) Base RI'!B140</f>
        <v>Clarmont</v>
      </c>
      <c r="C149" s="25">
        <f>'D) Ecrêtage'!N138</f>
        <v>7795.3318666666655</v>
      </c>
      <c r="D149" s="18">
        <f>'A) Base RI'!AN140</f>
        <v>155</v>
      </c>
      <c r="E149" s="25">
        <f t="shared" si="7"/>
        <v>144649</v>
      </c>
      <c r="F149" s="73">
        <f>'F) Population'!K141</f>
        <v>15500</v>
      </c>
      <c r="G149" s="18">
        <f>'G) Solidarité'!I138</f>
        <v>0</v>
      </c>
      <c r="H149" s="25">
        <f t="shared" si="8"/>
        <v>15500</v>
      </c>
      <c r="I149" s="98">
        <f t="shared" si="9"/>
        <v>129149</v>
      </c>
    </row>
    <row r="150" spans="1:9" x14ac:dyDescent="0.25">
      <c r="A150" s="82">
        <f>'A) Base RI'!A141</f>
        <v>5631</v>
      </c>
      <c r="B150" s="62" t="str">
        <f>'A) Base RI'!B141</f>
        <v>Denens</v>
      </c>
      <c r="C150" s="25">
        <f>'D) Ecrêtage'!N139</f>
        <v>35350.552500000005</v>
      </c>
      <c r="D150" s="18">
        <f>'A) Base RI'!AN141</f>
        <v>699</v>
      </c>
      <c r="E150" s="25">
        <f t="shared" si="7"/>
        <v>655961</v>
      </c>
      <c r="F150" s="73">
        <f>'F) Population'!K142</f>
        <v>69900</v>
      </c>
      <c r="G150" s="18">
        <f>'G) Solidarité'!I139</f>
        <v>0</v>
      </c>
      <c r="H150" s="25">
        <f t="shared" si="8"/>
        <v>69900</v>
      </c>
      <c r="I150" s="98">
        <f t="shared" si="9"/>
        <v>586061</v>
      </c>
    </row>
    <row r="151" spans="1:9" x14ac:dyDescent="0.25">
      <c r="A151" s="82">
        <f>'A) Base RI'!A142</f>
        <v>5632</v>
      </c>
      <c r="B151" s="62" t="str">
        <f>'A) Base RI'!B142</f>
        <v>Denges</v>
      </c>
      <c r="C151" s="25">
        <f>'D) Ecrêtage'!N140</f>
        <v>61597.331370967739</v>
      </c>
      <c r="D151" s="18">
        <f>'A) Base RI'!AN142</f>
        <v>1612</v>
      </c>
      <c r="E151" s="25">
        <f t="shared" si="7"/>
        <v>1142993</v>
      </c>
      <c r="F151" s="73">
        <f>'F) Population'!K143</f>
        <v>314200</v>
      </c>
      <c r="G151" s="18">
        <f>'G) Solidarité'!I140</f>
        <v>139106.68465613035</v>
      </c>
      <c r="H151" s="25">
        <f t="shared" si="8"/>
        <v>453306.68465613038</v>
      </c>
      <c r="I151" s="98">
        <f t="shared" si="9"/>
        <v>689686.31534386962</v>
      </c>
    </row>
    <row r="152" spans="1:9" x14ac:dyDescent="0.25">
      <c r="A152" s="82">
        <f>'A) Base RI'!A143</f>
        <v>5633</v>
      </c>
      <c r="B152" s="62" t="str">
        <f>'A) Base RI'!B143</f>
        <v>Echandens</v>
      </c>
      <c r="C152" s="25">
        <f>'D) Ecrêtage'!N141</f>
        <v>124899.1516129032</v>
      </c>
      <c r="D152" s="18">
        <f>'A) Base RI'!AN143</f>
        <v>2405</v>
      </c>
      <c r="E152" s="25">
        <f t="shared" si="7"/>
        <v>2317615</v>
      </c>
      <c r="F152" s="73">
        <f>'F) Population'!K144</f>
        <v>591750</v>
      </c>
      <c r="G152" s="18">
        <f>'G) Solidarité'!I141</f>
        <v>0</v>
      </c>
      <c r="H152" s="25">
        <f t="shared" si="8"/>
        <v>591750</v>
      </c>
      <c r="I152" s="98">
        <f t="shared" si="9"/>
        <v>1725865</v>
      </c>
    </row>
    <row r="153" spans="1:9" x14ac:dyDescent="0.25">
      <c r="A153" s="82">
        <f>'A) Base RI'!A144</f>
        <v>5634</v>
      </c>
      <c r="B153" s="62" t="str">
        <f>'A) Base RI'!B144</f>
        <v>Echichens</v>
      </c>
      <c r="C153" s="25">
        <f>'D) Ecrêtage'!N142</f>
        <v>128757.51117647058</v>
      </c>
      <c r="D153" s="18">
        <f>'A) Base RI'!AN144</f>
        <v>2570</v>
      </c>
      <c r="E153" s="25">
        <f t="shared" si="7"/>
        <v>2389210</v>
      </c>
      <c r="F153" s="73">
        <f>'F) Population'!K145</f>
        <v>649500</v>
      </c>
      <c r="G153" s="18">
        <f>'G) Solidarité'!I142</f>
        <v>0</v>
      </c>
      <c r="H153" s="25">
        <f t="shared" si="8"/>
        <v>649500</v>
      </c>
      <c r="I153" s="98">
        <f t="shared" si="9"/>
        <v>1739710</v>
      </c>
    </row>
    <row r="154" spans="1:9" x14ac:dyDescent="0.25">
      <c r="A154" s="82">
        <f>'A) Base RI'!A145</f>
        <v>5635</v>
      </c>
      <c r="B154" s="62" t="str">
        <f>'A) Base RI'!B145</f>
        <v>Ecublens</v>
      </c>
      <c r="C154" s="25">
        <f>'D) Ecrêtage'!N143</f>
        <v>456934.05313242786</v>
      </c>
      <c r="D154" s="18">
        <f>'A) Base RI'!AN145</f>
        <v>12181</v>
      </c>
      <c r="E154" s="25">
        <f t="shared" si="7"/>
        <v>8478819</v>
      </c>
      <c r="F154" s="73">
        <f>'F) Population'!K146</f>
        <v>6931000</v>
      </c>
      <c r="G154" s="18">
        <f>'G) Solidarité'!I143</f>
        <v>1181467.2016638559</v>
      </c>
      <c r="H154" s="25">
        <f t="shared" si="8"/>
        <v>8112467.2016638555</v>
      </c>
      <c r="I154" s="98">
        <f t="shared" si="9"/>
        <v>366351.79833614454</v>
      </c>
    </row>
    <row r="155" spans="1:9" x14ac:dyDescent="0.25">
      <c r="A155" s="82">
        <f>'A) Base RI'!A146</f>
        <v>5636</v>
      </c>
      <c r="B155" s="62" t="str">
        <f>'A) Base RI'!B146</f>
        <v>Etoy</v>
      </c>
      <c r="C155" s="25">
        <f>'D) Ecrêtage'!N144</f>
        <v>141771.26016393444</v>
      </c>
      <c r="D155" s="18">
        <f>'A) Base RI'!AN146</f>
        <v>2890</v>
      </c>
      <c r="E155" s="25">
        <f t="shared" si="7"/>
        <v>2630692</v>
      </c>
      <c r="F155" s="73">
        <f>'F) Population'!K147</f>
        <v>761500</v>
      </c>
      <c r="G155" s="18">
        <f>'G) Solidarité'!I144</f>
        <v>0</v>
      </c>
      <c r="H155" s="25">
        <f t="shared" si="8"/>
        <v>761500</v>
      </c>
      <c r="I155" s="98">
        <f t="shared" si="9"/>
        <v>1869192</v>
      </c>
    </row>
    <row r="156" spans="1:9" x14ac:dyDescent="0.25">
      <c r="A156" s="82">
        <f>'A) Base RI'!A147</f>
        <v>5637</v>
      </c>
      <c r="B156" s="62" t="str">
        <f>'A) Base RI'!B147</f>
        <v>Lavigny</v>
      </c>
      <c r="C156" s="25">
        <f>'D) Ecrêtage'!N145</f>
        <v>30305.948814317679</v>
      </c>
      <c r="D156" s="18">
        <f>'A) Base RI'!AN147</f>
        <v>930</v>
      </c>
      <c r="E156" s="25">
        <f t="shared" si="7"/>
        <v>562354</v>
      </c>
      <c r="F156" s="73">
        <f>'F) Population'!K148</f>
        <v>93000</v>
      </c>
      <c r="G156" s="18">
        <f>'G) Solidarité'!I145</f>
        <v>231354.86225036226</v>
      </c>
      <c r="H156" s="25">
        <f t="shared" si="8"/>
        <v>324354.86225036229</v>
      </c>
      <c r="I156" s="98">
        <f t="shared" si="9"/>
        <v>237999.13774963771</v>
      </c>
    </row>
    <row r="157" spans="1:9" x14ac:dyDescent="0.25">
      <c r="A157" s="82">
        <f>'A) Base RI'!A148</f>
        <v>5638</v>
      </c>
      <c r="B157" s="62" t="str">
        <f>'A) Base RI'!B148</f>
        <v>Lonay</v>
      </c>
      <c r="C157" s="25">
        <f>'D) Ecrêtage'!N146</f>
        <v>131856.2218181818</v>
      </c>
      <c r="D157" s="18">
        <f>'A) Base RI'!AN148</f>
        <v>2508</v>
      </c>
      <c r="E157" s="25">
        <f t="shared" si="7"/>
        <v>2446710</v>
      </c>
      <c r="F157" s="73">
        <f>'F) Population'!K149</f>
        <v>627800</v>
      </c>
      <c r="G157" s="18">
        <f>'G) Solidarité'!I146</f>
        <v>0</v>
      </c>
      <c r="H157" s="25">
        <f t="shared" si="8"/>
        <v>627800</v>
      </c>
      <c r="I157" s="98">
        <f t="shared" si="9"/>
        <v>1818910</v>
      </c>
    </row>
    <row r="158" spans="1:9" x14ac:dyDescent="0.25">
      <c r="A158" s="82">
        <f>'A) Base RI'!A149</f>
        <v>5639</v>
      </c>
      <c r="B158" s="62" t="str">
        <f>'A) Base RI'!B149</f>
        <v>Lully</v>
      </c>
      <c r="C158" s="25">
        <f>'D) Ecrêtage'!N147</f>
        <v>41983.035245901636</v>
      </c>
      <c r="D158" s="18">
        <f>'A) Base RI'!AN149</f>
        <v>764</v>
      </c>
      <c r="E158" s="25">
        <f t="shared" si="7"/>
        <v>779033</v>
      </c>
      <c r="F158" s="73">
        <f>'F) Population'!K150</f>
        <v>76400</v>
      </c>
      <c r="G158" s="18">
        <f>'G) Solidarité'!I147</f>
        <v>0</v>
      </c>
      <c r="H158" s="25">
        <f t="shared" si="8"/>
        <v>76400</v>
      </c>
      <c r="I158" s="98">
        <f t="shared" si="9"/>
        <v>702633</v>
      </c>
    </row>
    <row r="159" spans="1:9" x14ac:dyDescent="0.25">
      <c r="A159" s="82">
        <f>'A) Base RI'!A150</f>
        <v>5640</v>
      </c>
      <c r="B159" s="62" t="str">
        <f>'A) Base RI'!B150</f>
        <v>Lussy-sur-Morges</v>
      </c>
      <c r="C159" s="25">
        <f>'D) Ecrêtage'!N148</f>
        <v>44883.005418618071</v>
      </c>
      <c r="D159" s="18">
        <f>'A) Base RI'!AN150</f>
        <v>653</v>
      </c>
      <c r="E159" s="25">
        <f t="shared" si="7"/>
        <v>832844</v>
      </c>
      <c r="F159" s="73">
        <f>'F) Population'!K151</f>
        <v>65300</v>
      </c>
      <c r="G159" s="18">
        <f>'G) Solidarité'!I148</f>
        <v>0</v>
      </c>
      <c r="H159" s="25">
        <f t="shared" si="8"/>
        <v>65300</v>
      </c>
      <c r="I159" s="98">
        <f t="shared" si="9"/>
        <v>767544</v>
      </c>
    </row>
    <row r="160" spans="1:9" x14ac:dyDescent="0.25">
      <c r="A160" s="82">
        <f>'A) Base RI'!A151</f>
        <v>5642</v>
      </c>
      <c r="B160" s="62" t="str">
        <f>'A) Base RI'!B151</f>
        <v>Morges</v>
      </c>
      <c r="C160" s="25">
        <f>'D) Ecrêtage'!N149</f>
        <v>722363.52321167884</v>
      </c>
      <c r="D160" s="18">
        <f>'A) Base RI'!AN151</f>
        <v>15401</v>
      </c>
      <c r="E160" s="25">
        <f t="shared" si="7"/>
        <v>13404099</v>
      </c>
      <c r="F160" s="73">
        <f>'F) Population'!K152</f>
        <v>10171050</v>
      </c>
      <c r="G160" s="18">
        <f>'G) Solidarité'!I149</f>
        <v>0</v>
      </c>
      <c r="H160" s="25">
        <f t="shared" si="8"/>
        <v>10171050</v>
      </c>
      <c r="I160" s="98">
        <f t="shared" si="9"/>
        <v>3233049</v>
      </c>
    </row>
    <row r="161" spans="1:9" x14ac:dyDescent="0.25">
      <c r="A161" s="82">
        <f>'A) Base RI'!A152</f>
        <v>5643</v>
      </c>
      <c r="B161" s="62" t="str">
        <f>'A) Base RI'!B152</f>
        <v>Préverenges</v>
      </c>
      <c r="C161" s="25">
        <f>'D) Ecrêtage'!N150</f>
        <v>265909.61515625002</v>
      </c>
      <c r="D161" s="18">
        <f>'A) Base RI'!AN152</f>
        <v>5184</v>
      </c>
      <c r="E161" s="25">
        <f t="shared" si="7"/>
        <v>4934190</v>
      </c>
      <c r="F161" s="73">
        <f>'F) Population'!K153</f>
        <v>1910400</v>
      </c>
      <c r="G161" s="18">
        <f>'G) Solidarité'!I150</f>
        <v>0</v>
      </c>
      <c r="H161" s="25">
        <f t="shared" si="8"/>
        <v>1910400</v>
      </c>
      <c r="I161" s="98">
        <f t="shared" si="9"/>
        <v>3023790</v>
      </c>
    </row>
    <row r="162" spans="1:9" x14ac:dyDescent="0.25">
      <c r="A162" s="82">
        <f>'A) Base RI'!A153</f>
        <v>5644</v>
      </c>
      <c r="B162" s="62" t="str">
        <f>'A) Base RI'!B153</f>
        <v>Reverolle</v>
      </c>
      <c r="C162" s="25">
        <f>'D) Ecrêtage'!N151</f>
        <v>14878.554871794875</v>
      </c>
      <c r="D162" s="18">
        <f>'A) Base RI'!AN153</f>
        <v>356</v>
      </c>
      <c r="E162" s="25">
        <f t="shared" si="7"/>
        <v>276085</v>
      </c>
      <c r="F162" s="73">
        <f>'F) Population'!K154</f>
        <v>35600</v>
      </c>
      <c r="G162" s="18">
        <f>'G) Solidarité'!I151</f>
        <v>17764.898888950778</v>
      </c>
      <c r="H162" s="25">
        <f t="shared" si="8"/>
        <v>53364.898888950775</v>
      </c>
      <c r="I162" s="98">
        <f t="shared" si="9"/>
        <v>222720.10111104924</v>
      </c>
    </row>
    <row r="163" spans="1:9" x14ac:dyDescent="0.25">
      <c r="A163" s="82">
        <f>'A) Base RI'!A154</f>
        <v>5645</v>
      </c>
      <c r="B163" s="62" t="str">
        <f>'A) Base RI'!B154</f>
        <v>Romanel-sur-Morges</v>
      </c>
      <c r="C163" s="25">
        <f>'D) Ecrêtage'!N152</f>
        <v>24679.645623864293</v>
      </c>
      <c r="D163" s="18">
        <f>'A) Base RI'!AN154</f>
        <v>435</v>
      </c>
      <c r="E163" s="25">
        <f t="shared" si="7"/>
        <v>457953</v>
      </c>
      <c r="F163" s="73">
        <f>'F) Population'!K155</f>
        <v>43500</v>
      </c>
      <c r="G163" s="18">
        <f>'G) Solidarité'!I152</f>
        <v>0</v>
      </c>
      <c r="H163" s="25">
        <f t="shared" si="8"/>
        <v>43500</v>
      </c>
      <c r="I163" s="98">
        <f t="shared" si="9"/>
        <v>414453</v>
      </c>
    </row>
    <row r="164" spans="1:9" x14ac:dyDescent="0.25">
      <c r="A164" s="82">
        <f>'A) Base RI'!A155</f>
        <v>5646</v>
      </c>
      <c r="B164" s="62" t="str">
        <f>'A) Base RI'!B155</f>
        <v>Saint-Prex</v>
      </c>
      <c r="C164" s="25">
        <f>'D) Ecrêtage'!N153</f>
        <v>348606.97222302243</v>
      </c>
      <c r="D164" s="18">
        <f>'A) Base RI'!AN155</f>
        <v>5447</v>
      </c>
      <c r="E164" s="25">
        <f t="shared" si="7"/>
        <v>6468713</v>
      </c>
      <c r="F164" s="73">
        <f>'F) Population'!K156</f>
        <v>2068200</v>
      </c>
      <c r="G164" s="18">
        <f>'G) Solidarité'!I153</f>
        <v>0</v>
      </c>
      <c r="H164" s="25">
        <f t="shared" si="8"/>
        <v>2068200</v>
      </c>
      <c r="I164" s="98">
        <f t="shared" si="9"/>
        <v>4400513</v>
      </c>
    </row>
    <row r="165" spans="1:9" x14ac:dyDescent="0.25">
      <c r="A165" s="82">
        <f>'A) Base RI'!A156</f>
        <v>5648</v>
      </c>
      <c r="B165" s="62" t="str">
        <f>'A) Base RI'!B156</f>
        <v>Saint-Sulpice</v>
      </c>
      <c r="C165" s="25">
        <f>'D) Ecrêtage'!N154</f>
        <v>249354.37864273257</v>
      </c>
      <c r="D165" s="18">
        <f>'A) Base RI'!AN156</f>
        <v>3463</v>
      </c>
      <c r="E165" s="25">
        <f t="shared" si="7"/>
        <v>4626993</v>
      </c>
      <c r="F165" s="73">
        <f>'F) Population'!K157</f>
        <v>1031500</v>
      </c>
      <c r="G165" s="18">
        <f>'G) Solidarité'!I154</f>
        <v>0</v>
      </c>
      <c r="H165" s="25">
        <f t="shared" si="8"/>
        <v>1031500</v>
      </c>
      <c r="I165" s="98">
        <f t="shared" si="9"/>
        <v>3595493</v>
      </c>
    </row>
    <row r="166" spans="1:9" x14ac:dyDescent="0.25">
      <c r="A166" s="82">
        <f>'A) Base RI'!A157</f>
        <v>5649</v>
      </c>
      <c r="B166" s="62" t="str">
        <f>'A) Base RI'!B157</f>
        <v>Tolochenaz</v>
      </c>
      <c r="C166" s="25">
        <f>'D) Ecrêtage'!N155</f>
        <v>102066.20805593611</v>
      </c>
      <c r="D166" s="18">
        <f>'A) Base RI'!AN157</f>
        <v>1812</v>
      </c>
      <c r="E166" s="25">
        <f t="shared" si="7"/>
        <v>1893930</v>
      </c>
      <c r="F166" s="73">
        <f>'F) Population'!K158</f>
        <v>384200</v>
      </c>
      <c r="G166" s="18">
        <f>'G) Solidarité'!I155</f>
        <v>0</v>
      </c>
      <c r="H166" s="25">
        <f t="shared" si="8"/>
        <v>384200</v>
      </c>
      <c r="I166" s="98">
        <f t="shared" si="9"/>
        <v>1509730</v>
      </c>
    </row>
    <row r="167" spans="1:9" x14ac:dyDescent="0.25">
      <c r="A167" s="82">
        <f>'A) Base RI'!A158</f>
        <v>5650</v>
      </c>
      <c r="B167" s="62" t="str">
        <f>'A) Base RI'!B158</f>
        <v>Vaux-sur-Morges</v>
      </c>
      <c r="C167" s="25">
        <f>'D) Ecrêtage'!N156</f>
        <v>63213.556944204865</v>
      </c>
      <c r="D167" s="18">
        <f>'A) Base RI'!AN158</f>
        <v>196</v>
      </c>
      <c r="E167" s="25">
        <f t="shared" si="7"/>
        <v>1172984</v>
      </c>
      <c r="F167" s="73">
        <f>'F) Population'!K159</f>
        <v>19600</v>
      </c>
      <c r="G167" s="18">
        <f>'G) Solidarité'!I156</f>
        <v>0</v>
      </c>
      <c r="H167" s="25">
        <f t="shared" si="8"/>
        <v>19600</v>
      </c>
      <c r="I167" s="98">
        <f t="shared" si="9"/>
        <v>1153384</v>
      </c>
    </row>
    <row r="168" spans="1:9" x14ac:dyDescent="0.25">
      <c r="A168" s="82">
        <f>'A) Base RI'!A159</f>
        <v>5651</v>
      </c>
      <c r="B168" s="62" t="str">
        <f>'A) Base RI'!B159</f>
        <v>Villars-Sainte-Croix</v>
      </c>
      <c r="C168" s="25">
        <f>'D) Ecrêtage'!N157</f>
        <v>43785.503891702981</v>
      </c>
      <c r="D168" s="18">
        <f>'A) Base RI'!AN159</f>
        <v>673</v>
      </c>
      <c r="E168" s="25">
        <f t="shared" si="7"/>
        <v>812479</v>
      </c>
      <c r="F168" s="73">
        <f>'F) Population'!K160</f>
        <v>67300</v>
      </c>
      <c r="G168" s="18">
        <f>'G) Solidarité'!I157</f>
        <v>0</v>
      </c>
      <c r="H168" s="25">
        <f t="shared" si="8"/>
        <v>67300</v>
      </c>
      <c r="I168" s="98">
        <f t="shared" si="9"/>
        <v>745179</v>
      </c>
    </row>
    <row r="169" spans="1:9" x14ac:dyDescent="0.25">
      <c r="A169" s="82">
        <f>'A) Base RI'!A160</f>
        <v>5652</v>
      </c>
      <c r="B169" s="62" t="str">
        <f>'A) Base RI'!B160</f>
        <v>Villars-sous-Yens</v>
      </c>
      <c r="C169" s="25">
        <f>'D) Ecrêtage'!N158</f>
        <v>24426.645087719295</v>
      </c>
      <c r="D169" s="18">
        <f>'A) Base RI'!AN160</f>
        <v>570</v>
      </c>
      <c r="E169" s="25">
        <f t="shared" si="7"/>
        <v>453258</v>
      </c>
      <c r="F169" s="73">
        <f>'F) Population'!K161</f>
        <v>57000</v>
      </c>
      <c r="G169" s="18">
        <f>'G) Solidarité'!I158</f>
        <v>13122.151384451361</v>
      </c>
      <c r="H169" s="25">
        <f t="shared" si="8"/>
        <v>70122.151384451368</v>
      </c>
      <c r="I169" s="98">
        <f t="shared" si="9"/>
        <v>383135.84861554863</v>
      </c>
    </row>
    <row r="170" spans="1:9" x14ac:dyDescent="0.25">
      <c r="A170" s="82">
        <f>'A) Base RI'!A161</f>
        <v>5653</v>
      </c>
      <c r="B170" s="62" t="str">
        <f>'A) Base RI'!B161</f>
        <v>Vufflens-le-Château</v>
      </c>
      <c r="C170" s="25">
        <f>'D) Ecrêtage'!N159</f>
        <v>51090.812390571104</v>
      </c>
      <c r="D170" s="18">
        <f>'A) Base RI'!AN161</f>
        <v>825</v>
      </c>
      <c r="E170" s="25">
        <f t="shared" si="7"/>
        <v>948036</v>
      </c>
      <c r="F170" s="73">
        <f>'F) Population'!K162</f>
        <v>82500</v>
      </c>
      <c r="G170" s="18">
        <f>'G) Solidarité'!I159</f>
        <v>0</v>
      </c>
      <c r="H170" s="25">
        <f t="shared" si="8"/>
        <v>82500</v>
      </c>
      <c r="I170" s="98">
        <f t="shared" si="9"/>
        <v>865536</v>
      </c>
    </row>
    <row r="171" spans="1:9" x14ac:dyDescent="0.25">
      <c r="A171" s="82">
        <f>'A) Base RI'!A162</f>
        <v>5654</v>
      </c>
      <c r="B171" s="62" t="str">
        <f>'A) Base RI'!B162</f>
        <v>Vullierens</v>
      </c>
      <c r="C171" s="25">
        <f>'D) Ecrêtage'!N160</f>
        <v>15860.891578947369</v>
      </c>
      <c r="D171" s="18">
        <f>'A) Base RI'!AN162</f>
        <v>457</v>
      </c>
      <c r="E171" s="25">
        <f t="shared" si="7"/>
        <v>294313</v>
      </c>
      <c r="F171" s="73">
        <f>'F) Population'!K163</f>
        <v>45700</v>
      </c>
      <c r="G171" s="18">
        <f>'G) Solidarité'!I160</f>
        <v>96058.636142610791</v>
      </c>
      <c r="H171" s="25">
        <f t="shared" si="8"/>
        <v>141758.63614261081</v>
      </c>
      <c r="I171" s="98">
        <f t="shared" si="9"/>
        <v>152554.36385738919</v>
      </c>
    </row>
    <row r="172" spans="1:9" x14ac:dyDescent="0.25">
      <c r="A172" s="82">
        <f>'A) Base RI'!A163</f>
        <v>5655</v>
      </c>
      <c r="B172" s="62" t="str">
        <f>'A) Base RI'!B163</f>
        <v>Yens</v>
      </c>
      <c r="C172" s="25">
        <f>'D) Ecrêtage'!N161</f>
        <v>73269.563430074471</v>
      </c>
      <c r="D172" s="18">
        <f>'A) Base RI'!AN163</f>
        <v>1327</v>
      </c>
      <c r="E172" s="25">
        <f t="shared" si="7"/>
        <v>1359582</v>
      </c>
      <c r="F172" s="73">
        <f>'F) Population'!K164</f>
        <v>214450</v>
      </c>
      <c r="G172" s="18">
        <f>'G) Solidarité'!I161</f>
        <v>0</v>
      </c>
      <c r="H172" s="25">
        <f t="shared" si="8"/>
        <v>214450</v>
      </c>
      <c r="I172" s="98">
        <f t="shared" si="9"/>
        <v>1145132</v>
      </c>
    </row>
    <row r="173" spans="1:9" x14ac:dyDescent="0.25">
      <c r="A173" s="82">
        <f>'A) Base RI'!A164</f>
        <v>5661</v>
      </c>
      <c r="B173" s="62" t="str">
        <f>'A) Base RI'!B164</f>
        <v>Boulens</v>
      </c>
      <c r="C173" s="25">
        <f>'D) Ecrêtage'!N162</f>
        <v>6901.8381012658238</v>
      </c>
      <c r="D173" s="18">
        <f>'A) Base RI'!AN164</f>
        <v>313</v>
      </c>
      <c r="E173" s="25">
        <f t="shared" si="7"/>
        <v>128070</v>
      </c>
      <c r="F173" s="73">
        <f>'F) Population'!K165</f>
        <v>31300</v>
      </c>
      <c r="G173" s="18">
        <f>'G) Solidarité'!I162</f>
        <v>169420.15301467353</v>
      </c>
      <c r="H173" s="25">
        <f t="shared" si="8"/>
        <v>200720.15301467353</v>
      </c>
      <c r="I173" s="98">
        <f t="shared" si="9"/>
        <v>-72650.153014673531</v>
      </c>
    </row>
    <row r="174" spans="1:9" x14ac:dyDescent="0.25">
      <c r="A174" s="82">
        <f>'A) Base RI'!A165</f>
        <v>5662</v>
      </c>
      <c r="B174" s="62" t="str">
        <f>'A) Base RI'!B165</f>
        <v>Brenles</v>
      </c>
      <c r="C174" s="25">
        <f>'D) Ecrêtage'!N163</f>
        <v>4031.2468945868945</v>
      </c>
      <c r="D174" s="18">
        <f>'A) Base RI'!AN165</f>
        <v>144</v>
      </c>
      <c r="E174" s="25">
        <f t="shared" si="7"/>
        <v>74803</v>
      </c>
      <c r="F174" s="73">
        <f>'F) Population'!K166</f>
        <v>14400</v>
      </c>
      <c r="G174" s="18">
        <f>'G) Solidarité'!I163</f>
        <v>55270.043723061732</v>
      </c>
      <c r="H174" s="25">
        <f t="shared" si="8"/>
        <v>69670.043723061739</v>
      </c>
      <c r="I174" s="98">
        <f t="shared" si="9"/>
        <v>5132.956276938261</v>
      </c>
    </row>
    <row r="175" spans="1:9" x14ac:dyDescent="0.25">
      <c r="A175" s="82">
        <f>'A) Base RI'!A166</f>
        <v>5663</v>
      </c>
      <c r="B175" s="62" t="str">
        <f>'A) Base RI'!B166</f>
        <v>Bussy-sur-Moudon</v>
      </c>
      <c r="C175" s="25">
        <f>'D) Ecrêtage'!N164</f>
        <v>5172.1214999999993</v>
      </c>
      <c r="D175" s="18">
        <f>'A) Base RI'!AN166</f>
        <v>197</v>
      </c>
      <c r="E175" s="25">
        <f t="shared" si="7"/>
        <v>95973</v>
      </c>
      <c r="F175" s="73">
        <f>'F) Population'!K167</f>
        <v>19700</v>
      </c>
      <c r="G175" s="18">
        <f>'G) Solidarité'!I164</f>
        <v>88267.223657668073</v>
      </c>
      <c r="H175" s="25">
        <f t="shared" si="8"/>
        <v>107967.22365766807</v>
      </c>
      <c r="I175" s="98">
        <f t="shared" si="9"/>
        <v>-11994.223657668073</v>
      </c>
    </row>
    <row r="176" spans="1:9" x14ac:dyDescent="0.25">
      <c r="A176" s="82">
        <f>'A) Base RI'!A167</f>
        <v>5665</v>
      </c>
      <c r="B176" s="62" t="str">
        <f>'A) Base RI'!B167</f>
        <v>Chavannes-sur-Moudon</v>
      </c>
      <c r="C176" s="25">
        <f>'D) Ecrêtage'!N165</f>
        <v>3708.5273611111106</v>
      </c>
      <c r="D176" s="18">
        <f>'A) Base RI'!AN167</f>
        <v>233</v>
      </c>
      <c r="E176" s="25">
        <f t="shared" si="7"/>
        <v>68815</v>
      </c>
      <c r="F176" s="73">
        <f>'F) Population'!K168</f>
        <v>23300</v>
      </c>
      <c r="G176" s="18">
        <f>'G) Solidarité'!I165</f>
        <v>134228.252506763</v>
      </c>
      <c r="H176" s="25">
        <f t="shared" si="8"/>
        <v>157528.252506763</v>
      </c>
      <c r="I176" s="98">
        <f t="shared" si="9"/>
        <v>-88713.252506763005</v>
      </c>
    </row>
    <row r="177" spans="1:9" x14ac:dyDescent="0.25">
      <c r="A177" s="82">
        <f>'A) Base RI'!A168</f>
        <v>5666</v>
      </c>
      <c r="B177" s="62" t="str">
        <f>'A) Base RI'!B168</f>
        <v>Chesalles-sur-Moudon</v>
      </c>
      <c r="C177" s="25">
        <f>'D) Ecrêtage'!N166</f>
        <v>3731.231866666667</v>
      </c>
      <c r="D177" s="18">
        <f>'A) Base RI'!AN168</f>
        <v>160</v>
      </c>
      <c r="E177" s="25">
        <f t="shared" si="7"/>
        <v>69236</v>
      </c>
      <c r="F177" s="73">
        <f>'F) Population'!K169</f>
        <v>16000</v>
      </c>
      <c r="G177" s="18">
        <f>'G) Solidarité'!I166</f>
        <v>73511.698293815658</v>
      </c>
      <c r="H177" s="25">
        <f t="shared" si="8"/>
        <v>89511.698293815658</v>
      </c>
      <c r="I177" s="98">
        <f t="shared" si="9"/>
        <v>-20275.698293815658</v>
      </c>
    </row>
    <row r="178" spans="1:9" x14ac:dyDescent="0.25">
      <c r="A178" s="82">
        <f>'A) Base RI'!A169</f>
        <v>5668</v>
      </c>
      <c r="B178" s="62" t="str">
        <f>'A) Base RI'!B169</f>
        <v>Cremin</v>
      </c>
      <c r="C178" s="25">
        <f>'D) Ecrêtage'!N167</f>
        <v>1020.8936363636363</v>
      </c>
      <c r="D178" s="18">
        <f>'A) Base RI'!AN169</f>
        <v>51</v>
      </c>
      <c r="E178" s="25">
        <f t="shared" si="7"/>
        <v>18944</v>
      </c>
      <c r="F178" s="73">
        <f>'F) Population'!K170</f>
        <v>5100</v>
      </c>
      <c r="G178" s="18">
        <f>'G) Solidarité'!I167</f>
        <v>28670.346572195038</v>
      </c>
      <c r="H178" s="25">
        <f t="shared" si="8"/>
        <v>33770.346572195034</v>
      </c>
      <c r="I178" s="98">
        <f t="shared" si="9"/>
        <v>-14826.346572195034</v>
      </c>
    </row>
    <row r="179" spans="1:9" x14ac:dyDescent="0.25">
      <c r="A179" s="82">
        <f>'A) Base RI'!A170</f>
        <v>5669</v>
      </c>
      <c r="B179" s="62" t="str">
        <f>'A) Base RI'!B170</f>
        <v>Curtilles</v>
      </c>
      <c r="C179" s="25">
        <f>'D) Ecrêtage'!N168</f>
        <v>8099.7640277777791</v>
      </c>
      <c r="D179" s="18">
        <f>'A) Base RI'!AN170</f>
        <v>306</v>
      </c>
      <c r="E179" s="25">
        <f t="shared" si="7"/>
        <v>150298</v>
      </c>
      <c r="F179" s="73">
        <f>'F) Population'!K171</f>
        <v>30600</v>
      </c>
      <c r="G179" s="18">
        <f>'G) Solidarité'!I168</f>
        <v>109696.38603477996</v>
      </c>
      <c r="H179" s="25">
        <f t="shared" si="8"/>
        <v>140296.38603477995</v>
      </c>
      <c r="I179" s="98">
        <f t="shared" si="9"/>
        <v>10001.613965220051</v>
      </c>
    </row>
    <row r="180" spans="1:9" x14ac:dyDescent="0.25">
      <c r="A180" s="82">
        <f>'A) Base RI'!A171</f>
        <v>5671</v>
      </c>
      <c r="B180" s="62" t="str">
        <f>'A) Base RI'!B171</f>
        <v>Dompierre</v>
      </c>
      <c r="C180" s="25">
        <f>'D) Ecrêtage'!N169</f>
        <v>5882.5981250000004</v>
      </c>
      <c r="D180" s="18">
        <f>'A) Base RI'!AN171</f>
        <v>247</v>
      </c>
      <c r="E180" s="25">
        <f t="shared" si="7"/>
        <v>109157</v>
      </c>
      <c r="F180" s="73">
        <f>'F) Population'!K172</f>
        <v>24700</v>
      </c>
      <c r="G180" s="18">
        <f>'G) Solidarité'!I169</f>
        <v>126000.65770996413</v>
      </c>
      <c r="H180" s="25">
        <f t="shared" si="8"/>
        <v>150700.65770996414</v>
      </c>
      <c r="I180" s="98">
        <f t="shared" si="9"/>
        <v>-41543.657709964144</v>
      </c>
    </row>
    <row r="181" spans="1:9" x14ac:dyDescent="0.25">
      <c r="A181" s="82">
        <f>'A) Base RI'!A172</f>
        <v>5672</v>
      </c>
      <c r="B181" s="62" t="str">
        <f>'A) Base RI'!B172</f>
        <v>Forel-sur-Lucens</v>
      </c>
      <c r="C181" s="25">
        <f>'D) Ecrêtage'!N170</f>
        <v>3859.3261000000002</v>
      </c>
      <c r="D181" s="18">
        <f>'A) Base RI'!AN172</f>
        <v>153</v>
      </c>
      <c r="E181" s="25">
        <f t="shared" ref="E181:E236" si="10">ROUND(C181*E$15,0)</f>
        <v>71613</v>
      </c>
      <c r="F181" s="73">
        <f>'F) Population'!K173</f>
        <v>15300</v>
      </c>
      <c r="G181" s="18">
        <f>'G) Solidarité'!I170</f>
        <v>63777.446798688601</v>
      </c>
      <c r="H181" s="25">
        <f t="shared" ref="H181:H236" si="11">F181+G181</f>
        <v>79077.446798688601</v>
      </c>
      <c r="I181" s="98">
        <f t="shared" ref="I181:I236" si="12">E181-H181</f>
        <v>-7464.4467986886011</v>
      </c>
    </row>
    <row r="182" spans="1:9" x14ac:dyDescent="0.25">
      <c r="A182" s="82">
        <f>'A) Base RI'!A173</f>
        <v>5673</v>
      </c>
      <c r="B182" s="62" t="str">
        <f>'A) Base RI'!B173</f>
        <v>Hermenches</v>
      </c>
      <c r="C182" s="25">
        <f>'D) Ecrêtage'!N171</f>
        <v>9584.1538967136148</v>
      </c>
      <c r="D182" s="18">
        <f>'A) Base RI'!AN173</f>
        <v>376</v>
      </c>
      <c r="E182" s="25">
        <f t="shared" si="10"/>
        <v>177843</v>
      </c>
      <c r="F182" s="73">
        <f>'F) Population'!K174</f>
        <v>37600</v>
      </c>
      <c r="G182" s="18">
        <f>'G) Solidarité'!I171</f>
        <v>138460.66673164387</v>
      </c>
      <c r="H182" s="25">
        <f t="shared" si="11"/>
        <v>176060.66673164387</v>
      </c>
      <c r="I182" s="98">
        <f t="shared" si="12"/>
        <v>1782.3332683561312</v>
      </c>
    </row>
    <row r="183" spans="1:9" x14ac:dyDescent="0.25">
      <c r="A183" s="82">
        <f>'A) Base RI'!A174</f>
        <v>5674</v>
      </c>
      <c r="B183" s="62" t="str">
        <f>'A) Base RI'!B174</f>
        <v>Lovatens</v>
      </c>
      <c r="C183" s="25">
        <f>'D) Ecrêtage'!N172</f>
        <v>5762.0609054325942</v>
      </c>
      <c r="D183" s="18">
        <f>'A) Base RI'!AN174</f>
        <v>140</v>
      </c>
      <c r="E183" s="25">
        <f t="shared" si="10"/>
        <v>106920</v>
      </c>
      <c r="F183" s="73">
        <f>'F) Population'!K175</f>
        <v>14000</v>
      </c>
      <c r="G183" s="18">
        <f>'G) Solidarité'!I172</f>
        <v>7574.1398291991172</v>
      </c>
      <c r="H183" s="25">
        <f t="shared" si="11"/>
        <v>21574.139829199117</v>
      </c>
      <c r="I183" s="98">
        <f t="shared" si="12"/>
        <v>85345.860170800879</v>
      </c>
    </row>
    <row r="184" spans="1:9" x14ac:dyDescent="0.25">
      <c r="A184" s="82">
        <f>'A) Base RI'!A175</f>
        <v>5675</v>
      </c>
      <c r="B184" s="62" t="str">
        <f>'A) Base RI'!B175</f>
        <v>Lucens</v>
      </c>
      <c r="C184" s="25">
        <f>'D) Ecrêtage'!N173</f>
        <v>78725.785578512397</v>
      </c>
      <c r="D184" s="18">
        <f>'A) Base RI'!AN175</f>
        <v>3262</v>
      </c>
      <c r="E184" s="25">
        <f t="shared" si="10"/>
        <v>1460827</v>
      </c>
      <c r="F184" s="73">
        <f>'F) Population'!K176</f>
        <v>931000</v>
      </c>
      <c r="G184" s="18">
        <f>'G) Solidarité'!I173</f>
        <v>1114603.4005123635</v>
      </c>
      <c r="H184" s="25">
        <f t="shared" si="11"/>
        <v>2045603.4005123635</v>
      </c>
      <c r="I184" s="98">
        <f t="shared" si="12"/>
        <v>-584776.40051236353</v>
      </c>
    </row>
    <row r="185" spans="1:9" x14ac:dyDescent="0.25">
      <c r="A185" s="82">
        <f>'A) Base RI'!A176</f>
        <v>5678</v>
      </c>
      <c r="B185" s="62" t="str">
        <f>'A) Base RI'!B176</f>
        <v>Moudon</v>
      </c>
      <c r="C185" s="25">
        <f>'D) Ecrêtage'!N174</f>
        <v>119060.24706666666</v>
      </c>
      <c r="D185" s="18">
        <f>'A) Base RI'!AN176</f>
        <v>5656</v>
      </c>
      <c r="E185" s="25">
        <f t="shared" si="10"/>
        <v>2209269</v>
      </c>
      <c r="F185" s="73">
        <f>'F) Population'!K177</f>
        <v>2193600</v>
      </c>
      <c r="G185" s="18">
        <f>'G) Solidarité'!I174</f>
        <v>2885883.7572527179</v>
      </c>
      <c r="H185" s="25">
        <f t="shared" si="11"/>
        <v>5079483.7572527174</v>
      </c>
      <c r="I185" s="98">
        <f t="shared" si="12"/>
        <v>-2870214.7572527174</v>
      </c>
    </row>
    <row r="186" spans="1:9" x14ac:dyDescent="0.25">
      <c r="A186" s="82">
        <f>'A) Base RI'!A177</f>
        <v>5680</v>
      </c>
      <c r="B186" s="62" t="str">
        <f>'A) Base RI'!B177</f>
        <v>Ogens</v>
      </c>
      <c r="C186" s="25">
        <f>'D) Ecrêtage'!N175</f>
        <v>6568.1873076923084</v>
      </c>
      <c r="D186" s="18">
        <f>'A) Base RI'!AN177</f>
        <v>261</v>
      </c>
      <c r="E186" s="25">
        <f t="shared" si="10"/>
        <v>121879</v>
      </c>
      <c r="F186" s="73">
        <f>'F) Population'!K178</f>
        <v>26100</v>
      </c>
      <c r="G186" s="18">
        <f>'G) Solidarité'!I175</f>
        <v>118046.55355964162</v>
      </c>
      <c r="H186" s="25">
        <f t="shared" si="11"/>
        <v>144146.55355964162</v>
      </c>
      <c r="I186" s="98">
        <f t="shared" si="12"/>
        <v>-22267.553559641616</v>
      </c>
    </row>
    <row r="187" spans="1:9" x14ac:dyDescent="0.25">
      <c r="A187" s="82">
        <f>'A) Base RI'!A178</f>
        <v>5683</v>
      </c>
      <c r="B187" s="62" t="str">
        <f>'A) Base RI'!B178</f>
        <v>Prévonloup</v>
      </c>
      <c r="C187" s="25">
        <f>'D) Ecrêtage'!N176</f>
        <v>3760.4979729729735</v>
      </c>
      <c r="D187" s="18">
        <f>'A) Base RI'!AN178</f>
        <v>173</v>
      </c>
      <c r="E187" s="25">
        <f t="shared" si="10"/>
        <v>69779</v>
      </c>
      <c r="F187" s="73">
        <f>'F) Population'!K179</f>
        <v>17300</v>
      </c>
      <c r="G187" s="18">
        <f>'G) Solidarité'!I176</f>
        <v>83344.689566794303</v>
      </c>
      <c r="H187" s="25">
        <f t="shared" si="11"/>
        <v>100644.6895667943</v>
      </c>
      <c r="I187" s="98">
        <f t="shared" si="12"/>
        <v>-30865.689566794303</v>
      </c>
    </row>
    <row r="188" spans="1:9" x14ac:dyDescent="0.25">
      <c r="A188" s="82">
        <f>'A) Base RI'!A179</f>
        <v>5684</v>
      </c>
      <c r="B188" s="62" t="str">
        <f>'A) Base RI'!B179</f>
        <v>Rossenges</v>
      </c>
      <c r="C188" s="25">
        <f>'D) Ecrêtage'!N177</f>
        <v>1257.3034166666666</v>
      </c>
      <c r="D188" s="18">
        <f>'A) Base RI'!AN179</f>
        <v>63</v>
      </c>
      <c r="E188" s="25">
        <f t="shared" si="10"/>
        <v>23330</v>
      </c>
      <c r="F188" s="73">
        <f>'F) Population'!K180</f>
        <v>6300</v>
      </c>
      <c r="G188" s="18">
        <f>'G) Solidarité'!I177</f>
        <v>21558.671913860289</v>
      </c>
      <c r="H188" s="25">
        <f t="shared" si="11"/>
        <v>27858.671913860289</v>
      </c>
      <c r="I188" s="98">
        <f t="shared" si="12"/>
        <v>-4528.6719138602894</v>
      </c>
    </row>
    <row r="189" spans="1:9" x14ac:dyDescent="0.25">
      <c r="A189" s="82">
        <f>'A) Base RI'!A180</f>
        <v>5686</v>
      </c>
      <c r="B189" s="62" t="str">
        <f>'A) Base RI'!B180</f>
        <v>Sarzens</v>
      </c>
      <c r="C189" s="25">
        <f>'D) Ecrêtage'!N178</f>
        <v>1531.7207894736844</v>
      </c>
      <c r="D189" s="18">
        <f>'A) Base RI'!AN180</f>
        <v>87</v>
      </c>
      <c r="E189" s="25">
        <f t="shared" si="10"/>
        <v>28422</v>
      </c>
      <c r="F189" s="73">
        <f>'F) Population'!K181</f>
        <v>8700</v>
      </c>
      <c r="G189" s="18">
        <f>'G) Solidarité'!I178</f>
        <v>52466.132942576944</v>
      </c>
      <c r="H189" s="25">
        <f t="shared" si="11"/>
        <v>61166.132942576944</v>
      </c>
      <c r="I189" s="98">
        <f t="shared" si="12"/>
        <v>-32744.132942576944</v>
      </c>
    </row>
    <row r="190" spans="1:9" x14ac:dyDescent="0.25">
      <c r="A190" s="82">
        <f>'A) Base RI'!A181</f>
        <v>5688</v>
      </c>
      <c r="B190" s="62" t="str">
        <f>'A) Base RI'!B181</f>
        <v>Syens</v>
      </c>
      <c r="C190" s="25">
        <f>'D) Ecrêtage'!N179</f>
        <v>4602.8089947089957</v>
      </c>
      <c r="D190" s="18">
        <f>'A) Base RI'!AN181</f>
        <v>126</v>
      </c>
      <c r="E190" s="25">
        <f t="shared" si="10"/>
        <v>85409</v>
      </c>
      <c r="F190" s="73">
        <f>'F) Population'!K182</f>
        <v>12600</v>
      </c>
      <c r="G190" s="18">
        <f>'G) Solidarité'!I179</f>
        <v>20982.79187644762</v>
      </c>
      <c r="H190" s="25">
        <f t="shared" si="11"/>
        <v>33582.79187644762</v>
      </c>
      <c r="I190" s="98">
        <f t="shared" si="12"/>
        <v>51826.20812355238</v>
      </c>
    </row>
    <row r="191" spans="1:9" x14ac:dyDescent="0.25">
      <c r="A191" s="82">
        <f>'A) Base RI'!A182</f>
        <v>5690</v>
      </c>
      <c r="B191" s="62" t="str">
        <f>'A) Base RI'!B182</f>
        <v>Villars-le-Comte</v>
      </c>
      <c r="C191" s="25">
        <f>'D) Ecrêtage'!N180</f>
        <v>3143.0732894736843</v>
      </c>
      <c r="D191" s="18">
        <f>'A) Base RI'!AN182</f>
        <v>153</v>
      </c>
      <c r="E191" s="25">
        <f t="shared" si="10"/>
        <v>58323</v>
      </c>
      <c r="F191" s="73">
        <f>'F) Population'!K183</f>
        <v>15300</v>
      </c>
      <c r="G191" s="18">
        <f>'G) Solidarité'!I180</f>
        <v>81944.574161325581</v>
      </c>
      <c r="H191" s="25">
        <f t="shared" si="11"/>
        <v>97244.574161325581</v>
      </c>
      <c r="I191" s="98">
        <f t="shared" si="12"/>
        <v>-38921.574161325581</v>
      </c>
    </row>
    <row r="192" spans="1:9" x14ac:dyDescent="0.25">
      <c r="A192" s="82">
        <f>'A) Base RI'!A183</f>
        <v>5692</v>
      </c>
      <c r="B192" s="62" t="str">
        <f>'A) Base RI'!B183</f>
        <v>Vucherens</v>
      </c>
      <c r="C192" s="25">
        <f>'D) Ecrêtage'!N181</f>
        <v>15992.362531645569</v>
      </c>
      <c r="D192" s="18">
        <f>'A) Base RI'!AN183</f>
        <v>532</v>
      </c>
      <c r="E192" s="25">
        <f t="shared" si="10"/>
        <v>296753</v>
      </c>
      <c r="F192" s="73">
        <f>'F) Population'!K184</f>
        <v>53200</v>
      </c>
      <c r="G192" s="18">
        <f>'G) Solidarité'!I181</f>
        <v>182176.92716146816</v>
      </c>
      <c r="H192" s="25">
        <f t="shared" si="11"/>
        <v>235376.92716146816</v>
      </c>
      <c r="I192" s="98">
        <f t="shared" si="12"/>
        <v>61376.072838531836</v>
      </c>
    </row>
    <row r="193" spans="1:9" x14ac:dyDescent="0.25">
      <c r="A193" s="82">
        <f>'A) Base RI'!A184</f>
        <v>5693</v>
      </c>
      <c r="B193" s="62" t="str">
        <f>'A) Base RI'!B184</f>
        <v>Montanaire</v>
      </c>
      <c r="C193" s="25">
        <f>'D) Ecrêtage'!N182</f>
        <v>59073.542638888895</v>
      </c>
      <c r="D193" s="18">
        <f>'A) Base RI'!AN184</f>
        <v>2436</v>
      </c>
      <c r="E193" s="25">
        <f>ROUND(C193*E$15,0)</f>
        <v>1096162</v>
      </c>
      <c r="F193" s="73">
        <f>'F) Population'!K185</f>
        <v>602600</v>
      </c>
      <c r="G193" s="18">
        <f>'G) Solidarité'!I182</f>
        <v>984755.63441397331</v>
      </c>
      <c r="H193" s="25">
        <f>F193+G193</f>
        <v>1587355.6344139734</v>
      </c>
      <c r="I193" s="98">
        <f>E193-H193</f>
        <v>-491193.63441397343</v>
      </c>
    </row>
    <row r="194" spans="1:9" x14ac:dyDescent="0.25">
      <c r="A194" s="82">
        <f>'A) Base RI'!A185</f>
        <v>5701</v>
      </c>
      <c r="B194" s="62" t="str">
        <f>'A) Base RI'!B185</f>
        <v>Arnex-sur-Nyon</v>
      </c>
      <c r="C194" s="25">
        <f>'D) Ecrêtage'!N183</f>
        <v>12877.220634577323</v>
      </c>
      <c r="D194" s="18">
        <f>'A) Base RI'!AN185</f>
        <v>190</v>
      </c>
      <c r="E194" s="25">
        <f>ROUND(C194*E$15,0)</f>
        <v>238948</v>
      </c>
      <c r="F194" s="73">
        <f>'F) Population'!K186</f>
        <v>19000</v>
      </c>
      <c r="G194" s="18">
        <f>'G) Solidarité'!I183</f>
        <v>0</v>
      </c>
      <c r="H194" s="25">
        <f>F194+G194</f>
        <v>19000</v>
      </c>
      <c r="I194" s="98">
        <f>E194-H194</f>
        <v>219948</v>
      </c>
    </row>
    <row r="195" spans="1:9" x14ac:dyDescent="0.25">
      <c r="A195" s="82">
        <f>'A) Base RI'!A186</f>
        <v>5702</v>
      </c>
      <c r="B195" s="62" t="str">
        <f>'A) Base RI'!B186</f>
        <v>Arzier-Le Muids</v>
      </c>
      <c r="C195" s="25">
        <f>'D) Ecrêtage'!N184</f>
        <v>123913.10833333334</v>
      </c>
      <c r="D195" s="18">
        <f>'A) Base RI'!AN186</f>
        <v>2442</v>
      </c>
      <c r="E195" s="25">
        <f t="shared" si="10"/>
        <v>2299318</v>
      </c>
      <c r="F195" s="73">
        <f>'F) Population'!K187</f>
        <v>604700</v>
      </c>
      <c r="G195" s="18">
        <f>'G) Solidarité'!I184</f>
        <v>0</v>
      </c>
      <c r="H195" s="25">
        <f t="shared" si="11"/>
        <v>604700</v>
      </c>
      <c r="I195" s="98">
        <f t="shared" si="12"/>
        <v>1694618</v>
      </c>
    </row>
    <row r="196" spans="1:9" x14ac:dyDescent="0.25">
      <c r="A196" s="82">
        <f>'A) Base RI'!A187</f>
        <v>5703</v>
      </c>
      <c r="B196" s="62" t="str">
        <f>'A) Base RI'!B187</f>
        <v>Bassins</v>
      </c>
      <c r="C196" s="25">
        <f>'D) Ecrêtage'!N185</f>
        <v>52680.758714285716</v>
      </c>
      <c r="D196" s="18">
        <f>'A) Base RI'!AN187</f>
        <v>1318</v>
      </c>
      <c r="E196" s="25">
        <f t="shared" si="10"/>
        <v>977538</v>
      </c>
      <c r="F196" s="73">
        <f>'F) Population'!K188</f>
        <v>211300</v>
      </c>
      <c r="G196" s="18">
        <f>'G) Solidarité'!I185</f>
        <v>99810.437630870176</v>
      </c>
      <c r="H196" s="25">
        <f t="shared" si="11"/>
        <v>311110.43763087015</v>
      </c>
      <c r="I196" s="98">
        <f t="shared" si="12"/>
        <v>666427.56236912985</v>
      </c>
    </row>
    <row r="197" spans="1:9" x14ac:dyDescent="0.25">
      <c r="A197" s="82">
        <f>'A) Base RI'!A188</f>
        <v>5704</v>
      </c>
      <c r="B197" s="62" t="str">
        <f>'A) Base RI'!B188</f>
        <v>Begnins</v>
      </c>
      <c r="C197" s="25">
        <f>'D) Ecrêtage'!N186</f>
        <v>96844.377238102184</v>
      </c>
      <c r="D197" s="18">
        <f>'A) Base RI'!AN188</f>
        <v>1698</v>
      </c>
      <c r="E197" s="25">
        <f t="shared" si="10"/>
        <v>1797034</v>
      </c>
      <c r="F197" s="73">
        <f>'F) Population'!K189</f>
        <v>344300</v>
      </c>
      <c r="G197" s="18">
        <f>'G) Solidarité'!I186</f>
        <v>0</v>
      </c>
      <c r="H197" s="25">
        <f t="shared" si="11"/>
        <v>344300</v>
      </c>
      <c r="I197" s="98">
        <f t="shared" si="12"/>
        <v>1452734</v>
      </c>
    </row>
    <row r="198" spans="1:9" x14ac:dyDescent="0.25">
      <c r="A198" s="82">
        <f>'A) Base RI'!A189</f>
        <v>5705</v>
      </c>
      <c r="B198" s="62" t="str">
        <f>'A) Base RI'!B189</f>
        <v>Bogis-Bossey</v>
      </c>
      <c r="C198" s="25">
        <f>'D) Ecrêtage'!N187</f>
        <v>43467.757968750004</v>
      </c>
      <c r="D198" s="18">
        <f>'A) Base RI'!AN189</f>
        <v>830</v>
      </c>
      <c r="E198" s="25">
        <f t="shared" si="10"/>
        <v>806583</v>
      </c>
      <c r="F198" s="73">
        <f>'F) Population'!K190</f>
        <v>83000</v>
      </c>
      <c r="G198" s="18">
        <f>'G) Solidarité'!I187</f>
        <v>0</v>
      </c>
      <c r="H198" s="25">
        <f t="shared" si="11"/>
        <v>83000</v>
      </c>
      <c r="I198" s="98">
        <f t="shared" si="12"/>
        <v>723583</v>
      </c>
    </row>
    <row r="199" spans="1:9" x14ac:dyDescent="0.25">
      <c r="A199" s="82">
        <f>'A) Base RI'!A190</f>
        <v>5706</v>
      </c>
      <c r="B199" s="62" t="str">
        <f>'A) Base RI'!B190</f>
        <v>Borex</v>
      </c>
      <c r="C199" s="25">
        <f>'D) Ecrêtage'!N188</f>
        <v>73959.517893209413</v>
      </c>
      <c r="D199" s="18">
        <f>'A) Base RI'!AN190</f>
        <v>919</v>
      </c>
      <c r="E199" s="25">
        <f t="shared" si="10"/>
        <v>1372385</v>
      </c>
      <c r="F199" s="73">
        <f>'F) Population'!K191</f>
        <v>91900</v>
      </c>
      <c r="G199" s="18">
        <f>'G) Solidarité'!I188</f>
        <v>0</v>
      </c>
      <c r="H199" s="25">
        <f t="shared" si="11"/>
        <v>91900</v>
      </c>
      <c r="I199" s="98">
        <f t="shared" si="12"/>
        <v>1280485</v>
      </c>
    </row>
    <row r="200" spans="1:9" x14ac:dyDescent="0.25">
      <c r="A200" s="82">
        <f>'A) Base RI'!A191</f>
        <v>5707</v>
      </c>
      <c r="B200" s="62" t="str">
        <f>'A) Base RI'!B191</f>
        <v>Chavannes-de-Bogis</v>
      </c>
      <c r="C200" s="25">
        <f>'D) Ecrêtage'!N189</f>
        <v>83046.071989492659</v>
      </c>
      <c r="D200" s="18">
        <f>'A) Base RI'!AN191</f>
        <v>1125</v>
      </c>
      <c r="E200" s="25">
        <f t="shared" si="10"/>
        <v>1540994</v>
      </c>
      <c r="F200" s="73">
        <f>'F) Population'!K192</f>
        <v>143750</v>
      </c>
      <c r="G200" s="18">
        <f>'G) Solidarité'!I189</f>
        <v>0</v>
      </c>
      <c r="H200" s="25">
        <f t="shared" si="11"/>
        <v>143750</v>
      </c>
      <c r="I200" s="98">
        <f t="shared" si="12"/>
        <v>1397244</v>
      </c>
    </row>
    <row r="201" spans="1:9" x14ac:dyDescent="0.25">
      <c r="A201" s="82">
        <f>'A) Base RI'!A192</f>
        <v>5708</v>
      </c>
      <c r="B201" s="62" t="str">
        <f>'A) Base RI'!B192</f>
        <v>Chavannes-des-Bois</v>
      </c>
      <c r="C201" s="25">
        <f>'D) Ecrêtage'!N190</f>
        <v>53850.357898268448</v>
      </c>
      <c r="D201" s="18">
        <f>'A) Base RI'!AN192</f>
        <v>797</v>
      </c>
      <c r="E201" s="25">
        <f t="shared" si="10"/>
        <v>999241</v>
      </c>
      <c r="F201" s="73">
        <f>'F) Population'!K193</f>
        <v>79700</v>
      </c>
      <c r="G201" s="18">
        <f>'G) Solidarité'!I190</f>
        <v>0</v>
      </c>
      <c r="H201" s="25">
        <f t="shared" si="11"/>
        <v>79700</v>
      </c>
      <c r="I201" s="98">
        <f t="shared" si="12"/>
        <v>919541</v>
      </c>
    </row>
    <row r="202" spans="1:9" x14ac:dyDescent="0.25">
      <c r="A202" s="82">
        <f>'A) Base RI'!A193</f>
        <v>5709</v>
      </c>
      <c r="B202" s="62" t="str">
        <f>'A) Base RI'!B193</f>
        <v>Chéserex</v>
      </c>
      <c r="C202" s="25">
        <f>'D) Ecrêtage'!N191</f>
        <v>108302.70031303026</v>
      </c>
      <c r="D202" s="18">
        <f>'A) Base RI'!AN193</f>
        <v>1225</v>
      </c>
      <c r="E202" s="25">
        <f t="shared" si="10"/>
        <v>2009653</v>
      </c>
      <c r="F202" s="73">
        <f>'F) Population'!K194</f>
        <v>178750</v>
      </c>
      <c r="G202" s="18">
        <f>'G) Solidarité'!I191</f>
        <v>0</v>
      </c>
      <c r="H202" s="25">
        <f t="shared" si="11"/>
        <v>178750</v>
      </c>
      <c r="I202" s="98">
        <f t="shared" si="12"/>
        <v>1830903</v>
      </c>
    </row>
    <row r="203" spans="1:9" x14ac:dyDescent="0.25">
      <c r="A203" s="82">
        <f>'A) Base RI'!A194</f>
        <v>5710</v>
      </c>
      <c r="B203" s="62" t="str">
        <f>'A) Base RI'!B194</f>
        <v>Coinsins</v>
      </c>
      <c r="C203" s="25">
        <f>'D) Ecrêtage'!N192</f>
        <v>56105.937023684404</v>
      </c>
      <c r="D203" s="18">
        <f>'A) Base RI'!AN194</f>
        <v>427</v>
      </c>
      <c r="E203" s="25">
        <f t="shared" si="10"/>
        <v>1041096</v>
      </c>
      <c r="F203" s="73">
        <f>'F) Population'!K195</f>
        <v>42700</v>
      </c>
      <c r="G203" s="18">
        <f>'G) Solidarité'!I192</f>
        <v>0</v>
      </c>
      <c r="H203" s="25">
        <f t="shared" si="11"/>
        <v>42700</v>
      </c>
      <c r="I203" s="98">
        <f t="shared" si="12"/>
        <v>998396</v>
      </c>
    </row>
    <row r="204" spans="1:9" x14ac:dyDescent="0.25">
      <c r="A204" s="82">
        <f>'A) Base RI'!A195</f>
        <v>5711</v>
      </c>
      <c r="B204" s="62" t="str">
        <f>'A) Base RI'!B195</f>
        <v>Commugny</v>
      </c>
      <c r="C204" s="25">
        <f>'D) Ecrêtage'!N193</f>
        <v>194635.01689141191</v>
      </c>
      <c r="D204" s="18">
        <f>'A) Base RI'!AN195</f>
        <v>2524</v>
      </c>
      <c r="E204" s="25">
        <f t="shared" si="10"/>
        <v>3611626</v>
      </c>
      <c r="F204" s="73">
        <f>'F) Population'!K196</f>
        <v>633400</v>
      </c>
      <c r="G204" s="18">
        <f>'G) Solidarité'!I193</f>
        <v>0</v>
      </c>
      <c r="H204" s="25">
        <f t="shared" si="11"/>
        <v>633400</v>
      </c>
      <c r="I204" s="98">
        <f t="shared" si="12"/>
        <v>2978226</v>
      </c>
    </row>
    <row r="205" spans="1:9" x14ac:dyDescent="0.25">
      <c r="A205" s="82">
        <f>'A) Base RI'!A196</f>
        <v>5712</v>
      </c>
      <c r="B205" s="62" t="str">
        <f>'A) Base RI'!B196</f>
        <v>Coppet</v>
      </c>
      <c r="C205" s="25">
        <f>'D) Ecrêtage'!N194</f>
        <v>232817.25798164154</v>
      </c>
      <c r="D205" s="18">
        <f>'A) Base RI'!AN196</f>
        <v>2892</v>
      </c>
      <c r="E205" s="25">
        <f t="shared" si="10"/>
        <v>4320132</v>
      </c>
      <c r="F205" s="73">
        <f>'F) Population'!K197</f>
        <v>762200</v>
      </c>
      <c r="G205" s="18">
        <f>'G) Solidarité'!I194</f>
        <v>0</v>
      </c>
      <c r="H205" s="25">
        <f t="shared" si="11"/>
        <v>762200</v>
      </c>
      <c r="I205" s="98">
        <f t="shared" si="12"/>
        <v>3557932</v>
      </c>
    </row>
    <row r="206" spans="1:9" x14ac:dyDescent="0.25">
      <c r="A206" s="82">
        <f>'A) Base RI'!A197</f>
        <v>5713</v>
      </c>
      <c r="B206" s="62" t="str">
        <f>'A) Base RI'!B197</f>
        <v>Crans-près-Céligny</v>
      </c>
      <c r="C206" s="25">
        <f>'D) Ecrêtage'!N195</f>
        <v>216191.68457830031</v>
      </c>
      <c r="D206" s="18">
        <f>'A) Base RI'!AN197</f>
        <v>2048</v>
      </c>
      <c r="E206" s="25">
        <f t="shared" si="10"/>
        <v>4011630</v>
      </c>
      <c r="F206" s="73">
        <f>'F) Population'!K198</f>
        <v>466800</v>
      </c>
      <c r="G206" s="18">
        <f>'G) Solidarité'!I195</f>
        <v>0</v>
      </c>
      <c r="H206" s="25">
        <f t="shared" si="11"/>
        <v>466800</v>
      </c>
      <c r="I206" s="98">
        <f t="shared" si="12"/>
        <v>3544830</v>
      </c>
    </row>
    <row r="207" spans="1:9" x14ac:dyDescent="0.25">
      <c r="A207" s="82">
        <f>'A) Base RI'!A198</f>
        <v>5714</v>
      </c>
      <c r="B207" s="62" t="str">
        <f>'A) Base RI'!B198</f>
        <v>Crassier</v>
      </c>
      <c r="C207" s="25">
        <f>'D) Ecrêtage'!N196</f>
        <v>63355.554014382178</v>
      </c>
      <c r="D207" s="18">
        <f>'A) Base RI'!AN198</f>
        <v>1114</v>
      </c>
      <c r="E207" s="25">
        <f t="shared" si="10"/>
        <v>1175619</v>
      </c>
      <c r="F207" s="73">
        <f>'F) Population'!K199</f>
        <v>139900</v>
      </c>
      <c r="G207" s="18">
        <f>'G) Solidarité'!I196</f>
        <v>0</v>
      </c>
      <c r="H207" s="25">
        <f t="shared" si="11"/>
        <v>139900</v>
      </c>
      <c r="I207" s="98">
        <f t="shared" si="12"/>
        <v>1035719</v>
      </c>
    </row>
    <row r="208" spans="1:9" x14ac:dyDescent="0.25">
      <c r="A208" s="82">
        <f>'A) Base RI'!A199</f>
        <v>5715</v>
      </c>
      <c r="B208" s="62" t="str">
        <f>'A) Base RI'!B199</f>
        <v>Duillier</v>
      </c>
      <c r="C208" s="25">
        <f>'D) Ecrêtage'!N197</f>
        <v>58830.820609299182</v>
      </c>
      <c r="D208" s="18">
        <f>'A) Base RI'!AN199</f>
        <v>1014</v>
      </c>
      <c r="E208" s="25">
        <f t="shared" si="10"/>
        <v>1091658</v>
      </c>
      <c r="F208" s="73">
        <f>'F) Population'!K200</f>
        <v>104900</v>
      </c>
      <c r="G208" s="18">
        <f>'G) Solidarité'!I197</f>
        <v>0</v>
      </c>
      <c r="H208" s="25">
        <f t="shared" si="11"/>
        <v>104900</v>
      </c>
      <c r="I208" s="98">
        <f t="shared" si="12"/>
        <v>986758</v>
      </c>
    </row>
    <row r="209" spans="1:9" x14ac:dyDescent="0.25">
      <c r="A209" s="82">
        <f>'A) Base RI'!A200</f>
        <v>5716</v>
      </c>
      <c r="B209" s="62" t="str">
        <f>'A) Base RI'!B200</f>
        <v>Eysins</v>
      </c>
      <c r="C209" s="25">
        <f>'D) Ecrêtage'!N198</f>
        <v>113150.03286801104</v>
      </c>
      <c r="D209" s="18">
        <f>'A) Base RI'!AN200</f>
        <v>1462</v>
      </c>
      <c r="E209" s="25">
        <f t="shared" si="10"/>
        <v>2099600</v>
      </c>
      <c r="F209" s="73">
        <f>'F) Population'!K201</f>
        <v>261700</v>
      </c>
      <c r="G209" s="18">
        <f>'G) Solidarité'!I198</f>
        <v>0</v>
      </c>
      <c r="H209" s="25">
        <f t="shared" si="11"/>
        <v>261700</v>
      </c>
      <c r="I209" s="98">
        <f t="shared" si="12"/>
        <v>1837900</v>
      </c>
    </row>
    <row r="210" spans="1:9" x14ac:dyDescent="0.25">
      <c r="A210" s="82">
        <f>'A) Base RI'!A201</f>
        <v>5717</v>
      </c>
      <c r="B210" s="62" t="str">
        <f>'A) Base RI'!B201</f>
        <v>Founex</v>
      </c>
      <c r="C210" s="25">
        <f>'D) Ecrêtage'!N199</f>
        <v>263834.45529888675</v>
      </c>
      <c r="D210" s="18">
        <f>'A) Base RI'!AN201</f>
        <v>3276</v>
      </c>
      <c r="E210" s="25">
        <f t="shared" si="10"/>
        <v>4895684</v>
      </c>
      <c r="F210" s="73">
        <f>'F) Population'!K202</f>
        <v>938000</v>
      </c>
      <c r="G210" s="18">
        <f>'G) Solidarité'!I199</f>
        <v>0</v>
      </c>
      <c r="H210" s="25">
        <f t="shared" si="11"/>
        <v>938000</v>
      </c>
      <c r="I210" s="98">
        <f t="shared" si="12"/>
        <v>3957684</v>
      </c>
    </row>
    <row r="211" spans="1:9" x14ac:dyDescent="0.25">
      <c r="A211" s="82">
        <f>'A) Base RI'!A202</f>
        <v>5718</v>
      </c>
      <c r="B211" s="62" t="str">
        <f>'A) Base RI'!B202</f>
        <v>Genolier</v>
      </c>
      <c r="C211" s="25">
        <f>'D) Ecrêtage'!N200</f>
        <v>146074.76258704002</v>
      </c>
      <c r="D211" s="18">
        <f>'A) Base RI'!AN202</f>
        <v>1875</v>
      </c>
      <c r="E211" s="25">
        <f t="shared" si="10"/>
        <v>2710548</v>
      </c>
      <c r="F211" s="73">
        <f>'F) Population'!K203</f>
        <v>406250</v>
      </c>
      <c r="G211" s="18">
        <f>'G) Solidarité'!I200</f>
        <v>0</v>
      </c>
      <c r="H211" s="25">
        <f t="shared" si="11"/>
        <v>406250</v>
      </c>
      <c r="I211" s="98">
        <f t="shared" si="12"/>
        <v>2304298</v>
      </c>
    </row>
    <row r="212" spans="1:9" x14ac:dyDescent="0.25">
      <c r="A212" s="82">
        <f>'A) Base RI'!A203</f>
        <v>5719</v>
      </c>
      <c r="B212" s="62" t="str">
        <f>'A) Base RI'!B203</f>
        <v>Gingins</v>
      </c>
      <c r="C212" s="25">
        <f>'D) Ecrêtage'!N201</f>
        <v>84481.2208721801</v>
      </c>
      <c r="D212" s="18">
        <f>'A) Base RI'!AN203</f>
        <v>1217</v>
      </c>
      <c r="E212" s="25">
        <f t="shared" si="10"/>
        <v>1567624</v>
      </c>
      <c r="F212" s="73">
        <f>'F) Population'!K204</f>
        <v>175950</v>
      </c>
      <c r="G212" s="18">
        <f>'G) Solidarité'!I201</f>
        <v>0</v>
      </c>
      <c r="H212" s="25">
        <f t="shared" si="11"/>
        <v>175950</v>
      </c>
      <c r="I212" s="98">
        <f t="shared" si="12"/>
        <v>1391674</v>
      </c>
    </row>
    <row r="213" spans="1:9" x14ac:dyDescent="0.25">
      <c r="A213" s="82">
        <f>'A) Base RI'!A204</f>
        <v>5720</v>
      </c>
      <c r="B213" s="62" t="str">
        <f>'A) Base RI'!B204</f>
        <v>Givrins</v>
      </c>
      <c r="C213" s="25">
        <f>'D) Ecrêtage'!N202</f>
        <v>65818.893879817115</v>
      </c>
      <c r="D213" s="18">
        <f>'A) Base RI'!AN204</f>
        <v>948</v>
      </c>
      <c r="E213" s="25">
        <f t="shared" si="10"/>
        <v>1221328</v>
      </c>
      <c r="F213" s="73">
        <f>'F) Population'!K205</f>
        <v>94800</v>
      </c>
      <c r="G213" s="18">
        <f>'G) Solidarité'!I202</f>
        <v>0</v>
      </c>
      <c r="H213" s="25">
        <f t="shared" si="11"/>
        <v>94800</v>
      </c>
      <c r="I213" s="98">
        <f t="shared" si="12"/>
        <v>1126528</v>
      </c>
    </row>
    <row r="214" spans="1:9" x14ac:dyDescent="0.25">
      <c r="A214" s="82">
        <f>'A) Base RI'!A205</f>
        <v>5721</v>
      </c>
      <c r="B214" s="62" t="str">
        <f>'A) Base RI'!B205</f>
        <v>Gland</v>
      </c>
      <c r="C214" s="25">
        <f>'D) Ecrêtage'!N203</f>
        <v>545180.59375999996</v>
      </c>
      <c r="D214" s="18">
        <f>'A) Base RI'!AN205</f>
        <v>12482</v>
      </c>
      <c r="E214" s="25">
        <f t="shared" si="10"/>
        <v>10116312</v>
      </c>
      <c r="F214" s="73">
        <f>'F) Population'!K206</f>
        <v>7232000</v>
      </c>
      <c r="G214" s="18">
        <f>'G) Solidarité'!I203</f>
        <v>34614.639750844843</v>
      </c>
      <c r="H214" s="25">
        <f t="shared" si="11"/>
        <v>7266614.6397508448</v>
      </c>
      <c r="I214" s="98">
        <f t="shared" si="12"/>
        <v>2849697.3602491552</v>
      </c>
    </row>
    <row r="215" spans="1:9" x14ac:dyDescent="0.25">
      <c r="A215" s="82">
        <f>'A) Base RI'!A206</f>
        <v>5722</v>
      </c>
      <c r="B215" s="62" t="str">
        <f>'A) Base RI'!B206</f>
        <v>Grens</v>
      </c>
      <c r="C215" s="25">
        <f>'D) Ecrêtage'!N204</f>
        <v>17973.033684210524</v>
      </c>
      <c r="D215" s="18">
        <f>'A) Base RI'!AN206</f>
        <v>366</v>
      </c>
      <c r="E215" s="25">
        <f t="shared" si="10"/>
        <v>333506</v>
      </c>
      <c r="F215" s="73">
        <f>'F) Population'!K207</f>
        <v>36600</v>
      </c>
      <c r="G215" s="18">
        <f>'G) Solidarité'!I204</f>
        <v>0</v>
      </c>
      <c r="H215" s="25">
        <f t="shared" si="11"/>
        <v>36600</v>
      </c>
      <c r="I215" s="98">
        <f t="shared" si="12"/>
        <v>296906</v>
      </c>
    </row>
    <row r="216" spans="1:9" x14ac:dyDescent="0.25">
      <c r="A216" s="82">
        <f>'A) Base RI'!A207</f>
        <v>5723</v>
      </c>
      <c r="B216" s="62" t="str">
        <f>'A) Base RI'!B207</f>
        <v>Mies</v>
      </c>
      <c r="C216" s="25">
        <f>'D) Ecrêtage'!N205</f>
        <v>149527.37004038764</v>
      </c>
      <c r="D216" s="18">
        <f>'A) Base RI'!AN207</f>
        <v>1775</v>
      </c>
      <c r="E216" s="25">
        <f>ROUND(C216*E$15,0)</f>
        <v>2774614</v>
      </c>
      <c r="F216" s="73">
        <f>'F) Population'!K208</f>
        <v>371250</v>
      </c>
      <c r="G216" s="18">
        <f>'G) Solidarité'!I205</f>
        <v>0</v>
      </c>
      <c r="H216" s="25">
        <f t="shared" si="11"/>
        <v>371250</v>
      </c>
      <c r="I216" s="98">
        <f>E216-H216</f>
        <v>2403364</v>
      </c>
    </row>
    <row r="217" spans="1:9" x14ac:dyDescent="0.25">
      <c r="A217" s="82">
        <f>'A) Base RI'!A208</f>
        <v>5724</v>
      </c>
      <c r="B217" s="62" t="str">
        <f>'A) Base RI'!B208</f>
        <v>Nyon</v>
      </c>
      <c r="C217" s="25">
        <f>'D) Ecrêtage'!N206</f>
        <v>1208176.5686258627</v>
      </c>
      <c r="D217" s="18">
        <f>'A) Base RI'!AN208</f>
        <v>19632</v>
      </c>
      <c r="E217" s="25">
        <f t="shared" si="10"/>
        <v>22418794</v>
      </c>
      <c r="F217" s="73">
        <f>'F) Population'!K209</f>
        <v>14613600</v>
      </c>
      <c r="G217" s="18">
        <f>'G) Solidarité'!I206</f>
        <v>0</v>
      </c>
      <c r="H217" s="25">
        <f t="shared" si="11"/>
        <v>14613600</v>
      </c>
      <c r="I217" s="98">
        <f t="shared" si="12"/>
        <v>7805194</v>
      </c>
    </row>
    <row r="218" spans="1:9" x14ac:dyDescent="0.25">
      <c r="A218" s="82">
        <f>'A) Base RI'!A209</f>
        <v>5725</v>
      </c>
      <c r="B218" s="62" t="str">
        <f>'A) Base RI'!B209</f>
        <v>Prangins</v>
      </c>
      <c r="C218" s="25">
        <f>'D) Ecrêtage'!N207</f>
        <v>283931.1838937492</v>
      </c>
      <c r="D218" s="18">
        <f>'A) Base RI'!AN209</f>
        <v>3930</v>
      </c>
      <c r="E218" s="25">
        <f t="shared" si="10"/>
        <v>5268596</v>
      </c>
      <c r="F218" s="73">
        <f>'F) Population'!K210</f>
        <v>1265000</v>
      </c>
      <c r="G218" s="18">
        <f>'G) Solidarité'!I207</f>
        <v>0</v>
      </c>
      <c r="H218" s="25">
        <f t="shared" si="11"/>
        <v>1265000</v>
      </c>
      <c r="I218" s="98">
        <f t="shared" si="12"/>
        <v>4003596</v>
      </c>
    </row>
    <row r="219" spans="1:9" x14ac:dyDescent="0.25">
      <c r="A219" s="82">
        <f>'A) Base RI'!A210</f>
        <v>5726</v>
      </c>
      <c r="B219" s="62" t="str">
        <f>'A) Base RI'!B210</f>
        <v>La Rippe</v>
      </c>
      <c r="C219" s="25">
        <f>'D) Ecrêtage'!N208</f>
        <v>52407.476615384607</v>
      </c>
      <c r="D219" s="18">
        <f>'A) Base RI'!AN210</f>
        <v>1057</v>
      </c>
      <c r="E219" s="25">
        <f t="shared" si="10"/>
        <v>972467</v>
      </c>
      <c r="F219" s="73">
        <f>'F) Population'!K211</f>
        <v>119950</v>
      </c>
      <c r="G219" s="18">
        <f>'G) Solidarité'!I208</f>
        <v>0</v>
      </c>
      <c r="H219" s="25">
        <f t="shared" si="11"/>
        <v>119950</v>
      </c>
      <c r="I219" s="98">
        <f t="shared" si="12"/>
        <v>852517</v>
      </c>
    </row>
    <row r="220" spans="1:9" x14ac:dyDescent="0.25">
      <c r="A220" s="82">
        <f>'A) Base RI'!A211</f>
        <v>5727</v>
      </c>
      <c r="B220" s="62" t="str">
        <f>'A) Base RI'!B211</f>
        <v>Saint-Cergue</v>
      </c>
      <c r="C220" s="25">
        <f>'D) Ecrêtage'!N209</f>
        <v>86282.692626262622</v>
      </c>
      <c r="D220" s="18">
        <f>'A) Base RI'!AN211</f>
        <v>2340</v>
      </c>
      <c r="E220" s="25">
        <f t="shared" si="10"/>
        <v>1601052</v>
      </c>
      <c r="F220" s="73">
        <f>'F) Population'!K212</f>
        <v>569000</v>
      </c>
      <c r="G220" s="18">
        <f>'G) Solidarité'!I209</f>
        <v>283103.03746308381</v>
      </c>
      <c r="H220" s="25">
        <f t="shared" si="11"/>
        <v>852103.03746308386</v>
      </c>
      <c r="I220" s="98">
        <f t="shared" si="12"/>
        <v>748948.96253691614</v>
      </c>
    </row>
    <row r="221" spans="1:9" x14ac:dyDescent="0.25">
      <c r="A221" s="82">
        <f>'A) Base RI'!A212</f>
        <v>5728</v>
      </c>
      <c r="B221" s="62" t="str">
        <f>'A) Base RI'!B212</f>
        <v>Signy-Avenex</v>
      </c>
      <c r="C221" s="25">
        <f>'D) Ecrêtage'!N210</f>
        <v>33340.745546475831</v>
      </c>
      <c r="D221" s="18">
        <f>'A) Base RI'!AN212</f>
        <v>457</v>
      </c>
      <c r="E221" s="25">
        <f t="shared" si="10"/>
        <v>618667</v>
      </c>
      <c r="F221" s="73">
        <f>'F) Population'!K213</f>
        <v>45700</v>
      </c>
      <c r="G221" s="18">
        <f>'G) Solidarité'!I210</f>
        <v>0</v>
      </c>
      <c r="H221" s="25">
        <f t="shared" si="11"/>
        <v>45700</v>
      </c>
      <c r="I221" s="98">
        <f t="shared" si="12"/>
        <v>572967</v>
      </c>
    </row>
    <row r="222" spans="1:9" x14ac:dyDescent="0.25">
      <c r="A222" s="82">
        <f>'A) Base RI'!A213</f>
        <v>5729</v>
      </c>
      <c r="B222" s="62" t="str">
        <f>'A) Base RI'!B213</f>
        <v>Tannay</v>
      </c>
      <c r="C222" s="25">
        <f>'D) Ecrêtage'!N211</f>
        <v>121313.50849358818</v>
      </c>
      <c r="D222" s="18">
        <f>'A) Base RI'!AN213</f>
        <v>1511</v>
      </c>
      <c r="E222" s="25">
        <f t="shared" si="10"/>
        <v>2251080</v>
      </c>
      <c r="F222" s="73">
        <f>'F) Population'!K214</f>
        <v>278850</v>
      </c>
      <c r="G222" s="18">
        <f>'G) Solidarité'!I211</f>
        <v>0</v>
      </c>
      <c r="H222" s="25">
        <f t="shared" si="11"/>
        <v>278850</v>
      </c>
      <c r="I222" s="98">
        <f t="shared" si="12"/>
        <v>1972230</v>
      </c>
    </row>
    <row r="223" spans="1:9" x14ac:dyDescent="0.25">
      <c r="A223" s="82">
        <f>'A) Base RI'!A214</f>
        <v>5730</v>
      </c>
      <c r="B223" s="62" t="str">
        <f>'A) Base RI'!B214</f>
        <v>Trélex</v>
      </c>
      <c r="C223" s="25">
        <f>'D) Ecrêtage'!N212</f>
        <v>112983.75749674175</v>
      </c>
      <c r="D223" s="18">
        <f>'A) Base RI'!AN214</f>
        <v>1397</v>
      </c>
      <c r="E223" s="25">
        <f t="shared" si="10"/>
        <v>2096514</v>
      </c>
      <c r="F223" s="73">
        <f>'F) Population'!K215</f>
        <v>238950</v>
      </c>
      <c r="G223" s="18">
        <f>'G) Solidarité'!I212</f>
        <v>0</v>
      </c>
      <c r="H223" s="25">
        <f t="shared" si="11"/>
        <v>238950</v>
      </c>
      <c r="I223" s="98">
        <f t="shared" si="12"/>
        <v>1857564</v>
      </c>
    </row>
    <row r="224" spans="1:9" x14ac:dyDescent="0.25">
      <c r="A224" s="82">
        <f>'A) Base RI'!A215</f>
        <v>5731</v>
      </c>
      <c r="B224" s="62" t="str">
        <f>'A) Base RI'!B215</f>
        <v>Le Vaud</v>
      </c>
      <c r="C224" s="25">
        <f>'D) Ecrêtage'!N213</f>
        <v>44154.497155555553</v>
      </c>
      <c r="D224" s="18">
        <f>'A) Base RI'!AN215</f>
        <v>1238</v>
      </c>
      <c r="E224" s="25">
        <f t="shared" si="10"/>
        <v>819326</v>
      </c>
      <c r="F224" s="73">
        <f>'F) Population'!K216</f>
        <v>183300</v>
      </c>
      <c r="G224" s="18">
        <f>'G) Solidarité'!I213</f>
        <v>226842.51742675775</v>
      </c>
      <c r="H224" s="25">
        <f t="shared" si="11"/>
        <v>410142.51742675772</v>
      </c>
      <c r="I224" s="98">
        <f t="shared" si="12"/>
        <v>409183.48257324228</v>
      </c>
    </row>
    <row r="225" spans="1:9" x14ac:dyDescent="0.25">
      <c r="A225" s="82">
        <f>'A) Base RI'!A216</f>
        <v>5732</v>
      </c>
      <c r="B225" s="62" t="str">
        <f>'A) Base RI'!B216</f>
        <v>Vich</v>
      </c>
      <c r="C225" s="25">
        <f>'D) Ecrêtage'!N214</f>
        <v>40390.161857142848</v>
      </c>
      <c r="D225" s="18">
        <f>'A) Base RI'!AN216</f>
        <v>763</v>
      </c>
      <c r="E225" s="25">
        <f t="shared" si="10"/>
        <v>749475</v>
      </c>
      <c r="F225" s="73">
        <f>'F) Population'!K217</f>
        <v>76300</v>
      </c>
      <c r="G225" s="18">
        <f>'G) Solidarité'!I214</f>
        <v>0</v>
      </c>
      <c r="H225" s="25">
        <f t="shared" si="11"/>
        <v>76300</v>
      </c>
      <c r="I225" s="98">
        <f t="shared" si="12"/>
        <v>673175</v>
      </c>
    </row>
    <row r="226" spans="1:9" x14ac:dyDescent="0.25">
      <c r="A226" s="82">
        <f>'A) Base RI'!A217</f>
        <v>5741</v>
      </c>
      <c r="B226" s="62" t="str">
        <f>'A) Base RI'!B217</f>
        <v>L'Abergement</v>
      </c>
      <c r="C226" s="25">
        <f>'D) Ecrêtage'!N215</f>
        <v>5658.7408436213982</v>
      </c>
      <c r="D226" s="18">
        <f>'A) Base RI'!AN217</f>
        <v>250</v>
      </c>
      <c r="E226" s="25">
        <f t="shared" si="10"/>
        <v>105003</v>
      </c>
      <c r="F226" s="73">
        <f>'F) Population'!K218</f>
        <v>25000</v>
      </c>
      <c r="G226" s="18">
        <f>'G) Solidarité'!I215</f>
        <v>138445.56870260261</v>
      </c>
      <c r="H226" s="25">
        <f t="shared" si="11"/>
        <v>163445.56870260261</v>
      </c>
      <c r="I226" s="98">
        <f t="shared" si="12"/>
        <v>-58442.568702602613</v>
      </c>
    </row>
    <row r="227" spans="1:9" x14ac:dyDescent="0.25">
      <c r="A227" s="82">
        <f>'A) Base RI'!A218</f>
        <v>5742</v>
      </c>
      <c r="B227" s="62" t="str">
        <f>'A) Base RI'!B218</f>
        <v>Agiez</v>
      </c>
      <c r="C227" s="25">
        <f>'D) Ecrêtage'!N216</f>
        <v>8497.199342105263</v>
      </c>
      <c r="D227" s="18">
        <f>'A) Base RI'!AN218</f>
        <v>297</v>
      </c>
      <c r="E227" s="25">
        <f t="shared" si="10"/>
        <v>157673</v>
      </c>
      <c r="F227" s="73">
        <f>'F) Population'!K219</f>
        <v>29700</v>
      </c>
      <c r="G227" s="18">
        <f>'G) Solidarité'!I216</f>
        <v>104025.0178857384</v>
      </c>
      <c r="H227" s="25">
        <f t="shared" si="11"/>
        <v>133725.0178857384</v>
      </c>
      <c r="I227" s="98">
        <f t="shared" si="12"/>
        <v>23947.982114261598</v>
      </c>
    </row>
    <row r="228" spans="1:9" x14ac:dyDescent="0.25">
      <c r="A228" s="82">
        <f>'A) Base RI'!A219</f>
        <v>5743</v>
      </c>
      <c r="B228" s="62" t="str">
        <f>'A) Base RI'!B219</f>
        <v>Arnex-sur-Orbe</v>
      </c>
      <c r="C228" s="25">
        <f>'D) Ecrêtage'!N217</f>
        <v>14235.259246575342</v>
      </c>
      <c r="D228" s="18">
        <f>'A) Base RI'!AN219</f>
        <v>615</v>
      </c>
      <c r="E228" s="25">
        <f t="shared" si="10"/>
        <v>264148</v>
      </c>
      <c r="F228" s="73">
        <f>'F) Population'!K220</f>
        <v>61500</v>
      </c>
      <c r="G228" s="18">
        <f>'G) Solidarité'!I217</f>
        <v>269952.44613459695</v>
      </c>
      <c r="H228" s="25">
        <f t="shared" si="11"/>
        <v>331452.44613459695</v>
      </c>
      <c r="I228" s="98">
        <f t="shared" si="12"/>
        <v>-67304.446134596947</v>
      </c>
    </row>
    <row r="229" spans="1:9" x14ac:dyDescent="0.25">
      <c r="A229" s="82">
        <f>'A) Base RI'!A220</f>
        <v>5744</v>
      </c>
      <c r="B229" s="62" t="str">
        <f>'A) Base RI'!B220</f>
        <v>Ballaigues</v>
      </c>
      <c r="C229" s="25">
        <f>'D) Ecrêtage'!N218</f>
        <v>81224.419263744261</v>
      </c>
      <c r="D229" s="18">
        <f>'A) Base RI'!AN220</f>
        <v>1037</v>
      </c>
      <c r="E229" s="25">
        <f t="shared" si="10"/>
        <v>1507192</v>
      </c>
      <c r="F229" s="73">
        <f>'F) Population'!K221</f>
        <v>112950</v>
      </c>
      <c r="G229" s="18">
        <f>'G) Solidarité'!I218</f>
        <v>0</v>
      </c>
      <c r="H229" s="25">
        <f t="shared" si="11"/>
        <v>112950</v>
      </c>
      <c r="I229" s="98">
        <f t="shared" si="12"/>
        <v>1394242</v>
      </c>
    </row>
    <row r="230" spans="1:9" x14ac:dyDescent="0.25">
      <c r="A230" s="82">
        <f>'A) Base RI'!A221</f>
        <v>5745</v>
      </c>
      <c r="B230" s="62" t="str">
        <f>'A) Base RI'!B221</f>
        <v>Baulmes</v>
      </c>
      <c r="C230" s="25">
        <f>'D) Ecrêtage'!N219</f>
        <v>27286.676794871797</v>
      </c>
      <c r="D230" s="18">
        <f>'A) Base RI'!AN221</f>
        <v>1019</v>
      </c>
      <c r="E230" s="25">
        <f t="shared" si="10"/>
        <v>506329</v>
      </c>
      <c r="F230" s="73">
        <f>'F) Population'!K222</f>
        <v>106650</v>
      </c>
      <c r="G230" s="18">
        <f>'G) Solidarité'!I219</f>
        <v>421118.77488435799</v>
      </c>
      <c r="H230" s="25">
        <f t="shared" si="11"/>
        <v>527768.77488435805</v>
      </c>
      <c r="I230" s="98">
        <f t="shared" si="12"/>
        <v>-21439.774884358048</v>
      </c>
    </row>
    <row r="231" spans="1:9" x14ac:dyDescent="0.25">
      <c r="A231" s="82">
        <f>'A) Base RI'!A222</f>
        <v>5746</v>
      </c>
      <c r="B231" s="62" t="str">
        <f>'A) Base RI'!B222</f>
        <v>Bavois</v>
      </c>
      <c r="C231" s="25">
        <f>'D) Ecrêtage'!N220</f>
        <v>24960.640433789951</v>
      </c>
      <c r="D231" s="18">
        <f>'A) Base RI'!AN222</f>
        <v>919</v>
      </c>
      <c r="E231" s="25">
        <f t="shared" si="10"/>
        <v>463167</v>
      </c>
      <c r="F231" s="73">
        <f>'F) Population'!K223</f>
        <v>91900</v>
      </c>
      <c r="G231" s="18">
        <f>'G) Solidarité'!I220</f>
        <v>325205.70370228135</v>
      </c>
      <c r="H231" s="25">
        <f t="shared" si="11"/>
        <v>417105.70370228135</v>
      </c>
      <c r="I231" s="98">
        <f t="shared" si="12"/>
        <v>46061.296297718654</v>
      </c>
    </row>
    <row r="232" spans="1:9" x14ac:dyDescent="0.25">
      <c r="A232" s="82">
        <f>'A) Base RI'!A223</f>
        <v>5747</v>
      </c>
      <c r="B232" s="62" t="str">
        <f>'A) Base RI'!B223</f>
        <v>Bofflens</v>
      </c>
      <c r="C232" s="25">
        <f>'D) Ecrêtage'!N221</f>
        <v>5444.2446376811595</v>
      </c>
      <c r="D232" s="18">
        <f>'A) Base RI'!AN223</f>
        <v>189</v>
      </c>
      <c r="E232" s="25">
        <f t="shared" si="10"/>
        <v>101023</v>
      </c>
      <c r="F232" s="73">
        <f>'F) Population'!K224</f>
        <v>18900</v>
      </c>
      <c r="G232" s="18">
        <f>'G) Solidarité'!I221</f>
        <v>53865.554011601242</v>
      </c>
      <c r="H232" s="25">
        <f t="shared" si="11"/>
        <v>72765.554011601242</v>
      </c>
      <c r="I232" s="98">
        <f t="shared" si="12"/>
        <v>28257.445988398758</v>
      </c>
    </row>
    <row r="233" spans="1:9" x14ac:dyDescent="0.25">
      <c r="A233" s="82">
        <f>'A) Base RI'!A224</f>
        <v>5748</v>
      </c>
      <c r="B233" s="62" t="str">
        <f>'A) Base RI'!B224</f>
        <v>Bretonnières</v>
      </c>
      <c r="C233" s="25">
        <f>'D) Ecrêtage'!N222</f>
        <v>4853.6245714285715</v>
      </c>
      <c r="D233" s="18">
        <f>'A) Base RI'!AN224</f>
        <v>236</v>
      </c>
      <c r="E233" s="25">
        <f t="shared" si="10"/>
        <v>90063</v>
      </c>
      <c r="F233" s="73">
        <f>'F) Population'!K225</f>
        <v>23600</v>
      </c>
      <c r="G233" s="18">
        <f>'G) Solidarité'!I222</f>
        <v>107121.45400351647</v>
      </c>
      <c r="H233" s="25">
        <f t="shared" si="11"/>
        <v>130721.45400351647</v>
      </c>
      <c r="I233" s="98">
        <f t="shared" si="12"/>
        <v>-40658.454003516468</v>
      </c>
    </row>
    <row r="234" spans="1:9" x14ac:dyDescent="0.25">
      <c r="A234" s="82">
        <f>'A) Base RI'!A225</f>
        <v>5749</v>
      </c>
      <c r="B234" s="62" t="str">
        <f>'A) Base RI'!B225</f>
        <v>Chavornay</v>
      </c>
      <c r="C234" s="25">
        <f>'D) Ecrêtage'!N223</f>
        <v>122489.22791666667</v>
      </c>
      <c r="D234" s="18">
        <f>'A) Base RI'!AN225</f>
        <v>4050</v>
      </c>
      <c r="E234" s="25">
        <f t="shared" si="10"/>
        <v>2272897</v>
      </c>
      <c r="F234" s="73">
        <f>'F) Population'!K226</f>
        <v>1325000</v>
      </c>
      <c r="G234" s="18">
        <f>'G) Solidarité'!I223</f>
        <v>1136669.8625424565</v>
      </c>
      <c r="H234" s="25">
        <f t="shared" si="11"/>
        <v>2461669.8625424565</v>
      </c>
      <c r="I234" s="98">
        <f t="shared" si="12"/>
        <v>-188772.86254245648</v>
      </c>
    </row>
    <row r="235" spans="1:9" x14ac:dyDescent="0.25">
      <c r="A235" s="82">
        <f>'A) Base RI'!A226</f>
        <v>5750</v>
      </c>
      <c r="B235" s="62" t="str">
        <f>'A) Base RI'!B226</f>
        <v>Les Clées</v>
      </c>
      <c r="C235" s="25">
        <f>'D) Ecrêtage'!N224</f>
        <v>4745.5921666666673</v>
      </c>
      <c r="D235" s="18">
        <f>'A) Base RI'!AN226</f>
        <v>176</v>
      </c>
      <c r="E235" s="25">
        <f t="shared" si="10"/>
        <v>88059</v>
      </c>
      <c r="F235" s="73">
        <f>'F) Population'!K227</f>
        <v>17600</v>
      </c>
      <c r="G235" s="18">
        <f>'G) Solidarité'!I224</f>
        <v>75680.804614513268</v>
      </c>
      <c r="H235" s="25">
        <f t="shared" si="11"/>
        <v>93280.804614513268</v>
      </c>
      <c r="I235" s="98">
        <f t="shared" si="12"/>
        <v>-5221.8046145132685</v>
      </c>
    </row>
    <row r="236" spans="1:9" x14ac:dyDescent="0.25">
      <c r="A236" s="82">
        <f>'A) Base RI'!A227</f>
        <v>5751</v>
      </c>
      <c r="B236" s="62" t="str">
        <f>'A) Base RI'!B227</f>
        <v>Corcelles-sur-Chavornay</v>
      </c>
      <c r="C236" s="25">
        <f>'D) Ecrêtage'!N225</f>
        <v>8378.5938157894743</v>
      </c>
      <c r="D236" s="18">
        <f>'A) Base RI'!AN227</f>
        <v>330</v>
      </c>
      <c r="E236" s="25">
        <f t="shared" si="10"/>
        <v>155472</v>
      </c>
      <c r="F236" s="73">
        <f>'F) Population'!K228</f>
        <v>33000</v>
      </c>
      <c r="G236" s="18">
        <f>'G) Solidarité'!I225</f>
        <v>139998.51402918101</v>
      </c>
      <c r="H236" s="25">
        <f t="shared" si="11"/>
        <v>172998.51402918101</v>
      </c>
      <c r="I236" s="98">
        <f t="shared" si="12"/>
        <v>-17526.514029181009</v>
      </c>
    </row>
    <row r="237" spans="1:9" x14ac:dyDescent="0.25">
      <c r="A237" s="82">
        <f>'A) Base RI'!A228</f>
        <v>5752</v>
      </c>
      <c r="B237" s="62" t="str">
        <f>'A) Base RI'!B228</f>
        <v>Croy</v>
      </c>
      <c r="C237" s="25">
        <f>'D) Ecrêtage'!N226</f>
        <v>8127.3322007722018</v>
      </c>
      <c r="D237" s="18">
        <f>'A) Base RI'!AN228</f>
        <v>321</v>
      </c>
      <c r="E237" s="25">
        <f t="shared" ref="E237:E283" si="13">ROUND(C237*E$15,0)</f>
        <v>150810</v>
      </c>
      <c r="F237" s="73">
        <f>'F) Population'!K229</f>
        <v>32100</v>
      </c>
      <c r="G237" s="18">
        <f>'G) Solidarité'!I226</f>
        <v>129602.89873663901</v>
      </c>
      <c r="H237" s="25">
        <f t="shared" ref="H237:H283" si="14">F237+G237</f>
        <v>161702.89873663901</v>
      </c>
      <c r="I237" s="98">
        <f t="shared" ref="I237:I283" si="15">E237-H237</f>
        <v>-10892.898736639007</v>
      </c>
    </row>
    <row r="238" spans="1:9" x14ac:dyDescent="0.25">
      <c r="A238" s="82">
        <f>'A) Base RI'!A229</f>
        <v>5754</v>
      </c>
      <c r="B238" s="62" t="str">
        <f>'A) Base RI'!B229</f>
        <v>Juriens</v>
      </c>
      <c r="C238" s="25">
        <f>'D) Ecrêtage'!N227</f>
        <v>6779.1981012658243</v>
      </c>
      <c r="D238" s="18">
        <f>'A) Base RI'!AN229</f>
        <v>307</v>
      </c>
      <c r="E238" s="25">
        <f t="shared" si="13"/>
        <v>125794</v>
      </c>
      <c r="F238" s="73">
        <f>'F) Population'!K230</f>
        <v>30700</v>
      </c>
      <c r="G238" s="18">
        <f>'G) Solidarité'!I227</f>
        <v>165932.5994662476</v>
      </c>
      <c r="H238" s="25">
        <f t="shared" si="14"/>
        <v>196632.5994662476</v>
      </c>
      <c r="I238" s="98">
        <f t="shared" si="15"/>
        <v>-70838.599466247601</v>
      </c>
    </row>
    <row r="239" spans="1:9" x14ac:dyDescent="0.25">
      <c r="A239" s="82">
        <f>'A) Base RI'!A230</f>
        <v>5755</v>
      </c>
      <c r="B239" s="62" t="str">
        <f>'A) Base RI'!B230</f>
        <v>Lignerolle</v>
      </c>
      <c r="C239" s="25">
        <f>'D) Ecrêtage'!N228</f>
        <v>8994.3248324514989</v>
      </c>
      <c r="D239" s="18">
        <f>'A) Base RI'!AN230</f>
        <v>391</v>
      </c>
      <c r="E239" s="25">
        <f t="shared" si="13"/>
        <v>166898</v>
      </c>
      <c r="F239" s="73">
        <f>'F) Population'!K231</f>
        <v>39100</v>
      </c>
      <c r="G239" s="18">
        <f>'G) Solidarité'!I228</f>
        <v>212769.61524187389</v>
      </c>
      <c r="H239" s="25">
        <f t="shared" si="14"/>
        <v>251869.61524187389</v>
      </c>
      <c r="I239" s="98">
        <f t="shared" si="15"/>
        <v>-84971.615241873893</v>
      </c>
    </row>
    <row r="240" spans="1:9" x14ac:dyDescent="0.25">
      <c r="A240" s="82">
        <f>'A) Base RI'!A231</f>
        <v>5756</v>
      </c>
      <c r="B240" s="62" t="str">
        <f>'A) Base RI'!B231</f>
        <v>Montcherand</v>
      </c>
      <c r="C240" s="25">
        <f>'D) Ecrêtage'!N229</f>
        <v>15693.326135265701</v>
      </c>
      <c r="D240" s="18">
        <f>'A) Base RI'!AN231</f>
        <v>471</v>
      </c>
      <c r="E240" s="25">
        <f t="shared" si="13"/>
        <v>291204</v>
      </c>
      <c r="F240" s="73">
        <f>'F) Population'!K232</f>
        <v>47100</v>
      </c>
      <c r="G240" s="18">
        <f>'G) Solidarité'!I229</f>
        <v>93978.440360869732</v>
      </c>
      <c r="H240" s="25">
        <f t="shared" si="14"/>
        <v>141078.44036086975</v>
      </c>
      <c r="I240" s="98">
        <f t="shared" si="15"/>
        <v>150125.55963913025</v>
      </c>
    </row>
    <row r="241" spans="1:9" x14ac:dyDescent="0.25">
      <c r="A241" s="82">
        <f>'A) Base RI'!A232</f>
        <v>5757</v>
      </c>
      <c r="B241" s="62" t="str">
        <f>'A) Base RI'!B232</f>
        <v>Orbe</v>
      </c>
      <c r="C241" s="25">
        <f>'D) Ecrêtage'!N230</f>
        <v>203617.2094202899</v>
      </c>
      <c r="D241" s="18">
        <f>'A) Base RI'!AN232</f>
        <v>6738</v>
      </c>
      <c r="E241" s="25">
        <f t="shared" si="13"/>
        <v>3778299</v>
      </c>
      <c r="F241" s="73">
        <f>'F) Population'!K233</f>
        <v>2842800</v>
      </c>
      <c r="G241" s="18">
        <f>'G) Solidarité'!I230</f>
        <v>1739967.0428069078</v>
      </c>
      <c r="H241" s="25">
        <f t="shared" si="14"/>
        <v>4582767.0428069076</v>
      </c>
      <c r="I241" s="98">
        <f t="shared" si="15"/>
        <v>-804468.04280690756</v>
      </c>
    </row>
    <row r="242" spans="1:9" x14ac:dyDescent="0.25">
      <c r="A242" s="82">
        <f>'A) Base RI'!A233</f>
        <v>5758</v>
      </c>
      <c r="B242" s="62" t="str">
        <f>'A) Base RI'!B233</f>
        <v>La Praz</v>
      </c>
      <c r="C242" s="25">
        <f>'D) Ecrêtage'!N231</f>
        <v>3854.1398125836677</v>
      </c>
      <c r="D242" s="18">
        <f>'A) Base RI'!AN233</f>
        <v>156</v>
      </c>
      <c r="E242" s="25">
        <f t="shared" si="13"/>
        <v>71517</v>
      </c>
      <c r="F242" s="73">
        <f>'F) Population'!K234</f>
        <v>15600</v>
      </c>
      <c r="G242" s="18">
        <f>'G) Solidarité'!I231</f>
        <v>81856.100512881836</v>
      </c>
      <c r="H242" s="25">
        <f t="shared" si="14"/>
        <v>97456.100512881836</v>
      </c>
      <c r="I242" s="98">
        <f t="shared" si="15"/>
        <v>-25939.100512881836</v>
      </c>
    </row>
    <row r="243" spans="1:9" x14ac:dyDescent="0.25">
      <c r="A243" s="82">
        <f>'A) Base RI'!A234</f>
        <v>5759</v>
      </c>
      <c r="B243" s="62" t="str">
        <f>'A) Base RI'!B234</f>
        <v>Premier</v>
      </c>
      <c r="C243" s="25">
        <f>'D) Ecrêtage'!N232</f>
        <v>3885.6082716049386</v>
      </c>
      <c r="D243" s="18">
        <f>'A) Base RI'!AN234</f>
        <v>182</v>
      </c>
      <c r="E243" s="25">
        <f t="shared" si="13"/>
        <v>72101</v>
      </c>
      <c r="F243" s="73">
        <f>'F) Population'!K235</f>
        <v>18200</v>
      </c>
      <c r="G243" s="18">
        <f>'G) Solidarité'!I232</f>
        <v>106893.69298844975</v>
      </c>
      <c r="H243" s="25">
        <f t="shared" si="14"/>
        <v>125093.69298844975</v>
      </c>
      <c r="I243" s="98">
        <f t="shared" si="15"/>
        <v>-52992.692988449751</v>
      </c>
    </row>
    <row r="244" spans="1:9" x14ac:dyDescent="0.25">
      <c r="A244" s="82">
        <f>'A) Base RI'!A235</f>
        <v>5760</v>
      </c>
      <c r="B244" s="62" t="str">
        <f>'A) Base RI'!B235</f>
        <v>Rances</v>
      </c>
      <c r="C244" s="25">
        <f>'D) Ecrêtage'!N233</f>
        <v>11324.841153846155</v>
      </c>
      <c r="D244" s="18">
        <f>'A) Base RI'!AN235</f>
        <v>436</v>
      </c>
      <c r="E244" s="25">
        <f t="shared" si="13"/>
        <v>210143</v>
      </c>
      <c r="F244" s="73">
        <f>'F) Population'!K236</f>
        <v>43600</v>
      </c>
      <c r="G244" s="18">
        <f>'G) Solidarité'!I233</f>
        <v>188661.67676838892</v>
      </c>
      <c r="H244" s="25">
        <f t="shared" si="14"/>
        <v>232261.67676838892</v>
      </c>
      <c r="I244" s="98">
        <f t="shared" si="15"/>
        <v>-22118.676768388919</v>
      </c>
    </row>
    <row r="245" spans="1:9" x14ac:dyDescent="0.25">
      <c r="A245" s="82">
        <f>'A) Base RI'!A236</f>
        <v>5761</v>
      </c>
      <c r="B245" s="62" t="str">
        <f>'A) Base RI'!B236</f>
        <v>Romainmôtier-Envy</v>
      </c>
      <c r="C245" s="25">
        <f>'D) Ecrêtage'!N234</f>
        <v>12066.350855263157</v>
      </c>
      <c r="D245" s="18">
        <f>'A) Base RI'!AN236</f>
        <v>527</v>
      </c>
      <c r="E245" s="25">
        <f t="shared" si="13"/>
        <v>223902</v>
      </c>
      <c r="F245" s="73">
        <f>'F) Population'!K237</f>
        <v>52700</v>
      </c>
      <c r="G245" s="18">
        <f>'G) Solidarité'!I234</f>
        <v>253761.19306640845</v>
      </c>
      <c r="H245" s="25">
        <f t="shared" si="14"/>
        <v>306461.19306640845</v>
      </c>
      <c r="I245" s="98">
        <f t="shared" si="15"/>
        <v>-82559.19306640845</v>
      </c>
    </row>
    <row r="246" spans="1:9" x14ac:dyDescent="0.25">
      <c r="A246" s="82">
        <f>'A) Base RI'!A237</f>
        <v>5762</v>
      </c>
      <c r="B246" s="62" t="str">
        <f>'A) Base RI'!B237</f>
        <v>Sergey</v>
      </c>
      <c r="C246" s="25">
        <f>'D) Ecrêtage'!N235</f>
        <v>4226.1104938271601</v>
      </c>
      <c r="D246" s="18">
        <f>'A) Base RI'!AN237</f>
        <v>145</v>
      </c>
      <c r="E246" s="25">
        <f t="shared" si="13"/>
        <v>78419</v>
      </c>
      <c r="F246" s="73">
        <f>'F) Population'!K238</f>
        <v>14500</v>
      </c>
      <c r="G246" s="18">
        <f>'G) Solidarité'!I235</f>
        <v>55662.629398208926</v>
      </c>
      <c r="H246" s="25">
        <f t="shared" si="14"/>
        <v>70162.629398208926</v>
      </c>
      <c r="I246" s="98">
        <f t="shared" si="15"/>
        <v>8256.3706017910736</v>
      </c>
    </row>
    <row r="247" spans="1:9" x14ac:dyDescent="0.25">
      <c r="A247" s="82">
        <f>'A) Base RI'!A238</f>
        <v>5763</v>
      </c>
      <c r="B247" s="62" t="str">
        <f>'A) Base RI'!B238</f>
        <v>Valeyres-sous-Rances</v>
      </c>
      <c r="C247" s="25">
        <f>'D) Ecrêtage'!N236</f>
        <v>15753.099264705883</v>
      </c>
      <c r="D247" s="18">
        <f>'A) Base RI'!AN238</f>
        <v>584</v>
      </c>
      <c r="E247" s="25">
        <f t="shared" si="13"/>
        <v>292313</v>
      </c>
      <c r="F247" s="73">
        <f>'F) Population'!K239</f>
        <v>58400</v>
      </c>
      <c r="G247" s="18">
        <f>'G) Solidarité'!I236</f>
        <v>181319.12745962045</v>
      </c>
      <c r="H247" s="25">
        <f t="shared" si="14"/>
        <v>239719.12745962045</v>
      </c>
      <c r="I247" s="98">
        <f t="shared" si="15"/>
        <v>52593.872540379554</v>
      </c>
    </row>
    <row r="248" spans="1:9" x14ac:dyDescent="0.25">
      <c r="A248" s="82">
        <f>'A) Base RI'!A239</f>
        <v>5764</v>
      </c>
      <c r="B248" s="62" t="str">
        <f>'A) Base RI'!B239</f>
        <v>Vallorbe</v>
      </c>
      <c r="C248" s="25">
        <f>'D) Ecrêtage'!N237</f>
        <v>79459.361216216217</v>
      </c>
      <c r="D248" s="18">
        <f>'A) Base RI'!AN239</f>
        <v>3569</v>
      </c>
      <c r="E248" s="25">
        <f t="shared" si="13"/>
        <v>1474439</v>
      </c>
      <c r="F248" s="73">
        <f>'F) Population'!K240</f>
        <v>1084500</v>
      </c>
      <c r="G248" s="18">
        <f>'G) Solidarité'!I237</f>
        <v>1678456.7458939627</v>
      </c>
      <c r="H248" s="25">
        <f t="shared" si="14"/>
        <v>2762956.7458939627</v>
      </c>
      <c r="I248" s="98">
        <f t="shared" si="15"/>
        <v>-1288517.7458939627</v>
      </c>
    </row>
    <row r="249" spans="1:9" x14ac:dyDescent="0.25">
      <c r="A249" s="82">
        <f>'A) Base RI'!A240</f>
        <v>5765</v>
      </c>
      <c r="B249" s="62" t="str">
        <f>'A) Base RI'!B240</f>
        <v>Vaulion</v>
      </c>
      <c r="C249" s="25">
        <f>'D) Ecrêtage'!N238</f>
        <v>10213.279999999997</v>
      </c>
      <c r="D249" s="18">
        <f>'A) Base RI'!AN240</f>
        <v>483</v>
      </c>
      <c r="E249" s="25">
        <f t="shared" si="13"/>
        <v>189517</v>
      </c>
      <c r="F249" s="73">
        <f>'F) Population'!K241</f>
        <v>48300</v>
      </c>
      <c r="G249" s="18">
        <f>'G) Solidarité'!I238</f>
        <v>286250.57694781758</v>
      </c>
      <c r="H249" s="25">
        <f t="shared" si="14"/>
        <v>334550.57694781758</v>
      </c>
      <c r="I249" s="98">
        <f t="shared" si="15"/>
        <v>-145033.57694781758</v>
      </c>
    </row>
    <row r="250" spans="1:9" x14ac:dyDescent="0.25">
      <c r="A250" s="82">
        <f>'A) Base RI'!A241</f>
        <v>5766</v>
      </c>
      <c r="B250" s="62" t="str">
        <f>'A) Base RI'!B241</f>
        <v>Vuiteboeuf</v>
      </c>
      <c r="C250" s="25">
        <f>'D) Ecrêtage'!N239</f>
        <v>13186.718497217067</v>
      </c>
      <c r="D250" s="18">
        <f>'A) Base RI'!AN241</f>
        <v>516</v>
      </c>
      <c r="E250" s="25">
        <f t="shared" si="13"/>
        <v>244691</v>
      </c>
      <c r="F250" s="73">
        <f>'F) Population'!K242</f>
        <v>51600</v>
      </c>
      <c r="G250" s="18">
        <f>'G) Solidarité'!I239</f>
        <v>222685.67073747033</v>
      </c>
      <c r="H250" s="25">
        <f t="shared" si="14"/>
        <v>274285.67073747033</v>
      </c>
      <c r="I250" s="98">
        <f t="shared" si="15"/>
        <v>-29594.670737470326</v>
      </c>
    </row>
    <row r="251" spans="1:9" x14ac:dyDescent="0.25">
      <c r="A251" s="82">
        <f>'A) Base RI'!A242</f>
        <v>5782</v>
      </c>
      <c r="B251" s="62" t="str">
        <f>'A) Base RI'!B242</f>
        <v>Carrouge</v>
      </c>
      <c r="C251" s="25">
        <f>'D) Ecrêtage'!N240</f>
        <v>30558.004133333339</v>
      </c>
      <c r="D251" s="18">
        <f>'A) Base RI'!AN242</f>
        <v>1103</v>
      </c>
      <c r="E251" s="25">
        <f t="shared" si="13"/>
        <v>567031</v>
      </c>
      <c r="F251" s="73">
        <f>'F) Population'!K243</f>
        <v>136050</v>
      </c>
      <c r="G251" s="18">
        <f>'G) Solidarité'!I240</f>
        <v>398578.3288800111</v>
      </c>
      <c r="H251" s="25">
        <f t="shared" si="14"/>
        <v>534628.3288800111</v>
      </c>
      <c r="I251" s="98">
        <f t="shared" si="15"/>
        <v>32402.671119988896</v>
      </c>
    </row>
    <row r="252" spans="1:9" x14ac:dyDescent="0.25">
      <c r="A252" s="82">
        <f>'A) Base RI'!A243</f>
        <v>5785</v>
      </c>
      <c r="B252" s="62" t="str">
        <f>'A) Base RI'!B243</f>
        <v>Corcelles-le-Jorat</v>
      </c>
      <c r="C252" s="25">
        <f>'D) Ecrêtage'!N241</f>
        <v>15220.93759493671</v>
      </c>
      <c r="D252" s="18">
        <f>'A) Base RI'!AN243</f>
        <v>443</v>
      </c>
      <c r="E252" s="25">
        <f t="shared" si="13"/>
        <v>282438</v>
      </c>
      <c r="F252" s="73">
        <f>'F) Population'!K244</f>
        <v>44300</v>
      </c>
      <c r="G252" s="18">
        <f>'G) Solidarité'!I241</f>
        <v>104436.60871354421</v>
      </c>
      <c r="H252" s="25">
        <f t="shared" si="14"/>
        <v>148736.60871354421</v>
      </c>
      <c r="I252" s="98">
        <f t="shared" si="15"/>
        <v>133701.39128645579</v>
      </c>
    </row>
    <row r="253" spans="1:9" x14ac:dyDescent="0.25">
      <c r="A253" s="82">
        <f>'A) Base RI'!A244</f>
        <v>5788</v>
      </c>
      <c r="B253" s="62" t="str">
        <f>'A) Base RI'!B244</f>
        <v>Essertes</v>
      </c>
      <c r="C253" s="25">
        <f>'D) Ecrêtage'!N242</f>
        <v>9308.1854285714289</v>
      </c>
      <c r="D253" s="18">
        <f>'A) Base RI'!AN244</f>
        <v>330</v>
      </c>
      <c r="E253" s="25">
        <f t="shared" si="13"/>
        <v>172722</v>
      </c>
      <c r="F253" s="73">
        <f>'F) Population'!K245</f>
        <v>33000</v>
      </c>
      <c r="G253" s="18">
        <f>'G) Solidarité'!I242</f>
        <v>100648.72427759314</v>
      </c>
      <c r="H253" s="25">
        <f t="shared" si="14"/>
        <v>133648.72427759314</v>
      </c>
      <c r="I253" s="98">
        <f t="shared" si="15"/>
        <v>39073.275722406863</v>
      </c>
    </row>
    <row r="254" spans="1:9" x14ac:dyDescent="0.25">
      <c r="A254" s="82">
        <f>'A) Base RI'!A245</f>
        <v>5789</v>
      </c>
      <c r="B254" s="62" t="str">
        <f>'A) Base RI'!B245</f>
        <v>Ferlens</v>
      </c>
      <c r="C254" s="25">
        <f>'D) Ecrêtage'!N243</f>
        <v>9496.6311688311671</v>
      </c>
      <c r="D254" s="18">
        <f>'A) Base RI'!AN245</f>
        <v>330</v>
      </c>
      <c r="E254" s="25">
        <f t="shared" si="13"/>
        <v>176218</v>
      </c>
      <c r="F254" s="73">
        <f>'F) Population'!K246</f>
        <v>33000</v>
      </c>
      <c r="G254" s="18">
        <f>'G) Solidarité'!I243</f>
        <v>117340.96048463765</v>
      </c>
      <c r="H254" s="25">
        <f t="shared" si="14"/>
        <v>150340.96048463765</v>
      </c>
      <c r="I254" s="98">
        <f t="shared" si="15"/>
        <v>25877.039515362354</v>
      </c>
    </row>
    <row r="255" spans="1:9" x14ac:dyDescent="0.25">
      <c r="A255" s="82">
        <f>'A) Base RI'!A246</f>
        <v>5790</v>
      </c>
      <c r="B255" s="62" t="str">
        <f>'A) Base RI'!B246</f>
        <v>Maracon</v>
      </c>
      <c r="C255" s="25">
        <f>'D) Ecrêtage'!N244</f>
        <v>11539.028947368422</v>
      </c>
      <c r="D255" s="18">
        <f>'A) Base RI'!AN246</f>
        <v>444</v>
      </c>
      <c r="E255" s="25">
        <f t="shared" si="13"/>
        <v>214117</v>
      </c>
      <c r="F255" s="73">
        <f>'F) Population'!K247</f>
        <v>44400</v>
      </c>
      <c r="G255" s="18">
        <f>'G) Solidarité'!I244</f>
        <v>182250.33173288417</v>
      </c>
      <c r="H255" s="25">
        <f t="shared" si="14"/>
        <v>226650.33173288417</v>
      </c>
      <c r="I255" s="98">
        <f t="shared" si="15"/>
        <v>-12533.331732884166</v>
      </c>
    </row>
    <row r="256" spans="1:9" x14ac:dyDescent="0.25">
      <c r="A256" s="82">
        <f>'A) Base RI'!A247</f>
        <v>5791</v>
      </c>
      <c r="B256" s="62" t="str">
        <f>'A) Base RI'!B247</f>
        <v>Mézières</v>
      </c>
      <c r="C256" s="25">
        <f>'D) Ecrêtage'!N245</f>
        <v>41636.080964912282</v>
      </c>
      <c r="D256" s="18">
        <f>'A) Base RI'!AN247</f>
        <v>1192</v>
      </c>
      <c r="E256" s="25">
        <f t="shared" si="13"/>
        <v>772595</v>
      </c>
      <c r="F256" s="73">
        <f>'F) Population'!K248</f>
        <v>167200</v>
      </c>
      <c r="G256" s="18">
        <f>'G) Solidarité'!I245</f>
        <v>244442.96022722966</v>
      </c>
      <c r="H256" s="25">
        <f t="shared" si="14"/>
        <v>411642.96022722963</v>
      </c>
      <c r="I256" s="98">
        <f t="shared" si="15"/>
        <v>360952.03977277037</v>
      </c>
    </row>
    <row r="257" spans="1:9" x14ac:dyDescent="0.25">
      <c r="A257" s="82">
        <f>'A) Base RI'!A248</f>
        <v>5792</v>
      </c>
      <c r="B257" s="62" t="str">
        <f>'A) Base RI'!B248</f>
        <v>Montpreveyres</v>
      </c>
      <c r="C257" s="25">
        <f>'D) Ecrêtage'!N246</f>
        <v>17052.817341772152</v>
      </c>
      <c r="D257" s="18">
        <f>'A) Base RI'!AN248</f>
        <v>597</v>
      </c>
      <c r="E257" s="25">
        <f t="shared" si="13"/>
        <v>316430</v>
      </c>
      <c r="F257" s="73">
        <f>'F) Population'!K249</f>
        <v>59700</v>
      </c>
      <c r="G257" s="18">
        <f>'G) Solidarité'!I246</f>
        <v>226615.01404040257</v>
      </c>
      <c r="H257" s="25">
        <f t="shared" si="14"/>
        <v>286315.0140404026</v>
      </c>
      <c r="I257" s="98">
        <f t="shared" si="15"/>
        <v>30114.985959597398</v>
      </c>
    </row>
    <row r="258" spans="1:9" x14ac:dyDescent="0.25">
      <c r="A258" s="82">
        <f>'A) Base RI'!A249</f>
        <v>5798</v>
      </c>
      <c r="B258" s="62" t="str">
        <f>'A) Base RI'!B249</f>
        <v>Ropraz</v>
      </c>
      <c r="C258" s="25">
        <f>'D) Ecrêtage'!N247</f>
        <v>11308.746838709676</v>
      </c>
      <c r="D258" s="18">
        <f>'A) Base RI'!AN249</f>
        <v>409</v>
      </c>
      <c r="E258" s="25">
        <f t="shared" si="13"/>
        <v>209844</v>
      </c>
      <c r="F258" s="73">
        <f>'F) Population'!K250</f>
        <v>40900</v>
      </c>
      <c r="G258" s="18">
        <f>'G) Solidarité'!I247</f>
        <v>158347.29758197907</v>
      </c>
      <c r="H258" s="25">
        <f t="shared" si="14"/>
        <v>199247.29758197907</v>
      </c>
      <c r="I258" s="98">
        <f t="shared" si="15"/>
        <v>10596.702418020926</v>
      </c>
    </row>
    <row r="259" spans="1:9" x14ac:dyDescent="0.25">
      <c r="A259" s="82">
        <f>'A) Base RI'!A250</f>
        <v>5799</v>
      </c>
      <c r="B259" s="62" t="str">
        <f>'A) Base RI'!B250</f>
        <v>Servion</v>
      </c>
      <c r="C259" s="25">
        <f>'D) Ecrêtage'!N248</f>
        <v>68357.530144927528</v>
      </c>
      <c r="D259" s="18">
        <f>'A) Base RI'!AN250</f>
        <v>1893</v>
      </c>
      <c r="E259" s="25">
        <f t="shared" si="13"/>
        <v>1268435</v>
      </c>
      <c r="F259" s="73">
        <f>'F) Population'!K251</f>
        <v>412550</v>
      </c>
      <c r="G259" s="18">
        <f>'G) Solidarité'!I248</f>
        <v>277641.37412613892</v>
      </c>
      <c r="H259" s="25">
        <f t="shared" si="14"/>
        <v>690191.37412613886</v>
      </c>
      <c r="I259" s="98">
        <f t="shared" si="15"/>
        <v>578243.62587386114</v>
      </c>
    </row>
    <row r="260" spans="1:9" x14ac:dyDescent="0.25">
      <c r="A260" s="82">
        <f>'A) Base RI'!A251</f>
        <v>5803</v>
      </c>
      <c r="B260" s="62" t="str">
        <f>'A) Base RI'!B251</f>
        <v>Vulliens</v>
      </c>
      <c r="C260" s="25">
        <f>'D) Ecrêtage'!N249</f>
        <v>12093.749506172839</v>
      </c>
      <c r="D260" s="18">
        <f>'A) Base RI'!AN251</f>
        <v>442</v>
      </c>
      <c r="E260" s="25">
        <f t="shared" si="13"/>
        <v>224410</v>
      </c>
      <c r="F260" s="73">
        <f>'F) Population'!K252</f>
        <v>44200</v>
      </c>
      <c r="G260" s="18">
        <f>'G) Solidarité'!I249</f>
        <v>190254.47722388245</v>
      </c>
      <c r="H260" s="25">
        <f t="shared" si="14"/>
        <v>234454.47722388245</v>
      </c>
      <c r="I260" s="98">
        <f t="shared" si="15"/>
        <v>-10044.477223882452</v>
      </c>
    </row>
    <row r="261" spans="1:9" x14ac:dyDescent="0.25">
      <c r="A261" s="82">
        <f>'A) Base RI'!A252</f>
        <v>5804</v>
      </c>
      <c r="B261" s="62" t="str">
        <f>'A) Base RI'!B252</f>
        <v>Jorat-Menthue</v>
      </c>
      <c r="C261" s="25">
        <f>'D) Ecrêtage'!N250</f>
        <v>42711.248333333329</v>
      </c>
      <c r="D261" s="18">
        <f>'A) Base RI'!AN252</f>
        <v>1469</v>
      </c>
      <c r="E261" s="25">
        <f>ROUND(C261*E$15,0)</f>
        <v>792545</v>
      </c>
      <c r="F261" s="73">
        <f>'F) Population'!K253</f>
        <v>264150</v>
      </c>
      <c r="G261" s="18">
        <f>'G) Solidarité'!I250</f>
        <v>447703.0485903701</v>
      </c>
      <c r="H261" s="25">
        <f>F261+G261</f>
        <v>711853.0485903701</v>
      </c>
      <c r="I261" s="98">
        <f>E261-H261</f>
        <v>80691.951409629895</v>
      </c>
    </row>
    <row r="262" spans="1:9" x14ac:dyDescent="0.25">
      <c r="A262" s="82">
        <f>'A) Base RI'!A253</f>
        <v>5805</v>
      </c>
      <c r="B262" s="62" t="str">
        <f>'A) Base RI'!B253</f>
        <v>Oron</v>
      </c>
      <c r="C262" s="25">
        <f>'D) Ecrêtage'!N251</f>
        <v>145299.16422924903</v>
      </c>
      <c r="D262" s="18">
        <f>'A) Base RI'!AN253</f>
        <v>5180</v>
      </c>
      <c r="E262" s="25">
        <f>ROUND(C262*E$15,0)</f>
        <v>2696156</v>
      </c>
      <c r="F262" s="73">
        <f>'F) Population'!K254</f>
        <v>1908000</v>
      </c>
      <c r="G262" s="18">
        <f>'G) Solidarité'!I251</f>
        <v>1550423.2849944627</v>
      </c>
      <c r="H262" s="25">
        <f>F262+G262</f>
        <v>3458423.2849944625</v>
      </c>
      <c r="I262" s="98">
        <f>E262-H262</f>
        <v>-762267.2849944625</v>
      </c>
    </row>
    <row r="263" spans="1:9" x14ac:dyDescent="0.25">
      <c r="A263" s="82">
        <f>'A) Base RI'!A254</f>
        <v>5812</v>
      </c>
      <c r="B263" s="62" t="str">
        <f>'A) Base RI'!B254</f>
        <v>Champtauroz</v>
      </c>
      <c r="C263" s="25">
        <f>'D) Ecrêtage'!N252</f>
        <v>2756.1429220779223</v>
      </c>
      <c r="D263" s="18">
        <f>'A) Base RI'!AN254</f>
        <v>137</v>
      </c>
      <c r="E263" s="25">
        <f>ROUND(C263*E$15,0)</f>
        <v>51143</v>
      </c>
      <c r="F263" s="73">
        <f>'F) Population'!K255</f>
        <v>13700</v>
      </c>
      <c r="G263" s="18">
        <f>'G) Solidarité'!I252</f>
        <v>76692.34363544386</v>
      </c>
      <c r="H263" s="25">
        <f>F263+G263</f>
        <v>90392.34363544386</v>
      </c>
      <c r="I263" s="98">
        <f>E263-H263</f>
        <v>-39249.34363544386</v>
      </c>
    </row>
    <row r="264" spans="1:9" x14ac:dyDescent="0.25">
      <c r="A264" s="82">
        <f>'A) Base RI'!A255</f>
        <v>5813</v>
      </c>
      <c r="B264" s="62" t="str">
        <f>'A) Base RI'!B255</f>
        <v>Chevroux</v>
      </c>
      <c r="C264" s="25">
        <f>'D) Ecrêtage'!N253</f>
        <v>11438.318904761907</v>
      </c>
      <c r="D264" s="18">
        <f>'A) Base RI'!AN255</f>
        <v>418</v>
      </c>
      <c r="E264" s="25">
        <f t="shared" si="13"/>
        <v>212248</v>
      </c>
      <c r="F264" s="73">
        <f>'F) Population'!K256</f>
        <v>41800</v>
      </c>
      <c r="G264" s="18">
        <f>'G) Solidarité'!I253</f>
        <v>134349.66885435733</v>
      </c>
      <c r="H264" s="25">
        <f t="shared" si="14"/>
        <v>176149.66885435733</v>
      </c>
      <c r="I264" s="98">
        <f t="shared" si="15"/>
        <v>36098.331145642675</v>
      </c>
    </row>
    <row r="265" spans="1:9" x14ac:dyDescent="0.25">
      <c r="A265" s="82">
        <f>'A) Base RI'!A256</f>
        <v>5816</v>
      </c>
      <c r="B265" s="62" t="str">
        <f>'A) Base RI'!B256</f>
        <v>Corcelles-près-Payerne</v>
      </c>
      <c r="C265" s="25">
        <f>'D) Ecrêtage'!N254</f>
        <v>51319.201507936508</v>
      </c>
      <c r="D265" s="18">
        <f>'A) Base RI'!AN256</f>
        <v>2091</v>
      </c>
      <c r="E265" s="25">
        <f t="shared" si="13"/>
        <v>952274</v>
      </c>
      <c r="F265" s="73">
        <f>'F) Population'!K257</f>
        <v>481850</v>
      </c>
      <c r="G265" s="18">
        <f>'G) Solidarité'!I254</f>
        <v>832670.38279357017</v>
      </c>
      <c r="H265" s="25">
        <f t="shared" si="14"/>
        <v>1314520.3827935702</v>
      </c>
      <c r="I265" s="98">
        <f t="shared" si="15"/>
        <v>-362246.38279357017</v>
      </c>
    </row>
    <row r="266" spans="1:9" x14ac:dyDescent="0.25">
      <c r="A266" s="82">
        <f>'A) Base RI'!A257</f>
        <v>5817</v>
      </c>
      <c r="B266" s="62" t="str">
        <f>'A) Base RI'!B257</f>
        <v>Grandcour</v>
      </c>
      <c r="C266" s="25">
        <f>'D) Ecrêtage'!N255</f>
        <v>20100.413081761009</v>
      </c>
      <c r="D266" s="18">
        <f>'A) Base RI'!AN257</f>
        <v>863</v>
      </c>
      <c r="E266" s="25">
        <f t="shared" si="13"/>
        <v>372981</v>
      </c>
      <c r="F266" s="73">
        <f>'F) Population'!K258</f>
        <v>86300</v>
      </c>
      <c r="G266" s="18">
        <f>'G) Solidarité'!I255</f>
        <v>446138.00513689488</v>
      </c>
      <c r="H266" s="25">
        <f t="shared" si="14"/>
        <v>532438.00513689488</v>
      </c>
      <c r="I266" s="98">
        <f t="shared" si="15"/>
        <v>-159457.00513689488</v>
      </c>
    </row>
    <row r="267" spans="1:9" x14ac:dyDescent="0.25">
      <c r="A267" s="82">
        <f>'A) Base RI'!A258</f>
        <v>5819</v>
      </c>
      <c r="B267" s="62" t="str">
        <f>'A) Base RI'!B258</f>
        <v>Henniez</v>
      </c>
      <c r="C267" s="25">
        <f>'D) Ecrêtage'!N256</f>
        <v>9884.2255223880602</v>
      </c>
      <c r="D267" s="18">
        <f>'A) Base RI'!AN258</f>
        <v>287</v>
      </c>
      <c r="E267" s="25">
        <f t="shared" si="13"/>
        <v>183411</v>
      </c>
      <c r="F267" s="73">
        <f>'F) Population'!K259</f>
        <v>28700</v>
      </c>
      <c r="G267" s="18">
        <f>'G) Solidarité'!I256</f>
        <v>48250.83054497878</v>
      </c>
      <c r="H267" s="25">
        <f t="shared" si="14"/>
        <v>76950.830544978788</v>
      </c>
      <c r="I267" s="98">
        <f t="shared" si="15"/>
        <v>106460.16945502121</v>
      </c>
    </row>
    <row r="268" spans="1:9" x14ac:dyDescent="0.25">
      <c r="A268" s="82">
        <f>'A) Base RI'!A259</f>
        <v>5821</v>
      </c>
      <c r="B268" s="62" t="str">
        <f>'A) Base RI'!B259</f>
        <v>Missy</v>
      </c>
      <c r="C268" s="25">
        <f>'D) Ecrêtage'!N257</f>
        <v>7497.2731944444431</v>
      </c>
      <c r="D268" s="18">
        <f>'A) Base RI'!AN259</f>
        <v>335</v>
      </c>
      <c r="E268" s="25">
        <f t="shared" si="13"/>
        <v>139119</v>
      </c>
      <c r="F268" s="73">
        <f>'F) Population'!K260</f>
        <v>33500</v>
      </c>
      <c r="G268" s="18">
        <f>'G) Solidarité'!I257</f>
        <v>148343.07341804498</v>
      </c>
      <c r="H268" s="25">
        <f t="shared" si="14"/>
        <v>181843.07341804498</v>
      </c>
      <c r="I268" s="98">
        <f t="shared" si="15"/>
        <v>-42724.07341804498</v>
      </c>
    </row>
    <row r="269" spans="1:9" x14ac:dyDescent="0.25">
      <c r="A269" s="82">
        <f>'A) Base RI'!A260</f>
        <v>5822</v>
      </c>
      <c r="B269" s="62" t="str">
        <f>'A) Base RI'!B260</f>
        <v>Payerne</v>
      </c>
      <c r="C269" s="25">
        <f>'D) Ecrêtage'!N258</f>
        <v>232171.67534246575</v>
      </c>
      <c r="D269" s="18">
        <f>'A) Base RI'!AN260</f>
        <v>9207</v>
      </c>
      <c r="E269" s="25">
        <f t="shared" si="13"/>
        <v>4308153</v>
      </c>
      <c r="F269" s="73">
        <f>'F) Population'!K261</f>
        <v>4375950</v>
      </c>
      <c r="G269" s="18">
        <f>'G) Solidarité'!I258</f>
        <v>3637404.1562506803</v>
      </c>
      <c r="H269" s="25">
        <f t="shared" si="14"/>
        <v>8013354.1562506799</v>
      </c>
      <c r="I269" s="98">
        <f t="shared" si="15"/>
        <v>-3705201.1562506799</v>
      </c>
    </row>
    <row r="270" spans="1:9" x14ac:dyDescent="0.25">
      <c r="A270" s="82">
        <f>'A) Base RI'!A261</f>
        <v>5827</v>
      </c>
      <c r="B270" s="62" t="str">
        <f>'A) Base RI'!B261</f>
        <v>Trey</v>
      </c>
      <c r="C270" s="25">
        <f>'D) Ecrêtage'!N259</f>
        <v>6148.4623749999992</v>
      </c>
      <c r="D270" s="18">
        <f>'A) Base RI'!AN261</f>
        <v>267</v>
      </c>
      <c r="E270" s="25">
        <f t="shared" si="13"/>
        <v>114090</v>
      </c>
      <c r="F270" s="73">
        <f>'F) Population'!K262</f>
        <v>26700</v>
      </c>
      <c r="G270" s="18">
        <f>'G) Solidarité'!I259</f>
        <v>141560.54353440134</v>
      </c>
      <c r="H270" s="25">
        <f t="shared" si="14"/>
        <v>168260.54353440134</v>
      </c>
      <c r="I270" s="98">
        <f t="shared" si="15"/>
        <v>-54170.543534401339</v>
      </c>
    </row>
    <row r="271" spans="1:9" x14ac:dyDescent="0.25">
      <c r="A271" s="82">
        <f>'A) Base RI'!A262</f>
        <v>5828</v>
      </c>
      <c r="B271" s="62" t="str">
        <f>'A) Base RI'!B262</f>
        <v>Treytorrens</v>
      </c>
      <c r="C271" s="25">
        <f>'D) Ecrêtage'!N260</f>
        <v>2457.9002380952379</v>
      </c>
      <c r="D271" s="18">
        <f>'A) Base RI'!AN262</f>
        <v>120</v>
      </c>
      <c r="E271" s="25">
        <f t="shared" si="13"/>
        <v>45609</v>
      </c>
      <c r="F271" s="73">
        <f>'F) Population'!K263</f>
        <v>12000</v>
      </c>
      <c r="G271" s="18">
        <f>'G) Solidarité'!I260</f>
        <v>78716.589103525519</v>
      </c>
      <c r="H271" s="25">
        <f t="shared" si="14"/>
        <v>90716.589103525519</v>
      </c>
      <c r="I271" s="98">
        <f t="shared" si="15"/>
        <v>-45107.589103525519</v>
      </c>
    </row>
    <row r="272" spans="1:9" x14ac:dyDescent="0.25">
      <c r="A272" s="82">
        <f>'A) Base RI'!A263</f>
        <v>5830</v>
      </c>
      <c r="B272" s="62" t="str">
        <f>'A) Base RI'!B263</f>
        <v>Villarzel</v>
      </c>
      <c r="C272" s="25">
        <f>'D) Ecrêtage'!N261</f>
        <v>9888.3237037037015</v>
      </c>
      <c r="D272" s="18">
        <f>'A) Base RI'!AN263</f>
        <v>413</v>
      </c>
      <c r="E272" s="25">
        <f t="shared" si="13"/>
        <v>183487</v>
      </c>
      <c r="F272" s="73">
        <f>'F) Population'!K264</f>
        <v>41300</v>
      </c>
      <c r="G272" s="18">
        <f>'G) Solidarité'!I261</f>
        <v>214617.98801359054</v>
      </c>
      <c r="H272" s="25">
        <f t="shared" si="14"/>
        <v>255917.98801359054</v>
      </c>
      <c r="I272" s="98">
        <f t="shared" si="15"/>
        <v>-72430.988013590541</v>
      </c>
    </row>
    <row r="273" spans="1:9" x14ac:dyDescent="0.25">
      <c r="A273" s="82">
        <f>'A) Base RI'!A264</f>
        <v>5831</v>
      </c>
      <c r="B273" s="62" t="str">
        <f>'A) Base RI'!B264</f>
        <v>Valbroye</v>
      </c>
      <c r="C273" s="25">
        <f>'D) Ecrêtage'!N262</f>
        <v>72189.06751111109</v>
      </c>
      <c r="D273" s="18">
        <f>'A) Base RI'!AN264</f>
        <v>2928</v>
      </c>
      <c r="E273" s="25">
        <f>ROUND(C273*E$15,0)</f>
        <v>1339533</v>
      </c>
      <c r="F273" s="73">
        <f>'F) Population'!K265</f>
        <v>774800</v>
      </c>
      <c r="G273" s="18">
        <f>'G) Solidarité'!I262</f>
        <v>1257840.1954992516</v>
      </c>
      <c r="H273" s="25">
        <f>F273+G273</f>
        <v>2032640.1954992516</v>
      </c>
      <c r="I273" s="98">
        <f>E273-H273</f>
        <v>-693107.1954992516</v>
      </c>
    </row>
    <row r="274" spans="1:9" x14ac:dyDescent="0.25">
      <c r="A274" s="82">
        <f>'A) Base RI'!A265</f>
        <v>5841</v>
      </c>
      <c r="B274" s="62" t="str">
        <f>'A) Base RI'!B265</f>
        <v>Château-d'Oex</v>
      </c>
      <c r="C274" s="25">
        <f>'D) Ecrêtage'!N263</f>
        <v>107402.16457831326</v>
      </c>
      <c r="D274" s="18">
        <f>'A) Base RI'!AN265</f>
        <v>3440</v>
      </c>
      <c r="E274" s="25">
        <f>ROUND(C274*E$15,0)</f>
        <v>1992943</v>
      </c>
      <c r="F274" s="73">
        <f>'F) Population'!K266</f>
        <v>1020000</v>
      </c>
      <c r="G274" s="18">
        <f>'G) Solidarité'!I263</f>
        <v>1190887.4343920117</v>
      </c>
      <c r="H274" s="25">
        <f>F274+G274</f>
        <v>2210887.4343920117</v>
      </c>
      <c r="I274" s="98">
        <f>E274-H274</f>
        <v>-217944.43439201172</v>
      </c>
    </row>
    <row r="275" spans="1:9" x14ac:dyDescent="0.25">
      <c r="A275" s="82">
        <f>'A) Base RI'!A266</f>
        <v>5842</v>
      </c>
      <c r="B275" s="62" t="str">
        <f>'A) Base RI'!B266</f>
        <v>Rossinière</v>
      </c>
      <c r="C275" s="25">
        <f>'D) Ecrêtage'!N264</f>
        <v>14557.548271604937</v>
      </c>
      <c r="D275" s="18">
        <f>'A) Base RI'!AN266</f>
        <v>552</v>
      </c>
      <c r="E275" s="25">
        <f t="shared" si="13"/>
        <v>270128</v>
      </c>
      <c r="F275" s="73">
        <f>'F) Population'!K267</f>
        <v>55200</v>
      </c>
      <c r="G275" s="18">
        <f>'G) Solidarité'!I264</f>
        <v>251850.25841414783</v>
      </c>
      <c r="H275" s="25">
        <f t="shared" si="14"/>
        <v>307050.25841414783</v>
      </c>
      <c r="I275" s="98">
        <f t="shared" si="15"/>
        <v>-36922.258414147829</v>
      </c>
    </row>
    <row r="276" spans="1:9" x14ac:dyDescent="0.25">
      <c r="A276" s="82">
        <f>'A) Base RI'!A267</f>
        <v>5843</v>
      </c>
      <c r="B276" s="62" t="str">
        <f>'A) Base RI'!B267</f>
        <v>Rougemont</v>
      </c>
      <c r="C276" s="25">
        <f>'D) Ecrêtage'!N265</f>
        <v>67072.399341015014</v>
      </c>
      <c r="D276" s="18">
        <f>'A) Base RI'!AN267</f>
        <v>882</v>
      </c>
      <c r="E276" s="25">
        <f t="shared" si="13"/>
        <v>1244588</v>
      </c>
      <c r="F276" s="73">
        <f>'F) Population'!K268</f>
        <v>88200</v>
      </c>
      <c r="G276" s="18">
        <f>'G) Solidarité'!I265</f>
        <v>0</v>
      </c>
      <c r="H276" s="25">
        <f t="shared" si="14"/>
        <v>88200</v>
      </c>
      <c r="I276" s="98">
        <f t="shared" si="15"/>
        <v>1156388</v>
      </c>
    </row>
    <row r="277" spans="1:9" x14ac:dyDescent="0.25">
      <c r="A277" s="82">
        <f>'A) Base RI'!A268</f>
        <v>5851</v>
      </c>
      <c r="B277" s="62" t="str">
        <f>'A) Base RI'!B268</f>
        <v>Allaman</v>
      </c>
      <c r="C277" s="25">
        <f>'D) Ecrêtage'!N266</f>
        <v>23760.179579681881</v>
      </c>
      <c r="D277" s="18">
        <f>'A) Base RI'!AN268</f>
        <v>401</v>
      </c>
      <c r="E277" s="25">
        <f t="shared" si="13"/>
        <v>440891</v>
      </c>
      <c r="F277" s="73">
        <f>'F) Population'!K269</f>
        <v>40100</v>
      </c>
      <c r="G277" s="18">
        <f>'G) Solidarité'!I266</f>
        <v>0</v>
      </c>
      <c r="H277" s="25">
        <f t="shared" si="14"/>
        <v>40100</v>
      </c>
      <c r="I277" s="98">
        <f t="shared" si="15"/>
        <v>400791</v>
      </c>
    </row>
    <row r="278" spans="1:9" x14ac:dyDescent="0.25">
      <c r="A278" s="82">
        <f>'A) Base RI'!A269</f>
        <v>5852</v>
      </c>
      <c r="B278" s="62" t="str">
        <f>'A) Base RI'!B269</f>
        <v>Bursinel</v>
      </c>
      <c r="C278" s="25">
        <f>'D) Ecrêtage'!N267</f>
        <v>28507.593195351863</v>
      </c>
      <c r="D278" s="18">
        <f>'A) Base RI'!AN269</f>
        <v>471</v>
      </c>
      <c r="E278" s="25">
        <f t="shared" si="13"/>
        <v>528984</v>
      </c>
      <c r="F278" s="73">
        <f>'F) Population'!K270</f>
        <v>47100</v>
      </c>
      <c r="G278" s="18">
        <f>'G) Solidarité'!I267</f>
        <v>0</v>
      </c>
      <c r="H278" s="25">
        <f t="shared" si="14"/>
        <v>47100</v>
      </c>
      <c r="I278" s="98">
        <f t="shared" si="15"/>
        <v>481884</v>
      </c>
    </row>
    <row r="279" spans="1:9" x14ac:dyDescent="0.25">
      <c r="A279" s="82">
        <f>'A) Base RI'!A270</f>
        <v>5853</v>
      </c>
      <c r="B279" s="62" t="str">
        <f>'A) Base RI'!B270</f>
        <v>Bursins</v>
      </c>
      <c r="C279" s="25">
        <f>'D) Ecrêtage'!N268</f>
        <v>35670.275774647889</v>
      </c>
      <c r="D279" s="18">
        <f>'A) Base RI'!AN270</f>
        <v>764</v>
      </c>
      <c r="E279" s="25">
        <f t="shared" si="13"/>
        <v>661894</v>
      </c>
      <c r="F279" s="73">
        <f>'F) Population'!K271</f>
        <v>76400</v>
      </c>
      <c r="G279" s="18">
        <f>'G) Solidarité'!I268</f>
        <v>0</v>
      </c>
      <c r="H279" s="25">
        <f t="shared" si="14"/>
        <v>76400</v>
      </c>
      <c r="I279" s="98">
        <f t="shared" si="15"/>
        <v>585494</v>
      </c>
    </row>
    <row r="280" spans="1:9" x14ac:dyDescent="0.25">
      <c r="A280" s="82">
        <f>'A) Base RI'!A271</f>
        <v>5854</v>
      </c>
      <c r="B280" s="62" t="str">
        <f>'A) Base RI'!B271</f>
        <v>Burtigny</v>
      </c>
      <c r="C280" s="25">
        <f>'D) Ecrêtage'!N269</f>
        <v>10927.480438596491</v>
      </c>
      <c r="D280" s="18">
        <f>'A) Base RI'!AN271</f>
        <v>371</v>
      </c>
      <c r="E280" s="25">
        <f t="shared" si="13"/>
        <v>202769</v>
      </c>
      <c r="F280" s="73">
        <f>'F) Population'!K272</f>
        <v>37100</v>
      </c>
      <c r="G280" s="18">
        <f>'G) Solidarité'!I269</f>
        <v>122749.83256605272</v>
      </c>
      <c r="H280" s="25">
        <f t="shared" si="14"/>
        <v>159849.83256605273</v>
      </c>
      <c r="I280" s="98">
        <f t="shared" si="15"/>
        <v>42919.167433947267</v>
      </c>
    </row>
    <row r="281" spans="1:9" x14ac:dyDescent="0.25">
      <c r="A281" s="82">
        <f>'A) Base RI'!A272</f>
        <v>5855</v>
      </c>
      <c r="B281" s="62" t="str">
        <f>'A) Base RI'!B272</f>
        <v>Dully</v>
      </c>
      <c r="C281" s="25">
        <f>'D) Ecrêtage'!N270</f>
        <v>57346.504059432889</v>
      </c>
      <c r="D281" s="18">
        <f>'A) Base RI'!AN272</f>
        <v>612</v>
      </c>
      <c r="E281" s="25">
        <f t="shared" si="13"/>
        <v>1064116</v>
      </c>
      <c r="F281" s="73">
        <f>'F) Population'!K273</f>
        <v>61200</v>
      </c>
      <c r="G281" s="18">
        <f>'G) Solidarité'!I270</f>
        <v>0</v>
      </c>
      <c r="H281" s="25">
        <f t="shared" si="14"/>
        <v>61200</v>
      </c>
      <c r="I281" s="98">
        <f t="shared" si="15"/>
        <v>1002916</v>
      </c>
    </row>
    <row r="282" spans="1:9" x14ac:dyDescent="0.25">
      <c r="A282" s="82">
        <f>'A) Base RI'!A273</f>
        <v>5856</v>
      </c>
      <c r="B282" s="62" t="str">
        <f>'A) Base RI'!B273</f>
        <v>Essertines-sur-Rolle</v>
      </c>
      <c r="C282" s="25">
        <f>'D) Ecrêtage'!N271</f>
        <v>37372.082975113124</v>
      </c>
      <c r="D282" s="18">
        <f>'A) Base RI'!AN273</f>
        <v>698</v>
      </c>
      <c r="E282" s="25">
        <f t="shared" si="13"/>
        <v>693472</v>
      </c>
      <c r="F282" s="73">
        <f>'F) Population'!K274</f>
        <v>69800</v>
      </c>
      <c r="G282" s="18">
        <f>'G) Solidarité'!I271</f>
        <v>0</v>
      </c>
      <c r="H282" s="25">
        <f t="shared" si="14"/>
        <v>69800</v>
      </c>
      <c r="I282" s="98">
        <f t="shared" si="15"/>
        <v>623672</v>
      </c>
    </row>
    <row r="283" spans="1:9" x14ac:dyDescent="0.25">
      <c r="A283" s="82">
        <f>'A) Base RI'!A274</f>
        <v>5857</v>
      </c>
      <c r="B283" s="62" t="str">
        <f>'A) Base RI'!B274</f>
        <v>Gilly</v>
      </c>
      <c r="C283" s="25">
        <f>'D) Ecrêtage'!N272</f>
        <v>62471.810834773227</v>
      </c>
      <c r="D283" s="18">
        <f>'A) Base RI'!AN274</f>
        <v>1074</v>
      </c>
      <c r="E283" s="25">
        <f t="shared" si="13"/>
        <v>1159220</v>
      </c>
      <c r="F283" s="73">
        <f>'F) Population'!K275</f>
        <v>125900</v>
      </c>
      <c r="G283" s="18">
        <f>'G) Solidarité'!I272</f>
        <v>0</v>
      </c>
      <c r="H283" s="25">
        <f t="shared" si="14"/>
        <v>125900</v>
      </c>
      <c r="I283" s="98">
        <f t="shared" si="15"/>
        <v>1033320</v>
      </c>
    </row>
    <row r="284" spans="1:9" x14ac:dyDescent="0.25">
      <c r="A284" s="82">
        <f>'A) Base RI'!A275</f>
        <v>5858</v>
      </c>
      <c r="B284" s="62" t="str">
        <f>'A) Base RI'!B275</f>
        <v>Luins</v>
      </c>
      <c r="C284" s="25">
        <f>'D) Ecrêtage'!N273</f>
        <v>34847.884728439996</v>
      </c>
      <c r="D284" s="18">
        <f>'A) Base RI'!AN275</f>
        <v>608</v>
      </c>
      <c r="E284" s="25">
        <f t="shared" ref="E284:E333" si="16">ROUND(C284*E$15,0)</f>
        <v>646634</v>
      </c>
      <c r="F284" s="73">
        <f>'F) Population'!K276</f>
        <v>60800</v>
      </c>
      <c r="G284" s="18">
        <f>'G) Solidarité'!I273</f>
        <v>0</v>
      </c>
      <c r="H284" s="25">
        <f t="shared" ref="H284:H333" si="17">F284+G284</f>
        <v>60800</v>
      </c>
      <c r="I284" s="98">
        <f t="shared" ref="I284:I333" si="18">E284-H284</f>
        <v>585834</v>
      </c>
    </row>
    <row r="285" spans="1:9" x14ac:dyDescent="0.25">
      <c r="A285" s="82">
        <f>'A) Base RI'!A276</f>
        <v>5859</v>
      </c>
      <c r="B285" s="62" t="str">
        <f>'A) Base RI'!B276</f>
        <v>Mont-sur-Rolle</v>
      </c>
      <c r="C285" s="25">
        <f>'D) Ecrêtage'!N274</f>
        <v>135944.39825396828</v>
      </c>
      <c r="D285" s="18">
        <f>'A) Base RI'!AN276</f>
        <v>2602</v>
      </c>
      <c r="E285" s="25">
        <f t="shared" si="16"/>
        <v>2522570</v>
      </c>
      <c r="F285" s="73">
        <f>'F) Population'!K277</f>
        <v>660700</v>
      </c>
      <c r="G285" s="18">
        <f>'G) Solidarité'!I274</f>
        <v>0</v>
      </c>
      <c r="H285" s="25">
        <f t="shared" si="17"/>
        <v>660700</v>
      </c>
      <c r="I285" s="98">
        <f t="shared" si="18"/>
        <v>1861870</v>
      </c>
    </row>
    <row r="286" spans="1:9" x14ac:dyDescent="0.25">
      <c r="A286" s="82">
        <f>'A) Base RI'!A277</f>
        <v>5860</v>
      </c>
      <c r="B286" s="62" t="str">
        <f>'A) Base RI'!B277</f>
        <v>Perroy</v>
      </c>
      <c r="C286" s="25">
        <f>'D) Ecrêtage'!N275</f>
        <v>70993.86</v>
      </c>
      <c r="D286" s="18">
        <f>'A) Base RI'!AN277</f>
        <v>1395</v>
      </c>
      <c r="E286" s="25">
        <f t="shared" si="16"/>
        <v>1317354</v>
      </c>
      <c r="F286" s="73">
        <f>'F) Population'!K278</f>
        <v>238250</v>
      </c>
      <c r="G286" s="18">
        <f>'G) Solidarité'!I275</f>
        <v>0</v>
      </c>
      <c r="H286" s="25">
        <f t="shared" si="17"/>
        <v>238250</v>
      </c>
      <c r="I286" s="98">
        <f t="shared" si="18"/>
        <v>1079104</v>
      </c>
    </row>
    <row r="287" spans="1:9" x14ac:dyDescent="0.25">
      <c r="A287" s="82">
        <f>'A) Base RI'!A278</f>
        <v>5861</v>
      </c>
      <c r="B287" s="62" t="str">
        <f>'A) Base RI'!B278</f>
        <v>Rolle</v>
      </c>
      <c r="C287" s="25">
        <f>'D) Ecrêtage'!N276</f>
        <v>345453.70007532346</v>
      </c>
      <c r="D287" s="18">
        <f>'A) Base RI'!AN278</f>
        <v>5900</v>
      </c>
      <c r="E287" s="25">
        <f t="shared" si="16"/>
        <v>6410202</v>
      </c>
      <c r="F287" s="73">
        <f>'F) Population'!K279</f>
        <v>2340000</v>
      </c>
      <c r="G287" s="18">
        <f>'G) Solidarité'!I276</f>
        <v>0</v>
      </c>
      <c r="H287" s="25">
        <f t="shared" si="17"/>
        <v>2340000</v>
      </c>
      <c r="I287" s="98">
        <f t="shared" si="18"/>
        <v>4070202</v>
      </c>
    </row>
    <row r="288" spans="1:9" x14ac:dyDescent="0.25">
      <c r="A288" s="82">
        <f>'A) Base RI'!A279</f>
        <v>5862</v>
      </c>
      <c r="B288" s="62" t="str">
        <f>'A) Base RI'!B279</f>
        <v>Tartegnin</v>
      </c>
      <c r="C288" s="25">
        <f>'D) Ecrêtage'!N277</f>
        <v>7735.2980158730161</v>
      </c>
      <c r="D288" s="18">
        <f>'A) Base RI'!AN279</f>
        <v>228</v>
      </c>
      <c r="E288" s="25">
        <f t="shared" si="16"/>
        <v>143535</v>
      </c>
      <c r="F288" s="73">
        <f>'F) Population'!K280</f>
        <v>22800</v>
      </c>
      <c r="G288" s="18">
        <f>'G) Solidarité'!I277</f>
        <v>63534.342853486363</v>
      </c>
      <c r="H288" s="25">
        <f t="shared" si="17"/>
        <v>86334.342853486363</v>
      </c>
      <c r="I288" s="98">
        <f t="shared" si="18"/>
        <v>57200.657146513637</v>
      </c>
    </row>
    <row r="289" spans="1:9" x14ac:dyDescent="0.25">
      <c r="A289" s="82">
        <f>'A) Base RI'!A280</f>
        <v>5863</v>
      </c>
      <c r="B289" s="62" t="str">
        <f>'A) Base RI'!B280</f>
        <v>Vinzel</v>
      </c>
      <c r="C289" s="25">
        <f>'D) Ecrêtage'!N278</f>
        <v>20507.4013427506</v>
      </c>
      <c r="D289" s="18">
        <f>'A) Base RI'!AN280</f>
        <v>352</v>
      </c>
      <c r="E289" s="25">
        <f t="shared" si="16"/>
        <v>380533</v>
      </c>
      <c r="F289" s="73">
        <f>'F) Population'!K281</f>
        <v>35200</v>
      </c>
      <c r="G289" s="18">
        <f>'G) Solidarité'!I278</f>
        <v>0</v>
      </c>
      <c r="H289" s="25">
        <f t="shared" si="17"/>
        <v>35200</v>
      </c>
      <c r="I289" s="98">
        <f t="shared" si="18"/>
        <v>345333</v>
      </c>
    </row>
    <row r="290" spans="1:9" x14ac:dyDescent="0.25">
      <c r="A290" s="82">
        <f>'A) Base RI'!A281</f>
        <v>5871</v>
      </c>
      <c r="B290" s="62" t="str">
        <f>'A) Base RI'!B281</f>
        <v>L'Abbaye</v>
      </c>
      <c r="C290" s="25">
        <f>'D) Ecrêtage'!N279</f>
        <v>60910.131722525337</v>
      </c>
      <c r="D290" s="18">
        <f>'A) Base RI'!AN281</f>
        <v>1433</v>
      </c>
      <c r="E290" s="25">
        <f t="shared" si="16"/>
        <v>1130242</v>
      </c>
      <c r="F290" s="73">
        <f>'F) Population'!K282</f>
        <v>251550</v>
      </c>
      <c r="G290" s="18">
        <f>'G) Solidarité'!I279</f>
        <v>45614.637159170277</v>
      </c>
      <c r="H290" s="25">
        <f t="shared" si="17"/>
        <v>297164.63715917029</v>
      </c>
      <c r="I290" s="98">
        <f t="shared" si="18"/>
        <v>833077.36284082965</v>
      </c>
    </row>
    <row r="291" spans="1:9" x14ac:dyDescent="0.25">
      <c r="A291" s="82">
        <f>'A) Base RI'!A282</f>
        <v>5872</v>
      </c>
      <c r="B291" s="62" t="str">
        <f>'A) Base RI'!B282</f>
        <v>Le Chenit</v>
      </c>
      <c r="C291" s="25">
        <f>'D) Ecrêtage'!N280</f>
        <v>322224.61483798281</v>
      </c>
      <c r="D291" s="18">
        <f>'A) Base RI'!AN282</f>
        <v>4496</v>
      </c>
      <c r="E291" s="25">
        <f t="shared" si="16"/>
        <v>5979165</v>
      </c>
      <c r="F291" s="73">
        <f>'F) Population'!K283</f>
        <v>1548000</v>
      </c>
      <c r="G291" s="18">
        <f>'G) Solidarité'!I280</f>
        <v>0</v>
      </c>
      <c r="H291" s="25">
        <f t="shared" si="17"/>
        <v>1548000</v>
      </c>
      <c r="I291" s="98">
        <f t="shared" si="18"/>
        <v>4431165</v>
      </c>
    </row>
    <row r="292" spans="1:9" x14ac:dyDescent="0.25">
      <c r="A292" s="82">
        <f>'A) Base RI'!A283</f>
        <v>5873</v>
      </c>
      <c r="B292" s="62" t="str">
        <f>'A) Base RI'!B283</f>
        <v>Le Lieu</v>
      </c>
      <c r="C292" s="25">
        <f>'D) Ecrêtage'!N281</f>
        <v>39370.007846153843</v>
      </c>
      <c r="D292" s="18">
        <f>'A) Base RI'!AN283</f>
        <v>856</v>
      </c>
      <c r="E292" s="25">
        <f t="shared" si="16"/>
        <v>730546</v>
      </c>
      <c r="F292" s="73">
        <f>'F) Population'!K284</f>
        <v>85600</v>
      </c>
      <c r="G292" s="18">
        <f>'G) Solidarité'!I281</f>
        <v>0</v>
      </c>
      <c r="H292" s="25">
        <f t="shared" si="17"/>
        <v>85600</v>
      </c>
      <c r="I292" s="98">
        <f t="shared" si="18"/>
        <v>644946</v>
      </c>
    </row>
    <row r="293" spans="1:9" x14ac:dyDescent="0.25">
      <c r="A293" s="82">
        <f>'A) Base RI'!A284</f>
        <v>5881</v>
      </c>
      <c r="B293" s="62" t="str">
        <f>'A) Base RI'!B284</f>
        <v>Blonay</v>
      </c>
      <c r="C293" s="25">
        <f>'D) Ecrêtage'!N282</f>
        <v>331887.5422222222</v>
      </c>
      <c r="D293" s="18">
        <f>'A) Base RI'!AN284</f>
        <v>6110</v>
      </c>
      <c r="E293" s="25">
        <f t="shared" si="16"/>
        <v>6158469</v>
      </c>
      <c r="F293" s="73">
        <f>'F) Population'!K285</f>
        <v>2466000</v>
      </c>
      <c r="G293" s="18">
        <f>'G) Solidarité'!I282</f>
        <v>0</v>
      </c>
      <c r="H293" s="25">
        <f t="shared" si="17"/>
        <v>2466000</v>
      </c>
      <c r="I293" s="98">
        <f t="shared" si="18"/>
        <v>3692469</v>
      </c>
    </row>
    <row r="294" spans="1:9" x14ac:dyDescent="0.25">
      <c r="A294" s="82">
        <f>'A) Base RI'!A285</f>
        <v>5882</v>
      </c>
      <c r="B294" s="62" t="str">
        <f>'A) Base RI'!B285</f>
        <v>Chardonne</v>
      </c>
      <c r="C294" s="25">
        <f>'D) Ecrêtage'!N283</f>
        <v>159535.56206879998</v>
      </c>
      <c r="D294" s="18">
        <f>'A) Base RI'!AN285</f>
        <v>2835</v>
      </c>
      <c r="E294" s="25">
        <f t="shared" si="16"/>
        <v>2960325</v>
      </c>
      <c r="F294" s="73">
        <f>'F) Population'!K286</f>
        <v>742250</v>
      </c>
      <c r="G294" s="18">
        <f>'G) Solidarité'!I283</f>
        <v>0</v>
      </c>
      <c r="H294" s="25">
        <f t="shared" si="17"/>
        <v>742250</v>
      </c>
      <c r="I294" s="98">
        <f t="shared" si="18"/>
        <v>2218075</v>
      </c>
    </row>
    <row r="295" spans="1:9" x14ac:dyDescent="0.25">
      <c r="A295" s="82">
        <f>'A) Base RI'!A286</f>
        <v>5883</v>
      </c>
      <c r="B295" s="62" t="str">
        <f>'A) Base RI'!B286</f>
        <v>Corseaux</v>
      </c>
      <c r="C295" s="25">
        <f>'D) Ecrêtage'!N284</f>
        <v>144138.14886128373</v>
      </c>
      <c r="D295" s="18">
        <f>'A) Base RI'!AN286</f>
        <v>2172</v>
      </c>
      <c r="E295" s="25">
        <f t="shared" si="16"/>
        <v>2674612</v>
      </c>
      <c r="F295" s="73">
        <f>'F) Population'!K287</f>
        <v>510200</v>
      </c>
      <c r="G295" s="18">
        <f>'G) Solidarité'!I284</f>
        <v>0</v>
      </c>
      <c r="H295" s="25">
        <f t="shared" si="17"/>
        <v>510200</v>
      </c>
      <c r="I295" s="98">
        <f t="shared" si="18"/>
        <v>2164412</v>
      </c>
    </row>
    <row r="296" spans="1:9" x14ac:dyDescent="0.25">
      <c r="A296" s="82">
        <f>'A) Base RI'!A287</f>
        <v>5884</v>
      </c>
      <c r="B296" s="62" t="str">
        <f>'A) Base RI'!B287</f>
        <v>Corsier-sur-Vevey</v>
      </c>
      <c r="C296" s="25">
        <f>'D) Ecrêtage'!N285</f>
        <v>121405.28277777777</v>
      </c>
      <c r="D296" s="18">
        <f>'A) Base RI'!AN287</f>
        <v>3393</v>
      </c>
      <c r="E296" s="25">
        <f t="shared" si="16"/>
        <v>2252783</v>
      </c>
      <c r="F296" s="73">
        <f>'F) Population'!K288</f>
        <v>996500</v>
      </c>
      <c r="G296" s="18">
        <f>'G) Solidarité'!I285</f>
        <v>474685.00221402314</v>
      </c>
      <c r="H296" s="25">
        <f t="shared" si="17"/>
        <v>1471185.0022140231</v>
      </c>
      <c r="I296" s="98">
        <f t="shared" si="18"/>
        <v>781597.99778597686</v>
      </c>
    </row>
    <row r="297" spans="1:9" x14ac:dyDescent="0.25">
      <c r="A297" s="82">
        <f>'A) Base RI'!A288</f>
        <v>5885</v>
      </c>
      <c r="B297" s="62" t="str">
        <f>'A) Base RI'!B288</f>
        <v>Jongny</v>
      </c>
      <c r="C297" s="25">
        <f>'D) Ecrêtage'!N286</f>
        <v>76199.638309178743</v>
      </c>
      <c r="D297" s="18">
        <f>'A) Base RI'!AN288</f>
        <v>1475</v>
      </c>
      <c r="E297" s="25">
        <f t="shared" si="16"/>
        <v>1413952</v>
      </c>
      <c r="F297" s="73">
        <f>'F) Population'!K289</f>
        <v>266250</v>
      </c>
      <c r="G297" s="18">
        <f>'G) Solidarité'!I286</f>
        <v>0</v>
      </c>
      <c r="H297" s="25">
        <f t="shared" si="17"/>
        <v>266250</v>
      </c>
      <c r="I297" s="98">
        <f t="shared" si="18"/>
        <v>1147702</v>
      </c>
    </row>
    <row r="298" spans="1:9" x14ac:dyDescent="0.25">
      <c r="A298" s="82">
        <f>'A) Base RI'!A289</f>
        <v>5886</v>
      </c>
      <c r="B298" s="62" t="str">
        <f>'A) Base RI'!B289</f>
        <v>Montreux</v>
      </c>
      <c r="C298" s="25">
        <f>'D) Ecrêtage'!N287</f>
        <v>1119854.9833838383</v>
      </c>
      <c r="D298" s="18">
        <f>'A) Base RI'!AN289</f>
        <v>26072</v>
      </c>
      <c r="E298" s="25">
        <f t="shared" si="16"/>
        <v>20779908</v>
      </c>
      <c r="F298" s="73">
        <f>'F) Population'!K290</f>
        <v>21375600</v>
      </c>
      <c r="G298" s="18">
        <f>'G) Solidarité'!I287</f>
        <v>408096.58907409303</v>
      </c>
      <c r="H298" s="25">
        <f t="shared" si="17"/>
        <v>21783696.589074094</v>
      </c>
      <c r="I298" s="98">
        <f t="shared" si="18"/>
        <v>-1003788.5890740938</v>
      </c>
    </row>
    <row r="299" spans="1:9" x14ac:dyDescent="0.25">
      <c r="A299" s="82">
        <f>'A) Base RI'!A290</f>
        <v>5888</v>
      </c>
      <c r="B299" s="62" t="str">
        <f>'A) Base RI'!B290</f>
        <v>St-Légier-La Chiésaz</v>
      </c>
      <c r="C299" s="25">
        <f>'D) Ecrêtage'!N288</f>
        <v>329207.26907849044</v>
      </c>
      <c r="D299" s="18">
        <f>'A) Base RI'!AN290</f>
        <v>5084</v>
      </c>
      <c r="E299" s="25">
        <f t="shared" si="16"/>
        <v>6108734</v>
      </c>
      <c r="F299" s="73">
        <f>'F) Population'!K291</f>
        <v>1850400</v>
      </c>
      <c r="G299" s="18">
        <f>'G) Solidarité'!I288</f>
        <v>0</v>
      </c>
      <c r="H299" s="25">
        <f t="shared" si="17"/>
        <v>1850400</v>
      </c>
      <c r="I299" s="98">
        <f t="shared" si="18"/>
        <v>4258334</v>
      </c>
    </row>
    <row r="300" spans="1:9" x14ac:dyDescent="0.25">
      <c r="A300" s="82">
        <f>'A) Base RI'!A291</f>
        <v>5889</v>
      </c>
      <c r="B300" s="62" t="str">
        <f>'A) Base RI'!B291</f>
        <v>La Tour-de-Peilz</v>
      </c>
      <c r="C300" s="25">
        <f>'D) Ecrêtage'!N289</f>
        <v>593029.02942708356</v>
      </c>
      <c r="D300" s="18">
        <f>'A) Base RI'!AN291</f>
        <v>11207</v>
      </c>
      <c r="E300" s="25">
        <f t="shared" si="16"/>
        <v>11004183</v>
      </c>
      <c r="F300" s="73">
        <f>'F) Population'!K292</f>
        <v>6075950</v>
      </c>
      <c r="G300" s="18">
        <f>'G) Solidarité'!I289</f>
        <v>0</v>
      </c>
      <c r="H300" s="25">
        <f t="shared" si="17"/>
        <v>6075950</v>
      </c>
      <c r="I300" s="98">
        <f t="shared" si="18"/>
        <v>4928233</v>
      </c>
    </row>
    <row r="301" spans="1:9" x14ac:dyDescent="0.25">
      <c r="A301" s="82">
        <f>'A) Base RI'!A292</f>
        <v>5890</v>
      </c>
      <c r="B301" s="62" t="str">
        <f>'A) Base RI'!B292</f>
        <v>Vevey</v>
      </c>
      <c r="C301" s="25">
        <f>'D) Ecrêtage'!N290</f>
        <v>920050.18059360737</v>
      </c>
      <c r="D301" s="18">
        <f>'A) Base RI'!AN292</f>
        <v>18838</v>
      </c>
      <c r="E301" s="25">
        <f t="shared" si="16"/>
        <v>17072352</v>
      </c>
      <c r="F301" s="73">
        <f>'F) Population'!K293</f>
        <v>13779900</v>
      </c>
      <c r="G301" s="18">
        <f>'G) Solidarité'!I290</f>
        <v>0</v>
      </c>
      <c r="H301" s="25">
        <f t="shared" si="17"/>
        <v>13779900</v>
      </c>
      <c r="I301" s="98">
        <f t="shared" si="18"/>
        <v>3292452</v>
      </c>
    </row>
    <row r="302" spans="1:9" x14ac:dyDescent="0.25">
      <c r="A302" s="82">
        <f>'A) Base RI'!A293</f>
        <v>5891</v>
      </c>
      <c r="B302" s="62" t="str">
        <f>'A) Base RI'!B293</f>
        <v>Veytaux</v>
      </c>
      <c r="C302" s="25">
        <f>'D) Ecrêtage'!N291</f>
        <v>37637.543719806752</v>
      </c>
      <c r="D302" s="18">
        <f>'A) Base RI'!AN293</f>
        <v>845</v>
      </c>
      <c r="E302" s="25">
        <f t="shared" si="16"/>
        <v>698398</v>
      </c>
      <c r="F302" s="73">
        <f>'F) Population'!K294</f>
        <v>84500</v>
      </c>
      <c r="G302" s="18">
        <f>'G) Solidarité'!I291</f>
        <v>0</v>
      </c>
      <c r="H302" s="25">
        <f t="shared" si="17"/>
        <v>84500</v>
      </c>
      <c r="I302" s="98">
        <f t="shared" si="18"/>
        <v>613898</v>
      </c>
    </row>
    <row r="303" spans="1:9" x14ac:dyDescent="0.25">
      <c r="A303" s="82">
        <f>'A) Base RI'!A294</f>
        <v>5902</v>
      </c>
      <c r="B303" s="62" t="str">
        <f>'A) Base RI'!B294</f>
        <v>Belmont-sur-Yverdon</v>
      </c>
      <c r="C303" s="25">
        <f>'D) Ecrêtage'!N292</f>
        <v>8809.0856578947369</v>
      </c>
      <c r="D303" s="18">
        <f>'A) Base RI'!AN294</f>
        <v>357</v>
      </c>
      <c r="E303" s="25">
        <f t="shared" si="16"/>
        <v>163460</v>
      </c>
      <c r="F303" s="73">
        <f>'F) Population'!K295</f>
        <v>35700</v>
      </c>
      <c r="G303" s="18">
        <f>'G) Solidarité'!I292</f>
        <v>157311.93694126175</v>
      </c>
      <c r="H303" s="25">
        <f t="shared" si="17"/>
        <v>193011.93694126175</v>
      </c>
      <c r="I303" s="98">
        <f t="shared" si="18"/>
        <v>-29551.936941261753</v>
      </c>
    </row>
    <row r="304" spans="1:9" x14ac:dyDescent="0.25">
      <c r="A304" s="82">
        <f>'A) Base RI'!A295</f>
        <v>5903</v>
      </c>
      <c r="B304" s="62" t="str">
        <f>'A) Base RI'!B295</f>
        <v>Bioley-Magnoux</v>
      </c>
      <c r="C304" s="25">
        <f>'D) Ecrêtage'!N293</f>
        <v>6088.8460038610028</v>
      </c>
      <c r="D304" s="18">
        <f>'A) Base RI'!AN295</f>
        <v>196</v>
      </c>
      <c r="E304" s="25">
        <f t="shared" si="16"/>
        <v>112984</v>
      </c>
      <c r="F304" s="73">
        <f>'F) Population'!K296</f>
        <v>19600</v>
      </c>
      <c r="G304" s="18">
        <f>'G) Solidarité'!I293</f>
        <v>54601.652550440864</v>
      </c>
      <c r="H304" s="25">
        <f t="shared" si="17"/>
        <v>74201.652550440864</v>
      </c>
      <c r="I304" s="98">
        <f t="shared" si="18"/>
        <v>38782.347449559136</v>
      </c>
    </row>
    <row r="305" spans="1:9" x14ac:dyDescent="0.25">
      <c r="A305" s="82">
        <f>'A) Base RI'!A296</f>
        <v>5904</v>
      </c>
      <c r="B305" s="62" t="str">
        <f>'A) Base RI'!B296</f>
        <v>Chamblon</v>
      </c>
      <c r="C305" s="25">
        <f>'D) Ecrêtage'!N294</f>
        <v>21622.015909090911</v>
      </c>
      <c r="D305" s="18">
        <f>'A) Base RI'!AN296</f>
        <v>590</v>
      </c>
      <c r="E305" s="25">
        <f t="shared" si="16"/>
        <v>401216</v>
      </c>
      <c r="F305" s="73">
        <f>'F) Population'!K297</f>
        <v>59000</v>
      </c>
      <c r="G305" s="18">
        <f>'G) Solidarité'!I294</f>
        <v>73685.394902222746</v>
      </c>
      <c r="H305" s="25">
        <f t="shared" si="17"/>
        <v>132685.39490222273</v>
      </c>
      <c r="I305" s="98">
        <f t="shared" si="18"/>
        <v>268530.60509777727</v>
      </c>
    </row>
    <row r="306" spans="1:9" x14ac:dyDescent="0.25">
      <c r="A306" s="82">
        <f>'A) Base RI'!A297</f>
        <v>5905</v>
      </c>
      <c r="B306" s="62" t="str">
        <f>'A) Base RI'!B297</f>
        <v>Champvent</v>
      </c>
      <c r="C306" s="25">
        <f>'D) Ecrêtage'!N295</f>
        <v>20315.716338028171</v>
      </c>
      <c r="D306" s="18">
        <f>'A) Base RI'!AN297</f>
        <v>600</v>
      </c>
      <c r="E306" s="25">
        <f t="shared" si="16"/>
        <v>376976</v>
      </c>
      <c r="F306" s="73">
        <f>'F) Population'!K298</f>
        <v>60000</v>
      </c>
      <c r="G306" s="18">
        <f>'G) Solidarité'!I295</f>
        <v>120257.80527256623</v>
      </c>
      <c r="H306" s="25">
        <f t="shared" si="17"/>
        <v>180257.80527256621</v>
      </c>
      <c r="I306" s="98">
        <f t="shared" si="18"/>
        <v>196718.19472743379</v>
      </c>
    </row>
    <row r="307" spans="1:9" x14ac:dyDescent="0.25">
      <c r="A307" s="82">
        <f>'A) Base RI'!A298</f>
        <v>5907</v>
      </c>
      <c r="B307" s="62" t="str">
        <f>'A) Base RI'!B298</f>
        <v>Chavannes-le-Chêne</v>
      </c>
      <c r="C307" s="25">
        <f>'D) Ecrêtage'!N296</f>
        <v>6770.541794871795</v>
      </c>
      <c r="D307" s="18">
        <f>'A) Base RI'!AN298</f>
        <v>274</v>
      </c>
      <c r="E307" s="25">
        <f t="shared" si="16"/>
        <v>125633</v>
      </c>
      <c r="F307" s="73">
        <f>'F) Population'!K299</f>
        <v>27400</v>
      </c>
      <c r="G307" s="18">
        <f>'G) Solidarité'!I296</f>
        <v>126946.20371829244</v>
      </c>
      <c r="H307" s="25">
        <f t="shared" si="17"/>
        <v>154346.20371829244</v>
      </c>
      <c r="I307" s="98">
        <f t="shared" si="18"/>
        <v>-28713.20371829244</v>
      </c>
    </row>
    <row r="308" spans="1:9" x14ac:dyDescent="0.25">
      <c r="A308" s="82">
        <f>'A) Base RI'!A299</f>
        <v>5908</v>
      </c>
      <c r="B308" s="62" t="str">
        <f>'A) Base RI'!B299</f>
        <v>Chêne-Pâquier</v>
      </c>
      <c r="C308" s="25">
        <f>'D) Ecrêtage'!N297</f>
        <v>3326.5444303797472</v>
      </c>
      <c r="D308" s="18">
        <f>'A) Base RI'!AN299</f>
        <v>132</v>
      </c>
      <c r="E308" s="25">
        <f t="shared" si="16"/>
        <v>61727</v>
      </c>
      <c r="F308" s="73">
        <f>'F) Population'!K300</f>
        <v>13200</v>
      </c>
      <c r="G308" s="18">
        <f>'G) Solidarité'!I297</f>
        <v>61125.597566370372</v>
      </c>
      <c r="H308" s="25">
        <f t="shared" si="17"/>
        <v>74325.597566370372</v>
      </c>
      <c r="I308" s="98">
        <f t="shared" si="18"/>
        <v>-12598.597566370372</v>
      </c>
    </row>
    <row r="309" spans="1:9" x14ac:dyDescent="0.25">
      <c r="A309" s="82">
        <f>'A) Base RI'!A300</f>
        <v>5909</v>
      </c>
      <c r="B309" s="62" t="str">
        <f>'A) Base RI'!B300</f>
        <v>Cheseaux-Noréaz</v>
      </c>
      <c r="C309" s="25">
        <f>'D) Ecrêtage'!N298</f>
        <v>30671.321093750001</v>
      </c>
      <c r="D309" s="18">
        <f>'A) Base RI'!AN300</f>
        <v>663</v>
      </c>
      <c r="E309" s="25">
        <f t="shared" si="16"/>
        <v>569134</v>
      </c>
      <c r="F309" s="73">
        <f>'F) Population'!K301</f>
        <v>66300</v>
      </c>
      <c r="G309" s="18">
        <f>'G) Solidarité'!I298</f>
        <v>0</v>
      </c>
      <c r="H309" s="25">
        <f t="shared" si="17"/>
        <v>66300</v>
      </c>
      <c r="I309" s="98">
        <f t="shared" si="18"/>
        <v>502834</v>
      </c>
    </row>
    <row r="310" spans="1:9" x14ac:dyDescent="0.25">
      <c r="A310" s="82">
        <f>'A) Base RI'!A301</f>
        <v>5910</v>
      </c>
      <c r="B310" s="62" t="str">
        <f>'A) Base RI'!B301</f>
        <v>Cronay</v>
      </c>
      <c r="C310" s="25">
        <f>'D) Ecrêtage'!N299</f>
        <v>9292.7018518518507</v>
      </c>
      <c r="D310" s="18">
        <f>'A) Base RI'!AN301</f>
        <v>352</v>
      </c>
      <c r="E310" s="25">
        <f t="shared" si="16"/>
        <v>172434</v>
      </c>
      <c r="F310" s="73">
        <f>'F) Population'!K302</f>
        <v>35200</v>
      </c>
      <c r="G310" s="18">
        <f>'G) Solidarité'!I299</f>
        <v>160348.92201460846</v>
      </c>
      <c r="H310" s="25">
        <f t="shared" si="17"/>
        <v>195548.92201460846</v>
      </c>
      <c r="I310" s="98">
        <f t="shared" si="18"/>
        <v>-23114.922014608455</v>
      </c>
    </row>
    <row r="311" spans="1:9" x14ac:dyDescent="0.25">
      <c r="A311" s="82">
        <f>'A) Base RI'!A302</f>
        <v>5911</v>
      </c>
      <c r="B311" s="62" t="str">
        <f>'A) Base RI'!B302</f>
        <v>Cuarny</v>
      </c>
      <c r="C311" s="25">
        <f>'D) Ecrêtage'!N300</f>
        <v>6815.3613580246902</v>
      </c>
      <c r="D311" s="18">
        <f>'A) Base RI'!AN302</f>
        <v>204</v>
      </c>
      <c r="E311" s="25">
        <f t="shared" si="16"/>
        <v>126465</v>
      </c>
      <c r="F311" s="73">
        <f>'F) Population'!K303</f>
        <v>20400</v>
      </c>
      <c r="G311" s="18">
        <f>'G) Solidarité'!I300</f>
        <v>55616.783073014092</v>
      </c>
      <c r="H311" s="25">
        <f t="shared" si="17"/>
        <v>76016.783073014085</v>
      </c>
      <c r="I311" s="98">
        <f t="shared" si="18"/>
        <v>50448.216926985915</v>
      </c>
    </row>
    <row r="312" spans="1:9" x14ac:dyDescent="0.25">
      <c r="A312" s="82">
        <f>'A) Base RI'!A303</f>
        <v>5912</v>
      </c>
      <c r="B312" s="62" t="str">
        <f>'A) Base RI'!B303</f>
        <v>Démoret</v>
      </c>
      <c r="C312" s="25">
        <f>'D) Ecrêtage'!N301</f>
        <v>3149.2327160493824</v>
      </c>
      <c r="D312" s="18">
        <f>'A) Base RI'!AN303</f>
        <v>126</v>
      </c>
      <c r="E312" s="25">
        <f t="shared" si="16"/>
        <v>58437</v>
      </c>
      <c r="F312" s="73">
        <f>'F) Population'!K304</f>
        <v>12600</v>
      </c>
      <c r="G312" s="18">
        <f>'G) Solidarité'!I301</f>
        <v>62020.087058558107</v>
      </c>
      <c r="H312" s="25">
        <f t="shared" si="17"/>
        <v>74620.0870585581</v>
      </c>
      <c r="I312" s="98">
        <f t="shared" si="18"/>
        <v>-16183.0870585581</v>
      </c>
    </row>
    <row r="313" spans="1:9" x14ac:dyDescent="0.25">
      <c r="A313" s="82">
        <f>'A) Base RI'!A304</f>
        <v>5913</v>
      </c>
      <c r="B313" s="62" t="str">
        <f>'A) Base RI'!B304</f>
        <v>Donneloye</v>
      </c>
      <c r="C313" s="25">
        <f>'D) Ecrêtage'!N302</f>
        <v>23147.804931506846</v>
      </c>
      <c r="D313" s="18">
        <f>'A) Base RI'!AN304</f>
        <v>728</v>
      </c>
      <c r="E313" s="25">
        <f t="shared" si="16"/>
        <v>429528</v>
      </c>
      <c r="F313" s="73">
        <f>'F) Population'!K305</f>
        <v>72800</v>
      </c>
      <c r="G313" s="18">
        <f>'G) Solidarité'!I302</f>
        <v>186083.78155806914</v>
      </c>
      <c r="H313" s="25">
        <f t="shared" si="17"/>
        <v>258883.78155806914</v>
      </c>
      <c r="I313" s="98">
        <f t="shared" si="18"/>
        <v>170644.21844193086</v>
      </c>
    </row>
    <row r="314" spans="1:9" x14ac:dyDescent="0.25">
      <c r="A314" s="82">
        <f>'A) Base RI'!A305</f>
        <v>5914</v>
      </c>
      <c r="B314" s="62" t="str">
        <f>'A) Base RI'!B305</f>
        <v>Ependes</v>
      </c>
      <c r="C314" s="25">
        <f>'D) Ecrêtage'!N303</f>
        <v>8718.0938666666661</v>
      </c>
      <c r="D314" s="18">
        <f>'A) Base RI'!AN305</f>
        <v>344</v>
      </c>
      <c r="E314" s="25">
        <f t="shared" si="16"/>
        <v>161772</v>
      </c>
      <c r="F314" s="73">
        <f>'F) Population'!K306</f>
        <v>34400</v>
      </c>
      <c r="G314" s="18">
        <f>'G) Solidarité'!I303</f>
        <v>142479.61616150476</v>
      </c>
      <c r="H314" s="25">
        <f t="shared" si="17"/>
        <v>176879.61616150476</v>
      </c>
      <c r="I314" s="98">
        <f t="shared" si="18"/>
        <v>-15107.61616150476</v>
      </c>
    </row>
    <row r="315" spans="1:9" x14ac:dyDescent="0.25">
      <c r="A315" s="82">
        <f>'A) Base RI'!A306</f>
        <v>5915</v>
      </c>
      <c r="B315" s="62" t="str">
        <f>'A) Base RI'!B306</f>
        <v>Essert-Pittet</v>
      </c>
      <c r="C315" s="25">
        <f>'D) Ecrêtage'!N304</f>
        <v>3469.1017098039219</v>
      </c>
      <c r="D315" s="18">
        <f>'A) Base RI'!AN306</f>
        <v>151</v>
      </c>
      <c r="E315" s="25">
        <f t="shared" si="16"/>
        <v>64372</v>
      </c>
      <c r="F315" s="73">
        <f>'F) Population'!K307</f>
        <v>15100</v>
      </c>
      <c r="G315" s="18">
        <f>'G) Solidarité'!I304</f>
        <v>70545.629165472594</v>
      </c>
      <c r="H315" s="25">
        <f t="shared" si="17"/>
        <v>85645.629165472594</v>
      </c>
      <c r="I315" s="98">
        <f t="shared" si="18"/>
        <v>-21273.629165472594</v>
      </c>
    </row>
    <row r="316" spans="1:9" x14ac:dyDescent="0.25">
      <c r="A316" s="82">
        <f>'A) Base RI'!A307</f>
        <v>5919</v>
      </c>
      <c r="B316" s="62" t="str">
        <f>'A) Base RI'!B307</f>
        <v>Mathod</v>
      </c>
      <c r="C316" s="25">
        <f>'D) Ecrêtage'!N305</f>
        <v>14691.435202702703</v>
      </c>
      <c r="D316" s="18">
        <f>'A) Base RI'!AN307</f>
        <v>552</v>
      </c>
      <c r="E316" s="25">
        <f t="shared" si="16"/>
        <v>272613</v>
      </c>
      <c r="F316" s="73">
        <f>'F) Population'!K308</f>
        <v>55200</v>
      </c>
      <c r="G316" s="18">
        <f>'G) Solidarité'!I305</f>
        <v>207285.36181486945</v>
      </c>
      <c r="H316" s="25">
        <f t="shared" si="17"/>
        <v>262485.36181486945</v>
      </c>
      <c r="I316" s="98">
        <f t="shared" si="18"/>
        <v>10127.638185130549</v>
      </c>
    </row>
    <row r="317" spans="1:9" x14ac:dyDescent="0.25">
      <c r="A317" s="82">
        <f>'A) Base RI'!A308</f>
        <v>5921</v>
      </c>
      <c r="B317" s="62" t="str">
        <f>'A) Base RI'!B308</f>
        <v>Molondin</v>
      </c>
      <c r="C317" s="25">
        <f>'D) Ecrêtage'!N306</f>
        <v>4662.1348148148145</v>
      </c>
      <c r="D317" s="18">
        <f>'A) Base RI'!AN308</f>
        <v>228</v>
      </c>
      <c r="E317" s="25">
        <f t="shared" si="16"/>
        <v>86510</v>
      </c>
      <c r="F317" s="73">
        <f>'F) Population'!K309</f>
        <v>22800</v>
      </c>
      <c r="G317" s="18">
        <f>'G) Solidarité'!I306</f>
        <v>139274.8444457156</v>
      </c>
      <c r="H317" s="25">
        <f t="shared" si="17"/>
        <v>162074.8444457156</v>
      </c>
      <c r="I317" s="98">
        <f t="shared" si="18"/>
        <v>-75564.8444457156</v>
      </c>
    </row>
    <row r="318" spans="1:9" x14ac:dyDescent="0.25">
      <c r="A318" s="82">
        <f>'A) Base RI'!A309</f>
        <v>5922</v>
      </c>
      <c r="B318" s="62" t="str">
        <f>'A) Base RI'!B309</f>
        <v>Montagny-près-Yverdon</v>
      </c>
      <c r="C318" s="25">
        <f>'D) Ecrêtage'!N307</f>
        <v>43685.066062100123</v>
      </c>
      <c r="D318" s="18">
        <f>'A) Base RI'!AN309</f>
        <v>725</v>
      </c>
      <c r="E318" s="25">
        <f t="shared" si="16"/>
        <v>810615</v>
      </c>
      <c r="F318" s="73">
        <f>'F) Population'!K310</f>
        <v>72500</v>
      </c>
      <c r="G318" s="18">
        <f>'G) Solidarité'!I307</f>
        <v>0</v>
      </c>
      <c r="H318" s="25">
        <f t="shared" si="17"/>
        <v>72500</v>
      </c>
      <c r="I318" s="98">
        <f t="shared" si="18"/>
        <v>738115</v>
      </c>
    </row>
    <row r="319" spans="1:9" x14ac:dyDescent="0.25">
      <c r="A319" s="82">
        <f>'A) Base RI'!A310</f>
        <v>5923</v>
      </c>
      <c r="B319" s="62" t="str">
        <f>'A) Base RI'!B310</f>
        <v>Oppens</v>
      </c>
      <c r="C319" s="25">
        <f>'D) Ecrêtage'!N308</f>
        <v>4470.86061728395</v>
      </c>
      <c r="D319" s="18">
        <f>'A) Base RI'!AN310</f>
        <v>176</v>
      </c>
      <c r="E319" s="25">
        <f t="shared" si="16"/>
        <v>82961</v>
      </c>
      <c r="F319" s="73">
        <f>'F) Population'!K311</f>
        <v>17600</v>
      </c>
      <c r="G319" s="18">
        <f>'G) Solidarité'!I308</f>
        <v>84754.076849923644</v>
      </c>
      <c r="H319" s="25">
        <f t="shared" si="17"/>
        <v>102354.07684992364</v>
      </c>
      <c r="I319" s="98">
        <f t="shared" si="18"/>
        <v>-19393.076849923644</v>
      </c>
    </row>
    <row r="320" spans="1:9" x14ac:dyDescent="0.25">
      <c r="A320" s="82">
        <f>'A) Base RI'!A311</f>
        <v>5924</v>
      </c>
      <c r="B320" s="62" t="str">
        <f>'A) Base RI'!B311</f>
        <v>Orges</v>
      </c>
      <c r="C320" s="25">
        <f>'D) Ecrêtage'!N309</f>
        <v>7786.4310810810803</v>
      </c>
      <c r="D320" s="18">
        <f>'A) Base RI'!AN311</f>
        <v>274</v>
      </c>
      <c r="E320" s="25">
        <f t="shared" si="16"/>
        <v>144484</v>
      </c>
      <c r="F320" s="73">
        <f>'F) Population'!K312</f>
        <v>27400</v>
      </c>
      <c r="G320" s="18">
        <f>'G) Solidarité'!I309</f>
        <v>92133.278205468407</v>
      </c>
      <c r="H320" s="25">
        <f t="shared" si="17"/>
        <v>119533.27820546841</v>
      </c>
      <c r="I320" s="98">
        <f t="shared" si="18"/>
        <v>24950.721794531593</v>
      </c>
    </row>
    <row r="321" spans="1:9" x14ac:dyDescent="0.25">
      <c r="A321" s="82">
        <f>'A) Base RI'!A312</f>
        <v>5925</v>
      </c>
      <c r="B321" s="62" t="str">
        <f>'A) Base RI'!B312</f>
        <v>Orzens</v>
      </c>
      <c r="C321" s="25">
        <f>'D) Ecrêtage'!N310</f>
        <v>5069.9973417721512</v>
      </c>
      <c r="D321" s="18">
        <f>'A) Base RI'!AN312</f>
        <v>197</v>
      </c>
      <c r="E321" s="25">
        <f t="shared" si="16"/>
        <v>94078</v>
      </c>
      <c r="F321" s="73">
        <f>'F) Population'!K313</f>
        <v>19700</v>
      </c>
      <c r="G321" s="18">
        <f>'G) Solidarité'!I310</f>
        <v>88609.396590027231</v>
      </c>
      <c r="H321" s="25">
        <f t="shared" si="17"/>
        <v>108309.39659002723</v>
      </c>
      <c r="I321" s="98">
        <f t="shared" si="18"/>
        <v>-14231.396590027231</v>
      </c>
    </row>
    <row r="322" spans="1:9" x14ac:dyDescent="0.25">
      <c r="A322" s="82">
        <f>'A) Base RI'!A313</f>
        <v>5926</v>
      </c>
      <c r="B322" s="62" t="str">
        <f>'A) Base RI'!B313</f>
        <v>Pomy</v>
      </c>
      <c r="C322" s="25">
        <f>'D) Ecrêtage'!N311</f>
        <v>22116.912816901407</v>
      </c>
      <c r="D322" s="18">
        <f>'A) Base RI'!AN313</f>
        <v>735</v>
      </c>
      <c r="E322" s="25">
        <f t="shared" si="16"/>
        <v>410399</v>
      </c>
      <c r="F322" s="73">
        <f>'F) Population'!K314</f>
        <v>73500</v>
      </c>
      <c r="G322" s="18">
        <f>'G) Solidarité'!I311</f>
        <v>202852.1452065451</v>
      </c>
      <c r="H322" s="25">
        <f t="shared" si="17"/>
        <v>276352.14520654513</v>
      </c>
      <c r="I322" s="98">
        <f t="shared" si="18"/>
        <v>134046.85479345487</v>
      </c>
    </row>
    <row r="323" spans="1:9" x14ac:dyDescent="0.25">
      <c r="A323" s="82">
        <f>'A) Base RI'!A314</f>
        <v>5928</v>
      </c>
      <c r="B323" s="62" t="str">
        <f>'A) Base RI'!B314</f>
        <v>Rovray</v>
      </c>
      <c r="C323" s="25">
        <f>'D) Ecrêtage'!N312</f>
        <v>4108.2366666666667</v>
      </c>
      <c r="D323" s="18">
        <f>'A) Base RI'!AN314</f>
        <v>165</v>
      </c>
      <c r="E323" s="25">
        <f t="shared" si="16"/>
        <v>76232</v>
      </c>
      <c r="F323" s="73">
        <f>'F) Population'!K315</f>
        <v>16500</v>
      </c>
      <c r="G323" s="18">
        <f>'G) Solidarité'!I312</f>
        <v>69982.868511251276</v>
      </c>
      <c r="H323" s="25">
        <f t="shared" si="17"/>
        <v>86482.868511251276</v>
      </c>
      <c r="I323" s="98">
        <f t="shared" si="18"/>
        <v>-10250.868511251276</v>
      </c>
    </row>
    <row r="324" spans="1:9" x14ac:dyDescent="0.25">
      <c r="A324" s="82">
        <f>'A) Base RI'!A315</f>
        <v>5929</v>
      </c>
      <c r="B324" s="62" t="str">
        <f>'A) Base RI'!B315</f>
        <v>Suchy</v>
      </c>
      <c r="C324" s="25">
        <f>'D) Ecrêtage'!N313</f>
        <v>16171.057696078431</v>
      </c>
      <c r="D324" s="18">
        <f>'A) Base RI'!AN315</f>
        <v>525</v>
      </c>
      <c r="E324" s="25">
        <f t="shared" si="16"/>
        <v>300068</v>
      </c>
      <c r="F324" s="73">
        <f>'F) Population'!K316</f>
        <v>52500</v>
      </c>
      <c r="G324" s="18">
        <f>'G) Solidarité'!I313</f>
        <v>126043.51502063478</v>
      </c>
      <c r="H324" s="25">
        <f t="shared" si="17"/>
        <v>178543.51502063478</v>
      </c>
      <c r="I324" s="98">
        <f t="shared" si="18"/>
        <v>121524.48497936522</v>
      </c>
    </row>
    <row r="325" spans="1:9" x14ac:dyDescent="0.25">
      <c r="A325" s="82">
        <f>'A) Base RI'!A316</f>
        <v>5930</v>
      </c>
      <c r="B325" s="62" t="str">
        <f>'A) Base RI'!B316</f>
        <v>Suscévaz</v>
      </c>
      <c r="C325" s="25">
        <f>'D) Ecrêtage'!N314</f>
        <v>4973.4774242424237</v>
      </c>
      <c r="D325" s="18">
        <f>'A) Base RI'!AN316</f>
        <v>199</v>
      </c>
      <c r="E325" s="25">
        <f t="shared" si="16"/>
        <v>92287</v>
      </c>
      <c r="F325" s="73">
        <f>'F) Population'!K317</f>
        <v>19900</v>
      </c>
      <c r="G325" s="18">
        <f>'G) Solidarité'!I314</f>
        <v>65038.226464680236</v>
      </c>
      <c r="H325" s="25">
        <f t="shared" si="17"/>
        <v>84938.226464680236</v>
      </c>
      <c r="I325" s="98">
        <f t="shared" si="18"/>
        <v>7348.7735353197641</v>
      </c>
    </row>
    <row r="326" spans="1:9" x14ac:dyDescent="0.25">
      <c r="A326" s="82">
        <f>'A) Base RI'!A317</f>
        <v>5931</v>
      </c>
      <c r="B326" s="62" t="str">
        <f>'A) Base RI'!B317</f>
        <v>Treycovagnes</v>
      </c>
      <c r="C326" s="25">
        <f>'D) Ecrêtage'!N315</f>
        <v>11474.723896103897</v>
      </c>
      <c r="D326" s="18">
        <f>'A) Base RI'!AN317</f>
        <v>471</v>
      </c>
      <c r="E326" s="25">
        <f t="shared" si="16"/>
        <v>212924</v>
      </c>
      <c r="F326" s="73">
        <f>'F) Population'!K318</f>
        <v>47100</v>
      </c>
      <c r="G326" s="18">
        <f>'G) Solidarité'!I315</f>
        <v>216518.46296249586</v>
      </c>
      <c r="H326" s="25">
        <f t="shared" si="17"/>
        <v>263618.46296249586</v>
      </c>
      <c r="I326" s="98">
        <f t="shared" si="18"/>
        <v>-50694.462962495862</v>
      </c>
    </row>
    <row r="327" spans="1:9" x14ac:dyDescent="0.25">
      <c r="A327" s="82">
        <f>'A) Base RI'!A318</f>
        <v>5932</v>
      </c>
      <c r="B327" s="62" t="str">
        <f>'A) Base RI'!B318</f>
        <v>Ursins</v>
      </c>
      <c r="C327" s="25">
        <f>'D) Ecrêtage'!N316</f>
        <v>5257.3797435897432</v>
      </c>
      <c r="D327" s="18">
        <f>'A) Base RI'!AN318</f>
        <v>208</v>
      </c>
      <c r="E327" s="25">
        <f t="shared" si="16"/>
        <v>97555</v>
      </c>
      <c r="F327" s="73">
        <f>'F) Population'!K319</f>
        <v>20800</v>
      </c>
      <c r="G327" s="18">
        <f>'G) Solidarité'!I316</f>
        <v>93519.75329779429</v>
      </c>
      <c r="H327" s="25">
        <f t="shared" si="17"/>
        <v>114319.75329779429</v>
      </c>
      <c r="I327" s="98">
        <f t="shared" si="18"/>
        <v>-16764.75329779429</v>
      </c>
    </row>
    <row r="328" spans="1:9" x14ac:dyDescent="0.25">
      <c r="A328" s="82">
        <f>'A) Base RI'!A319</f>
        <v>5933</v>
      </c>
      <c r="B328" s="62" t="str">
        <f>'A) Base RI'!B319</f>
        <v>Valeyres-sous-Montagny</v>
      </c>
      <c r="C328" s="25">
        <f>'D) Ecrêtage'!N317</f>
        <v>19712.293888888889</v>
      </c>
      <c r="D328" s="18">
        <f>'A) Base RI'!AN319</f>
        <v>642</v>
      </c>
      <c r="E328" s="25">
        <f t="shared" si="16"/>
        <v>365779</v>
      </c>
      <c r="F328" s="73">
        <f>'F) Population'!K320</f>
        <v>64200</v>
      </c>
      <c r="G328" s="18">
        <f>'G) Solidarité'!I317</f>
        <v>174090.61396793477</v>
      </c>
      <c r="H328" s="25">
        <f t="shared" si="17"/>
        <v>238290.61396793477</v>
      </c>
      <c r="I328" s="98">
        <f t="shared" si="18"/>
        <v>127488.38603206523</v>
      </c>
    </row>
    <row r="329" spans="1:9" x14ac:dyDescent="0.25">
      <c r="A329" s="82">
        <f>'A) Base RI'!A320</f>
        <v>5934</v>
      </c>
      <c r="B329" s="62" t="str">
        <f>'A) Base RI'!B320</f>
        <v>Valeyres-sous-Ursins</v>
      </c>
      <c r="C329" s="25">
        <f>'D) Ecrêtage'!N318</f>
        <v>5945.0260256410256</v>
      </c>
      <c r="D329" s="18">
        <f>'A) Base RI'!AN320</f>
        <v>241</v>
      </c>
      <c r="E329" s="25">
        <f t="shared" si="16"/>
        <v>110315</v>
      </c>
      <c r="F329" s="73">
        <f>'F) Population'!K321</f>
        <v>24100</v>
      </c>
      <c r="G329" s="18">
        <f>'G) Solidarité'!I318</f>
        <v>111901.121377699</v>
      </c>
      <c r="H329" s="25">
        <f t="shared" si="17"/>
        <v>136001.12137769902</v>
      </c>
      <c r="I329" s="98">
        <f t="shared" si="18"/>
        <v>-25686.121377699019</v>
      </c>
    </row>
    <row r="330" spans="1:9" x14ac:dyDescent="0.25">
      <c r="A330" s="82">
        <f>'A) Base RI'!A321</f>
        <v>5935</v>
      </c>
      <c r="B330" s="62" t="str">
        <f>'A) Base RI'!B321</f>
        <v>Villars-Epeney</v>
      </c>
      <c r="C330" s="25">
        <f>'D) Ecrêtage'!N319</f>
        <v>3981.1370000000011</v>
      </c>
      <c r="D330" s="18">
        <f>'A) Base RI'!AN321</f>
        <v>89</v>
      </c>
      <c r="E330" s="25">
        <f t="shared" si="16"/>
        <v>73874</v>
      </c>
      <c r="F330" s="73">
        <f>'F) Population'!K322</f>
        <v>8900</v>
      </c>
      <c r="G330" s="18">
        <f>'G) Solidarité'!I319</f>
        <v>0</v>
      </c>
      <c r="H330" s="25">
        <f t="shared" si="17"/>
        <v>8900</v>
      </c>
      <c r="I330" s="98">
        <f t="shared" si="18"/>
        <v>64974</v>
      </c>
    </row>
    <row r="331" spans="1:9" x14ac:dyDescent="0.25">
      <c r="A331" s="82">
        <f>'A) Base RI'!A322</f>
        <v>5937</v>
      </c>
      <c r="B331" s="62" t="str">
        <f>'A) Base RI'!B322</f>
        <v>Vugelles-La Mothe</v>
      </c>
      <c r="C331" s="25">
        <f>'D) Ecrêtage'!N320</f>
        <v>2078.5690612244898</v>
      </c>
      <c r="D331" s="18">
        <f>'A) Base RI'!AN322</f>
        <v>137</v>
      </c>
      <c r="E331" s="25">
        <f t="shared" si="16"/>
        <v>38570</v>
      </c>
      <c r="F331" s="73">
        <f>'F) Population'!K323</f>
        <v>13700</v>
      </c>
      <c r="G331" s="18">
        <f>'G) Solidarité'!I320</f>
        <v>76587.716132511516</v>
      </c>
      <c r="H331" s="25">
        <f t="shared" si="17"/>
        <v>90287.716132511516</v>
      </c>
      <c r="I331" s="98">
        <f t="shared" si="18"/>
        <v>-51717.716132511516</v>
      </c>
    </row>
    <row r="332" spans="1:9" x14ac:dyDescent="0.25">
      <c r="A332" s="82">
        <f>'A) Base RI'!A323</f>
        <v>5938</v>
      </c>
      <c r="B332" s="62" t="str">
        <f>'A) Base RI'!B323</f>
        <v>Yverdon-les-Bains</v>
      </c>
      <c r="C332" s="25">
        <f>'D) Ecrêtage'!N321</f>
        <v>756903.16758169921</v>
      </c>
      <c r="D332" s="18">
        <f>'A) Base RI'!AN323</f>
        <v>28972</v>
      </c>
      <c r="E332" s="25">
        <f t="shared" si="16"/>
        <v>14045013</v>
      </c>
      <c r="F332" s="73">
        <f>'F) Population'!K324</f>
        <v>24420600</v>
      </c>
      <c r="G332" s="18">
        <f>'G) Solidarité'!I321</f>
        <v>11957162.776823524</v>
      </c>
      <c r="H332" s="25">
        <f t="shared" si="17"/>
        <v>36377762.776823521</v>
      </c>
      <c r="I332" s="98">
        <f t="shared" si="18"/>
        <v>-22332749.776823521</v>
      </c>
    </row>
    <row r="333" spans="1:9" x14ac:dyDescent="0.25">
      <c r="A333" s="82">
        <f>'A) Base RI'!A324</f>
        <v>5939</v>
      </c>
      <c r="B333" s="62" t="str">
        <f>'A) Base RI'!B324</f>
        <v>Yvonand</v>
      </c>
      <c r="C333" s="127">
        <f>'D) Ecrêtage'!N322</f>
        <v>81342.881095890421</v>
      </c>
      <c r="D333" s="43">
        <f>'A) Base RI'!AN324</f>
        <v>3095</v>
      </c>
      <c r="E333" s="127">
        <f t="shared" si="16"/>
        <v>1509390</v>
      </c>
      <c r="F333" s="126">
        <f>'F) Population'!K325</f>
        <v>847500</v>
      </c>
      <c r="G333" s="43">
        <f>'G) Solidarité'!I322</f>
        <v>1152863.7123623926</v>
      </c>
      <c r="H333" s="127">
        <f t="shared" si="17"/>
        <v>2000363.7123623926</v>
      </c>
      <c r="I333" s="98">
        <f t="shared" si="18"/>
        <v>-490973.71236239257</v>
      </c>
    </row>
    <row r="334" spans="1:9" x14ac:dyDescent="0.25">
      <c r="A334" s="60"/>
      <c r="B334" s="213">
        <f>COUNTA(B16:B333)</f>
        <v>318</v>
      </c>
      <c r="C334" s="214">
        <f>SUM(C16:C333)</f>
        <v>33127335.331169713</v>
      </c>
      <c r="D334" s="126">
        <f>SUM(D16:D333)</f>
        <v>755369</v>
      </c>
      <c r="E334" s="21">
        <f>ROUND(C334*E$15,0)</f>
        <v>614707254</v>
      </c>
      <c r="F334" s="126">
        <f>SUM(F16:F333)</f>
        <v>390561350</v>
      </c>
      <c r="G334" s="126">
        <f>SUM(G16:G333)</f>
        <v>97654743.509126708</v>
      </c>
      <c r="H334" s="128">
        <f>F334+G334</f>
        <v>488216093.50912672</v>
      </c>
      <c r="I334" s="67">
        <f>E334-H334</f>
        <v>126491160.49087328</v>
      </c>
    </row>
    <row r="335" spans="1:9" x14ac:dyDescent="0.25">
      <c r="C335" s="130"/>
      <c r="D335" s="130"/>
    </row>
    <row r="336" spans="1:9" x14ac:dyDescent="0.25">
      <c r="C336" s="209"/>
      <c r="D336" s="209"/>
      <c r="F336" s="23"/>
    </row>
    <row r="337" spans="3:9" x14ac:dyDescent="0.25">
      <c r="G337" s="23"/>
    </row>
    <row r="339" spans="3:9" x14ac:dyDescent="0.25">
      <c r="F339" s="23"/>
    </row>
    <row r="340" spans="3:9" x14ac:dyDescent="0.25">
      <c r="F340" s="23"/>
    </row>
    <row r="342" spans="3:9" x14ac:dyDescent="0.25">
      <c r="F342" s="189"/>
      <c r="G342" s="189"/>
      <c r="H342" s="189"/>
      <c r="I342" s="189"/>
    </row>
    <row r="343" spans="3:9" x14ac:dyDescent="0.25">
      <c r="E343" s="189"/>
      <c r="F343" s="189"/>
      <c r="G343" s="189"/>
      <c r="H343" s="189"/>
      <c r="I343" s="189"/>
    </row>
    <row r="344" spans="3:9" x14ac:dyDescent="0.25">
      <c r="E344" s="210"/>
      <c r="F344" s="210"/>
      <c r="G344" s="210"/>
      <c r="H344" s="210"/>
      <c r="I344" s="210"/>
    </row>
    <row r="351" spans="3:9" x14ac:dyDescent="0.25">
      <c r="C351" s="81"/>
    </row>
    <row r="352" spans="3:9" x14ac:dyDescent="0.25">
      <c r="C352" s="81"/>
    </row>
    <row r="353" spans="3:3" x14ac:dyDescent="0.25">
      <c r="C353" s="81"/>
    </row>
  </sheetData>
  <sheetProtection sheet="1" objects="1" scenarios="1"/>
  <mergeCells count="4">
    <mergeCell ref="D14:D15"/>
    <mergeCell ref="C14:C15"/>
    <mergeCell ref="B14:B15"/>
    <mergeCell ref="A14:A15"/>
  </mergeCells>
  <phoneticPr fontId="6" type="noConversion"/>
  <pageMargins left="0.25" right="0.25" top="0.75" bottom="0.75" header="0.3" footer="0.3"/>
  <pageSetup paperSize="9" orientation="landscape" horizontalDpi="4294967292" vertic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328"/>
  <sheetViews>
    <sheetView workbookViewId="0"/>
  </sheetViews>
  <sheetFormatPr baseColWidth="10" defaultColWidth="10.75" defaultRowHeight="15" x14ac:dyDescent="0.25"/>
  <cols>
    <col min="1" max="1" width="7.25" style="24" customWidth="1"/>
    <col min="2" max="2" width="18" style="24" customWidth="1"/>
    <col min="3" max="3" width="9.875" style="24" bestFit="1" customWidth="1"/>
    <col min="4" max="5" width="10.75" style="24" bestFit="1" customWidth="1"/>
    <col min="6" max="6" width="9.875" style="24" bestFit="1" customWidth="1"/>
    <col min="7" max="8" width="10.75" style="24" bestFit="1" customWidth="1"/>
    <col min="9" max="9" width="13" style="24" bestFit="1" customWidth="1"/>
    <col min="10" max="10" width="12.125" style="24" customWidth="1"/>
    <col min="11" max="11" width="10" style="24" customWidth="1"/>
    <col min="12" max="12" width="11.375" style="24" customWidth="1"/>
    <col min="13" max="14" width="12.5" style="24" customWidth="1"/>
    <col min="15" max="15" width="12.875" style="24" customWidth="1"/>
    <col min="16" max="16" width="10" style="24" customWidth="1"/>
    <col min="17" max="17" width="8.125" style="24" customWidth="1"/>
    <col min="18" max="18" width="10.75" style="24"/>
    <col min="19" max="20" width="11.625" style="24" bestFit="1" customWidth="1"/>
    <col min="21" max="22" width="10.75" style="24"/>
    <col min="23" max="23" width="5" style="24" customWidth="1"/>
    <col min="24" max="24" width="10.75" style="24"/>
    <col min="25" max="25" width="3.25" style="24" bestFit="1" customWidth="1"/>
    <col min="26" max="16384" width="10.75" style="24"/>
  </cols>
  <sheetData>
    <row r="1" spans="1:29" s="75" customFormat="1" ht="20.25" customHeight="1" x14ac:dyDescent="0.25">
      <c r="A1" s="86" t="s">
        <v>175</v>
      </c>
      <c r="B1" s="74"/>
      <c r="C1" s="123"/>
      <c r="D1" s="123"/>
      <c r="E1" s="123"/>
      <c r="F1" s="123"/>
      <c r="G1" s="123"/>
      <c r="H1" s="123"/>
      <c r="I1" s="123"/>
      <c r="J1" s="123"/>
      <c r="K1" s="101"/>
      <c r="M1" s="101"/>
      <c r="Q1" s="24"/>
    </row>
    <row r="3" spans="1:29" ht="60" customHeight="1" x14ac:dyDescent="0.25">
      <c r="A3" s="435" t="s">
        <v>53</v>
      </c>
      <c r="B3" s="435" t="s">
        <v>123</v>
      </c>
      <c r="C3" s="435" t="s">
        <v>489</v>
      </c>
      <c r="D3" s="435" t="s">
        <v>376</v>
      </c>
      <c r="E3" s="435" t="s">
        <v>377</v>
      </c>
      <c r="F3" s="454" t="s">
        <v>378</v>
      </c>
      <c r="G3" s="435" t="s">
        <v>348</v>
      </c>
      <c r="H3" s="462" t="s">
        <v>51</v>
      </c>
      <c r="I3" s="109" t="s">
        <v>349</v>
      </c>
      <c r="J3" s="109" t="s">
        <v>251</v>
      </c>
      <c r="K3" s="452" t="s">
        <v>252</v>
      </c>
      <c r="L3" s="435" t="s">
        <v>52</v>
      </c>
      <c r="M3" s="109" t="s">
        <v>253</v>
      </c>
      <c r="N3" s="109" t="s">
        <v>251</v>
      </c>
      <c r="O3" s="227" t="s">
        <v>416</v>
      </c>
      <c r="P3" s="109" t="s">
        <v>416</v>
      </c>
    </row>
    <row r="4" spans="1:29" x14ac:dyDescent="0.25">
      <c r="A4" s="436"/>
      <c r="B4" s="436"/>
      <c r="C4" s="436"/>
      <c r="D4" s="436"/>
      <c r="E4" s="436"/>
      <c r="F4" s="455"/>
      <c r="G4" s="436"/>
      <c r="H4" s="463"/>
      <c r="I4" s="110">
        <v>8</v>
      </c>
      <c r="J4" s="230">
        <f>+Paramètres!C37</f>
        <v>0.71905161230464676</v>
      </c>
      <c r="K4" s="453"/>
      <c r="L4" s="437"/>
      <c r="M4" s="110">
        <v>1</v>
      </c>
      <c r="N4" s="230">
        <f>+Paramètres!C38</f>
        <v>0.71905161230464676</v>
      </c>
      <c r="O4" s="228" t="s">
        <v>527</v>
      </c>
      <c r="P4" s="177" t="s">
        <v>528</v>
      </c>
    </row>
    <row r="5" spans="1:29" x14ac:dyDescent="0.25">
      <c r="A5" s="178">
        <f>'A) Base RI'!A7</f>
        <v>5401</v>
      </c>
      <c r="B5" s="79" t="str">
        <f>'A) Base RI'!B7</f>
        <v>Aigle</v>
      </c>
      <c r="C5" s="61">
        <f>'D) Ecrêtage'!N5</f>
        <v>256314.41797530872</v>
      </c>
      <c r="D5" s="149">
        <v>3708326</v>
      </c>
      <c r="E5" s="90">
        <v>1152158</v>
      </c>
      <c r="F5" s="124">
        <v>22941</v>
      </c>
      <c r="G5" s="90">
        <f>D5+E5+F5</f>
        <v>4883425</v>
      </c>
      <c r="H5" s="149">
        <f>ROUND(C5*I$4,0)</f>
        <v>2050515</v>
      </c>
      <c r="I5" s="18">
        <f>IF(G5&gt;H5,G5-H5,0)</f>
        <v>2832910</v>
      </c>
      <c r="J5" s="4">
        <f>ROUND(-I5*J$4,0)</f>
        <v>-2037009</v>
      </c>
      <c r="K5" s="125">
        <v>367409</v>
      </c>
      <c r="L5" s="90">
        <f>ROUND(C5*M$4,0)</f>
        <v>256314</v>
      </c>
      <c r="M5" s="149">
        <f>IF(K5&gt;L5,K5-L5,0)</f>
        <v>111095</v>
      </c>
      <c r="N5" s="231">
        <f t="shared" ref="N5:N60" si="0">ROUND(-M5*N$4,0)</f>
        <v>-79883</v>
      </c>
      <c r="O5" s="232">
        <f>N5+J5</f>
        <v>-2116892</v>
      </c>
      <c r="P5" s="219">
        <f>O5/C5</f>
        <v>-8.2589657527729265</v>
      </c>
      <c r="Q5" s="220"/>
      <c r="R5" s="220"/>
      <c r="S5" s="221"/>
      <c r="T5" s="221"/>
      <c r="U5" s="221"/>
      <c r="V5" s="221"/>
      <c r="Z5" s="23"/>
      <c r="AA5" s="23"/>
      <c r="AB5" s="23"/>
      <c r="AC5" s="23"/>
    </row>
    <row r="6" spans="1:29" x14ac:dyDescent="0.25">
      <c r="A6" s="222">
        <f>'A) Base RI'!A8</f>
        <v>5402</v>
      </c>
      <c r="B6" s="62" t="str">
        <f>'A) Base RI'!B8</f>
        <v>Bex</v>
      </c>
      <c r="C6" s="61">
        <f>'D) Ecrêtage'!N6</f>
        <v>163724.47859154927</v>
      </c>
      <c r="D6" s="61">
        <v>3141708</v>
      </c>
      <c r="E6" s="18">
        <v>560512</v>
      </c>
      <c r="F6" s="73">
        <v>278467</v>
      </c>
      <c r="G6" s="18">
        <f t="shared" ref="G6:G60" si="1">D6+E6+F6</f>
        <v>3980687</v>
      </c>
      <c r="H6" s="61">
        <f t="shared" ref="H6:H60" si="2">ROUND(C6*I$4,0)</f>
        <v>1309796</v>
      </c>
      <c r="I6" s="18">
        <f t="shared" ref="I6:I60" si="3">IF(G6&gt;H6,G6-H6,0)</f>
        <v>2670891</v>
      </c>
      <c r="J6" s="4">
        <f t="shared" ref="J6:J60" si="4">ROUND(-I6*J$4,0)</f>
        <v>-1920508</v>
      </c>
      <c r="K6" s="25">
        <v>235530</v>
      </c>
      <c r="L6" s="18">
        <f t="shared" ref="L6:L69" si="5">ROUND(C6*M$4,0)</f>
        <v>163724</v>
      </c>
      <c r="M6" s="61">
        <f t="shared" ref="M6:M60" si="6">IF(K6&gt;L6,K6-L6,0)</f>
        <v>71806</v>
      </c>
      <c r="N6" s="4">
        <f t="shared" si="0"/>
        <v>-51632</v>
      </c>
      <c r="O6" s="233">
        <f t="shared" ref="O6:O60" si="7">N6+J6</f>
        <v>-1972140</v>
      </c>
      <c r="P6" s="223">
        <f t="shared" ref="P6:P60" si="8">O6/C6</f>
        <v>-12.045480412980794</v>
      </c>
      <c r="Q6" s="220"/>
      <c r="R6" s="220"/>
      <c r="S6" s="221"/>
      <c r="T6" s="221"/>
      <c r="U6" s="221"/>
      <c r="V6" s="221"/>
      <c r="Z6" s="23"/>
      <c r="AA6" s="23"/>
      <c r="AB6" s="23"/>
      <c r="AC6" s="23"/>
    </row>
    <row r="7" spans="1:29" x14ac:dyDescent="0.25">
      <c r="A7" s="222">
        <f>'A) Base RI'!A9</f>
        <v>5403</v>
      </c>
      <c r="B7" s="62" t="str">
        <f>'A) Base RI'!B9</f>
        <v>Chessel</v>
      </c>
      <c r="C7" s="61">
        <f>'D) Ecrêtage'!N7</f>
        <v>7826.6322368421061</v>
      </c>
      <c r="D7" s="61">
        <v>50249</v>
      </c>
      <c r="E7" s="18">
        <v>13840</v>
      </c>
      <c r="F7" s="73">
        <v>0</v>
      </c>
      <c r="G7" s="18">
        <f t="shared" si="1"/>
        <v>64089</v>
      </c>
      <c r="H7" s="61">
        <f t="shared" si="2"/>
        <v>62613</v>
      </c>
      <c r="I7" s="18">
        <f t="shared" si="3"/>
        <v>1476</v>
      </c>
      <c r="J7" s="4">
        <f t="shared" si="4"/>
        <v>-1061</v>
      </c>
      <c r="K7" s="25">
        <v>56414</v>
      </c>
      <c r="L7" s="18">
        <f t="shared" si="5"/>
        <v>7827</v>
      </c>
      <c r="M7" s="61">
        <f t="shared" si="6"/>
        <v>48587</v>
      </c>
      <c r="N7" s="4">
        <f t="shared" si="0"/>
        <v>-34937</v>
      </c>
      <c r="O7" s="233">
        <f t="shared" si="7"/>
        <v>-35998</v>
      </c>
      <c r="P7" s="223">
        <f t="shared" si="8"/>
        <v>-4.5994239809234339</v>
      </c>
      <c r="Q7" s="224"/>
      <c r="R7" s="224"/>
      <c r="S7" s="225"/>
      <c r="T7" s="225"/>
      <c r="U7" s="225"/>
      <c r="V7" s="225"/>
      <c r="Z7" s="23"/>
      <c r="AA7" s="23"/>
      <c r="AB7" s="23"/>
      <c r="AC7" s="23"/>
    </row>
    <row r="8" spans="1:29" x14ac:dyDescent="0.25">
      <c r="A8" s="222">
        <f>'A) Base RI'!A10</f>
        <v>5404</v>
      </c>
      <c r="B8" s="62" t="str">
        <f>'A) Base RI'!B10</f>
        <v>Corbeyrier</v>
      </c>
      <c r="C8" s="61">
        <f>'D) Ecrêtage'!N8</f>
        <v>8762.5650952380947</v>
      </c>
      <c r="D8" s="61">
        <v>301894</v>
      </c>
      <c r="E8" s="18">
        <v>15416</v>
      </c>
      <c r="F8" s="73">
        <v>27569</v>
      </c>
      <c r="G8" s="18">
        <f t="shared" si="1"/>
        <v>344879</v>
      </c>
      <c r="H8" s="61">
        <f t="shared" si="2"/>
        <v>70101</v>
      </c>
      <c r="I8" s="18">
        <f t="shared" si="3"/>
        <v>274778</v>
      </c>
      <c r="J8" s="4">
        <f t="shared" si="4"/>
        <v>-197580</v>
      </c>
      <c r="K8" s="25">
        <v>37585</v>
      </c>
      <c r="L8" s="18">
        <f t="shared" si="5"/>
        <v>8763</v>
      </c>
      <c r="M8" s="61">
        <f t="shared" si="6"/>
        <v>28822</v>
      </c>
      <c r="N8" s="4">
        <f t="shared" si="0"/>
        <v>-20725</v>
      </c>
      <c r="O8" s="233">
        <f t="shared" si="7"/>
        <v>-218305</v>
      </c>
      <c r="P8" s="223">
        <f t="shared" si="8"/>
        <v>-24.913366990977917</v>
      </c>
      <c r="Q8" s="224"/>
      <c r="R8" s="224"/>
      <c r="S8" s="225"/>
      <c r="T8" s="225"/>
      <c r="U8" s="225"/>
      <c r="V8" s="225"/>
      <c r="Z8" s="23"/>
      <c r="AA8" s="23"/>
      <c r="AB8" s="23"/>
      <c r="AC8" s="23"/>
    </row>
    <row r="9" spans="1:29" x14ac:dyDescent="0.25">
      <c r="A9" s="222">
        <f>'A) Base RI'!A11</f>
        <v>5405</v>
      </c>
      <c r="B9" s="62" t="str">
        <f>'A) Base RI'!B11</f>
        <v>Gryon</v>
      </c>
      <c r="C9" s="61">
        <f>'D) Ecrêtage'!N9</f>
        <v>67187.701777777766</v>
      </c>
      <c r="D9" s="61">
        <v>1222043</v>
      </c>
      <c r="E9" s="18">
        <v>145470</v>
      </c>
      <c r="F9" s="73">
        <v>28397</v>
      </c>
      <c r="G9" s="18">
        <f t="shared" si="1"/>
        <v>1395910</v>
      </c>
      <c r="H9" s="61">
        <f t="shared" si="2"/>
        <v>537502</v>
      </c>
      <c r="I9" s="18">
        <f t="shared" si="3"/>
        <v>858408</v>
      </c>
      <c r="J9" s="4">
        <f t="shared" si="4"/>
        <v>-617240</v>
      </c>
      <c r="K9" s="25">
        <v>-18681</v>
      </c>
      <c r="L9" s="18">
        <f t="shared" si="5"/>
        <v>67188</v>
      </c>
      <c r="M9" s="61">
        <f t="shared" si="6"/>
        <v>0</v>
      </c>
      <c r="N9" s="4">
        <f t="shared" si="0"/>
        <v>0</v>
      </c>
      <c r="O9" s="233">
        <f t="shared" si="7"/>
        <v>-617240</v>
      </c>
      <c r="P9" s="223">
        <f t="shared" si="8"/>
        <v>-9.186800317140051</v>
      </c>
      <c r="Q9" s="224"/>
      <c r="R9" s="224"/>
      <c r="S9" s="225"/>
      <c r="T9" s="225"/>
      <c r="U9" s="225"/>
      <c r="V9" s="225"/>
      <c r="Z9" s="23"/>
      <c r="AA9" s="23"/>
      <c r="AB9" s="23"/>
      <c r="AC9" s="23"/>
    </row>
    <row r="10" spans="1:29" x14ac:dyDescent="0.25">
      <c r="A10" s="222">
        <f>'A) Base RI'!A12</f>
        <v>5406</v>
      </c>
      <c r="B10" s="62" t="str">
        <f>'A) Base RI'!B12</f>
        <v>Lavey-Morcles</v>
      </c>
      <c r="C10" s="61">
        <f>'D) Ecrêtage'!N10</f>
        <v>19209.951419284946</v>
      </c>
      <c r="D10" s="61">
        <v>206449</v>
      </c>
      <c r="E10" s="18">
        <v>33792</v>
      </c>
      <c r="F10" s="73">
        <v>25416</v>
      </c>
      <c r="G10" s="18">
        <f t="shared" si="1"/>
        <v>265657</v>
      </c>
      <c r="H10" s="61">
        <f t="shared" si="2"/>
        <v>153680</v>
      </c>
      <c r="I10" s="18">
        <f t="shared" si="3"/>
        <v>111977</v>
      </c>
      <c r="J10" s="4">
        <f t="shared" si="4"/>
        <v>-80517</v>
      </c>
      <c r="K10" s="25">
        <v>18460</v>
      </c>
      <c r="L10" s="18">
        <f t="shared" si="5"/>
        <v>19210</v>
      </c>
      <c r="M10" s="61">
        <f t="shared" si="6"/>
        <v>0</v>
      </c>
      <c r="N10" s="4">
        <f t="shared" si="0"/>
        <v>0</v>
      </c>
      <c r="O10" s="233">
        <f t="shared" si="7"/>
        <v>-80517</v>
      </c>
      <c r="P10" s="223">
        <f t="shared" si="8"/>
        <v>-4.1914213233859963</v>
      </c>
      <c r="Q10" s="224"/>
      <c r="R10" s="224"/>
      <c r="S10" s="225"/>
      <c r="T10" s="225"/>
      <c r="U10" s="225"/>
      <c r="V10" s="225"/>
      <c r="Z10" s="23"/>
      <c r="AA10" s="23"/>
      <c r="AB10" s="23"/>
      <c r="AC10" s="23"/>
    </row>
    <row r="11" spans="1:29" x14ac:dyDescent="0.25">
      <c r="A11" s="222">
        <f>'A) Base RI'!A13</f>
        <v>5407</v>
      </c>
      <c r="B11" s="62" t="str">
        <f>'A) Base RI'!B13</f>
        <v>Leysin</v>
      </c>
      <c r="C11" s="61">
        <f>'D) Ecrêtage'!N11</f>
        <v>99721.08303418805</v>
      </c>
      <c r="D11" s="61">
        <v>2662405</v>
      </c>
      <c r="E11" s="18">
        <v>695698</v>
      </c>
      <c r="F11" s="73">
        <v>243940</v>
      </c>
      <c r="G11" s="18">
        <f t="shared" si="1"/>
        <v>3602043</v>
      </c>
      <c r="H11" s="61">
        <f t="shared" si="2"/>
        <v>797769</v>
      </c>
      <c r="I11" s="18">
        <f t="shared" si="3"/>
        <v>2804274</v>
      </c>
      <c r="J11" s="4">
        <f t="shared" si="4"/>
        <v>-2016418</v>
      </c>
      <c r="K11" s="25">
        <v>136768</v>
      </c>
      <c r="L11" s="18">
        <f t="shared" si="5"/>
        <v>99721</v>
      </c>
      <c r="M11" s="61">
        <f t="shared" si="6"/>
        <v>37047</v>
      </c>
      <c r="N11" s="4">
        <f t="shared" si="0"/>
        <v>-26639</v>
      </c>
      <c r="O11" s="233">
        <f t="shared" si="7"/>
        <v>-2043057</v>
      </c>
      <c r="P11" s="223">
        <f t="shared" si="8"/>
        <v>-20.487713709442616</v>
      </c>
      <c r="Q11" s="224"/>
      <c r="R11" s="224"/>
      <c r="S11" s="225"/>
      <c r="T11" s="225"/>
      <c r="U11" s="225"/>
      <c r="V11" s="225"/>
      <c r="Z11" s="23"/>
      <c r="AA11" s="23"/>
      <c r="AB11" s="23"/>
      <c r="AC11" s="23"/>
    </row>
    <row r="12" spans="1:29" x14ac:dyDescent="0.25">
      <c r="A12" s="222">
        <f>'A) Base RI'!A14</f>
        <v>5408</v>
      </c>
      <c r="B12" s="62" t="str">
        <f>'A) Base RI'!B14</f>
        <v>Noville</v>
      </c>
      <c r="C12" s="61">
        <f>'D) Ecrêtage'!N12</f>
        <v>27782.072271762208</v>
      </c>
      <c r="D12" s="61">
        <v>392347</v>
      </c>
      <c r="E12" s="18">
        <v>34869</v>
      </c>
      <c r="F12" s="73">
        <v>32170</v>
      </c>
      <c r="G12" s="18">
        <f t="shared" si="1"/>
        <v>459386</v>
      </c>
      <c r="H12" s="61">
        <f t="shared" si="2"/>
        <v>222257</v>
      </c>
      <c r="I12" s="18">
        <f t="shared" si="3"/>
        <v>237129</v>
      </c>
      <c r="J12" s="4">
        <f t="shared" si="4"/>
        <v>-170508</v>
      </c>
      <c r="K12" s="25">
        <v>58146</v>
      </c>
      <c r="L12" s="18">
        <f t="shared" si="5"/>
        <v>27782</v>
      </c>
      <c r="M12" s="61">
        <f t="shared" si="6"/>
        <v>30364</v>
      </c>
      <c r="N12" s="4">
        <f t="shared" si="0"/>
        <v>-21833</v>
      </c>
      <c r="O12" s="233">
        <f t="shared" si="7"/>
        <v>-192341</v>
      </c>
      <c r="P12" s="223">
        <f t="shared" si="8"/>
        <v>-6.9232056600578362</v>
      </c>
      <c r="Q12" s="224"/>
      <c r="R12" s="224"/>
      <c r="S12" s="225"/>
      <c r="T12" s="225"/>
      <c r="U12" s="225"/>
      <c r="V12" s="225"/>
      <c r="Z12" s="23"/>
      <c r="AA12" s="23"/>
      <c r="AB12" s="23"/>
      <c r="AC12" s="23"/>
    </row>
    <row r="13" spans="1:29" x14ac:dyDescent="0.25">
      <c r="A13" s="222">
        <f>'A) Base RI'!A15</f>
        <v>5409</v>
      </c>
      <c r="B13" s="62" t="str">
        <f>'A) Base RI'!B15</f>
        <v>Ollon</v>
      </c>
      <c r="C13" s="61">
        <f>'D) Ecrêtage'!N13</f>
        <v>373016.06252262433</v>
      </c>
      <c r="D13" s="61">
        <v>4114411</v>
      </c>
      <c r="E13" s="18">
        <v>694022</v>
      </c>
      <c r="F13" s="73">
        <v>638172</v>
      </c>
      <c r="G13" s="18">
        <f t="shared" si="1"/>
        <v>5446605</v>
      </c>
      <c r="H13" s="61">
        <f t="shared" si="2"/>
        <v>2984129</v>
      </c>
      <c r="I13" s="18">
        <f t="shared" si="3"/>
        <v>2462476</v>
      </c>
      <c r="J13" s="4">
        <f t="shared" si="4"/>
        <v>-1770647</v>
      </c>
      <c r="K13" s="25">
        <v>303503</v>
      </c>
      <c r="L13" s="18">
        <f t="shared" si="5"/>
        <v>373016</v>
      </c>
      <c r="M13" s="61">
        <f t="shared" si="6"/>
        <v>0</v>
      </c>
      <c r="N13" s="4">
        <f t="shared" si="0"/>
        <v>0</v>
      </c>
      <c r="O13" s="233">
        <f t="shared" si="7"/>
        <v>-1770647</v>
      </c>
      <c r="P13" s="223">
        <f t="shared" si="8"/>
        <v>-4.7468384820361615</v>
      </c>
      <c r="Q13" s="224"/>
      <c r="R13" s="224"/>
      <c r="S13" s="225"/>
      <c r="T13" s="225"/>
      <c r="U13" s="225"/>
      <c r="V13" s="225"/>
      <c r="Z13" s="23"/>
      <c r="AA13" s="23"/>
      <c r="AB13" s="23"/>
      <c r="AC13" s="23"/>
    </row>
    <row r="14" spans="1:29" x14ac:dyDescent="0.25">
      <c r="A14" s="222">
        <f>'A) Base RI'!A16</f>
        <v>5410</v>
      </c>
      <c r="B14" s="62" t="str">
        <f>'A) Base RI'!B16</f>
        <v>Ormont-Dessous</v>
      </c>
      <c r="C14" s="61">
        <f>'D) Ecrêtage'!N14</f>
        <v>31634.392526539275</v>
      </c>
      <c r="D14" s="61">
        <v>1179533</v>
      </c>
      <c r="E14" s="18">
        <v>79041</v>
      </c>
      <c r="F14" s="73">
        <v>75829</v>
      </c>
      <c r="G14" s="18">
        <f t="shared" si="1"/>
        <v>1334403</v>
      </c>
      <c r="H14" s="61">
        <f t="shared" si="2"/>
        <v>253075</v>
      </c>
      <c r="I14" s="18">
        <f t="shared" si="3"/>
        <v>1081328</v>
      </c>
      <c r="J14" s="4">
        <f t="shared" si="4"/>
        <v>-777531</v>
      </c>
      <c r="K14" s="25">
        <v>67050</v>
      </c>
      <c r="L14" s="18">
        <f t="shared" si="5"/>
        <v>31634</v>
      </c>
      <c r="M14" s="61">
        <f t="shared" si="6"/>
        <v>35416</v>
      </c>
      <c r="N14" s="4">
        <f t="shared" si="0"/>
        <v>-25466</v>
      </c>
      <c r="O14" s="233">
        <f t="shared" si="7"/>
        <v>-802997</v>
      </c>
      <c r="P14" s="223">
        <f t="shared" si="8"/>
        <v>-25.383670615022424</v>
      </c>
      <c r="Q14" s="224"/>
      <c r="R14" s="224"/>
      <c r="S14" s="225"/>
      <c r="T14" s="225"/>
      <c r="U14" s="225"/>
      <c r="V14" s="225"/>
      <c r="Z14" s="23"/>
      <c r="AA14" s="23"/>
      <c r="AB14" s="23"/>
      <c r="AC14" s="23"/>
    </row>
    <row r="15" spans="1:29" x14ac:dyDescent="0.25">
      <c r="A15" s="222">
        <f>'A) Base RI'!A17</f>
        <v>5411</v>
      </c>
      <c r="B15" s="62" t="str">
        <f>'A) Base RI'!B17</f>
        <v>Ormont-Dessus</v>
      </c>
      <c r="C15" s="61">
        <f>'D) Ecrêtage'!N15</f>
        <v>68022.060675675675</v>
      </c>
      <c r="D15" s="61">
        <v>1520056</v>
      </c>
      <c r="E15" s="18">
        <v>162078</v>
      </c>
      <c r="F15" s="73">
        <v>77861</v>
      </c>
      <c r="G15" s="18">
        <f t="shared" si="1"/>
        <v>1759995</v>
      </c>
      <c r="H15" s="61">
        <f t="shared" si="2"/>
        <v>544176</v>
      </c>
      <c r="I15" s="18">
        <f t="shared" si="3"/>
        <v>1215819</v>
      </c>
      <c r="J15" s="4">
        <f t="shared" si="4"/>
        <v>-874237</v>
      </c>
      <c r="K15" s="25">
        <v>164455</v>
      </c>
      <c r="L15" s="18">
        <f t="shared" si="5"/>
        <v>68022</v>
      </c>
      <c r="M15" s="61">
        <f t="shared" si="6"/>
        <v>96433</v>
      </c>
      <c r="N15" s="4">
        <f t="shared" si="0"/>
        <v>-69340</v>
      </c>
      <c r="O15" s="233">
        <f t="shared" si="7"/>
        <v>-943577</v>
      </c>
      <c r="P15" s="223">
        <f t="shared" si="8"/>
        <v>-13.87163209445988</v>
      </c>
      <c r="Q15" s="224"/>
      <c r="R15" s="224"/>
      <c r="S15" s="225"/>
      <c r="T15" s="225"/>
      <c r="U15" s="225"/>
      <c r="V15" s="225"/>
      <c r="Z15" s="23"/>
      <c r="AA15" s="23"/>
      <c r="AB15" s="23"/>
      <c r="AC15" s="23"/>
    </row>
    <row r="16" spans="1:29" x14ac:dyDescent="0.25">
      <c r="A16" s="222">
        <f>'A) Base RI'!A18</f>
        <v>5412</v>
      </c>
      <c r="B16" s="62" t="str">
        <f>'A) Base RI'!B18</f>
        <v>Rennaz</v>
      </c>
      <c r="C16" s="61">
        <f>'D) Ecrêtage'!N16</f>
        <v>24549.662992125981</v>
      </c>
      <c r="D16" s="61">
        <v>200644</v>
      </c>
      <c r="E16" s="18">
        <v>29871</v>
      </c>
      <c r="F16" s="73">
        <v>30060</v>
      </c>
      <c r="G16" s="18">
        <f t="shared" si="1"/>
        <v>260575</v>
      </c>
      <c r="H16" s="61">
        <f t="shared" si="2"/>
        <v>196397</v>
      </c>
      <c r="I16" s="18">
        <f t="shared" si="3"/>
        <v>64178</v>
      </c>
      <c r="J16" s="4">
        <f t="shared" si="4"/>
        <v>-46147</v>
      </c>
      <c r="K16" s="25">
        <v>20414</v>
      </c>
      <c r="L16" s="18">
        <f t="shared" si="5"/>
        <v>24550</v>
      </c>
      <c r="M16" s="61">
        <f t="shared" si="6"/>
        <v>0</v>
      </c>
      <c r="N16" s="4">
        <f t="shared" si="0"/>
        <v>0</v>
      </c>
      <c r="O16" s="233">
        <f t="shared" si="7"/>
        <v>-46147</v>
      </c>
      <c r="P16" s="223">
        <f t="shared" si="8"/>
        <v>-1.8797406715848244</v>
      </c>
      <c r="Q16" s="224"/>
      <c r="R16" s="224"/>
      <c r="S16" s="225"/>
      <c r="T16" s="225"/>
      <c r="U16" s="225"/>
      <c r="V16" s="225"/>
      <c r="Z16" s="23"/>
      <c r="AA16" s="23"/>
      <c r="AB16" s="23"/>
      <c r="AC16" s="23"/>
    </row>
    <row r="17" spans="1:29" x14ac:dyDescent="0.25">
      <c r="A17" s="222">
        <f>'A) Base RI'!A19</f>
        <v>5413</v>
      </c>
      <c r="B17" s="62" t="str">
        <f>'A) Base RI'!B19</f>
        <v>Roche</v>
      </c>
      <c r="C17" s="61">
        <f>'D) Ecrêtage'!N17</f>
        <v>35383.920882352941</v>
      </c>
      <c r="D17" s="61">
        <v>135355</v>
      </c>
      <c r="E17" s="18">
        <v>84673</v>
      </c>
      <c r="F17" s="73">
        <v>55835</v>
      </c>
      <c r="G17" s="18">
        <f t="shared" si="1"/>
        <v>275863</v>
      </c>
      <c r="H17" s="61">
        <f t="shared" si="2"/>
        <v>283071</v>
      </c>
      <c r="I17" s="18">
        <f t="shared" si="3"/>
        <v>0</v>
      </c>
      <c r="J17" s="4">
        <f t="shared" si="4"/>
        <v>0</v>
      </c>
      <c r="K17" s="25">
        <v>15213</v>
      </c>
      <c r="L17" s="18">
        <f t="shared" si="5"/>
        <v>35384</v>
      </c>
      <c r="M17" s="61">
        <f t="shared" si="6"/>
        <v>0</v>
      </c>
      <c r="N17" s="4">
        <f t="shared" si="0"/>
        <v>0</v>
      </c>
      <c r="O17" s="233">
        <f t="shared" si="7"/>
        <v>0</v>
      </c>
      <c r="P17" s="223">
        <f t="shared" si="8"/>
        <v>0</v>
      </c>
      <c r="Q17" s="224"/>
      <c r="R17" s="224"/>
      <c r="S17" s="225"/>
      <c r="T17" s="225"/>
      <c r="U17" s="225"/>
      <c r="V17" s="225"/>
      <c r="Z17" s="23"/>
      <c r="AA17" s="23"/>
      <c r="AB17" s="23"/>
      <c r="AC17" s="23"/>
    </row>
    <row r="18" spans="1:29" x14ac:dyDescent="0.25">
      <c r="A18" s="222">
        <f>'A) Base RI'!A20</f>
        <v>5414</v>
      </c>
      <c r="B18" s="62" t="str">
        <f>'A) Base RI'!B20</f>
        <v>Villeneuve</v>
      </c>
      <c r="C18" s="61">
        <f>'D) Ecrêtage'!N18</f>
        <v>178367.91043478262</v>
      </c>
      <c r="D18" s="61">
        <v>1994831</v>
      </c>
      <c r="E18" s="18">
        <v>869624</v>
      </c>
      <c r="F18" s="73">
        <v>192307</v>
      </c>
      <c r="G18" s="18">
        <f t="shared" si="1"/>
        <v>3056762</v>
      </c>
      <c r="H18" s="61">
        <f t="shared" si="2"/>
        <v>1426943</v>
      </c>
      <c r="I18" s="18">
        <f t="shared" si="3"/>
        <v>1629819</v>
      </c>
      <c r="J18" s="4">
        <f t="shared" si="4"/>
        <v>-1171924</v>
      </c>
      <c r="K18" s="25">
        <v>342358</v>
      </c>
      <c r="L18" s="18">
        <f t="shared" si="5"/>
        <v>178368</v>
      </c>
      <c r="M18" s="61">
        <f t="shared" si="6"/>
        <v>163990</v>
      </c>
      <c r="N18" s="4">
        <f t="shared" si="0"/>
        <v>-117917</v>
      </c>
      <c r="O18" s="233">
        <f t="shared" si="7"/>
        <v>-1289841</v>
      </c>
      <c r="P18" s="223">
        <f t="shared" si="8"/>
        <v>-7.2313511822610588</v>
      </c>
      <c r="Q18" s="224"/>
      <c r="R18" s="224"/>
      <c r="S18" s="225"/>
      <c r="T18" s="225"/>
      <c r="U18" s="225"/>
      <c r="V18" s="225"/>
      <c r="Z18" s="23"/>
      <c r="AA18" s="23"/>
      <c r="AB18" s="23"/>
      <c r="AC18" s="23"/>
    </row>
    <row r="19" spans="1:29" x14ac:dyDescent="0.25">
      <c r="A19" s="222">
        <f>'A) Base RI'!A21</f>
        <v>5415</v>
      </c>
      <c r="B19" s="62" t="str">
        <f>'A) Base RI'!B21</f>
        <v>Yvorne</v>
      </c>
      <c r="C19" s="61">
        <f>'D) Ecrêtage'!N19</f>
        <v>40073.521995133822</v>
      </c>
      <c r="D19" s="61">
        <v>367116</v>
      </c>
      <c r="E19" s="18">
        <v>39828</v>
      </c>
      <c r="F19" s="73">
        <v>162357</v>
      </c>
      <c r="G19" s="18">
        <f t="shared" si="1"/>
        <v>569301</v>
      </c>
      <c r="H19" s="61">
        <f t="shared" si="2"/>
        <v>320588</v>
      </c>
      <c r="I19" s="18">
        <f t="shared" si="3"/>
        <v>248713</v>
      </c>
      <c r="J19" s="4">
        <f t="shared" si="4"/>
        <v>-178837</v>
      </c>
      <c r="K19" s="25">
        <v>305613</v>
      </c>
      <c r="L19" s="18">
        <f t="shared" si="5"/>
        <v>40074</v>
      </c>
      <c r="M19" s="61">
        <f t="shared" si="6"/>
        <v>265539</v>
      </c>
      <c r="N19" s="4">
        <f t="shared" si="0"/>
        <v>-190936</v>
      </c>
      <c r="O19" s="233">
        <f t="shared" si="7"/>
        <v>-369773</v>
      </c>
      <c r="P19" s="223">
        <f t="shared" si="8"/>
        <v>-9.2273646435394916</v>
      </c>
      <c r="Q19" s="224"/>
      <c r="R19" s="224"/>
      <c r="S19" s="225"/>
      <c r="T19" s="225"/>
      <c r="U19" s="225"/>
      <c r="V19" s="225"/>
      <c r="Z19" s="23"/>
      <c r="AA19" s="23"/>
      <c r="AB19" s="23"/>
      <c r="AC19" s="23"/>
    </row>
    <row r="20" spans="1:29" x14ac:dyDescent="0.25">
      <c r="A20" s="222">
        <f>'A) Base RI'!A22</f>
        <v>5421</v>
      </c>
      <c r="B20" s="62" t="str">
        <f>'A) Base RI'!B22</f>
        <v>Apples</v>
      </c>
      <c r="C20" s="61">
        <f>'D) Ecrêtage'!N20</f>
        <v>49174.834507042251</v>
      </c>
      <c r="D20" s="61">
        <v>296580</v>
      </c>
      <c r="E20" s="18">
        <v>93474</v>
      </c>
      <c r="F20" s="73">
        <v>167816</v>
      </c>
      <c r="G20" s="18">
        <f t="shared" si="1"/>
        <v>557870</v>
      </c>
      <c r="H20" s="61">
        <f t="shared" si="2"/>
        <v>393399</v>
      </c>
      <c r="I20" s="18">
        <f t="shared" si="3"/>
        <v>164471</v>
      </c>
      <c r="J20" s="4">
        <f t="shared" si="4"/>
        <v>-118263</v>
      </c>
      <c r="K20" s="25">
        <v>69537</v>
      </c>
      <c r="L20" s="18">
        <f t="shared" si="5"/>
        <v>49175</v>
      </c>
      <c r="M20" s="61">
        <f t="shared" si="6"/>
        <v>20362</v>
      </c>
      <c r="N20" s="4">
        <f t="shared" si="0"/>
        <v>-14641</v>
      </c>
      <c r="O20" s="233">
        <f t="shared" si="7"/>
        <v>-132904</v>
      </c>
      <c r="P20" s="223">
        <f t="shared" si="8"/>
        <v>-2.7026832186078233</v>
      </c>
      <c r="Q20" s="224"/>
      <c r="R20" s="224"/>
      <c r="S20" s="225"/>
      <c r="T20" s="225"/>
      <c r="U20" s="225"/>
      <c r="V20" s="225"/>
      <c r="Z20" s="23"/>
      <c r="AA20" s="23"/>
      <c r="AB20" s="23"/>
      <c r="AC20" s="23"/>
    </row>
    <row r="21" spans="1:29" x14ac:dyDescent="0.25">
      <c r="A21" s="222">
        <f>'A) Base RI'!A23</f>
        <v>5422</v>
      </c>
      <c r="B21" s="62" t="str">
        <f>'A) Base RI'!B23</f>
        <v>Aubonne</v>
      </c>
      <c r="C21" s="61">
        <f>'D) Ecrêtage'!N21</f>
        <v>220314.48888331067</v>
      </c>
      <c r="D21" s="61">
        <v>1130370</v>
      </c>
      <c r="E21" s="18">
        <v>109590</v>
      </c>
      <c r="F21" s="73">
        <v>357433</v>
      </c>
      <c r="G21" s="18">
        <f t="shared" si="1"/>
        <v>1597393</v>
      </c>
      <c r="H21" s="61">
        <f t="shared" si="2"/>
        <v>1762516</v>
      </c>
      <c r="I21" s="18">
        <f t="shared" si="3"/>
        <v>0</v>
      </c>
      <c r="J21" s="4">
        <f t="shared" si="4"/>
        <v>0</v>
      </c>
      <c r="K21" s="25">
        <v>131511</v>
      </c>
      <c r="L21" s="18">
        <f t="shared" si="5"/>
        <v>220314</v>
      </c>
      <c r="M21" s="61">
        <f t="shared" si="6"/>
        <v>0</v>
      </c>
      <c r="N21" s="4">
        <f t="shared" si="0"/>
        <v>0</v>
      </c>
      <c r="O21" s="233">
        <f t="shared" si="7"/>
        <v>0</v>
      </c>
      <c r="P21" s="223">
        <f t="shared" si="8"/>
        <v>0</v>
      </c>
      <c r="Q21" s="224"/>
      <c r="R21" s="224"/>
      <c r="S21" s="225"/>
      <c r="T21" s="225"/>
      <c r="U21" s="225"/>
      <c r="V21" s="225"/>
      <c r="Z21" s="23"/>
      <c r="AA21" s="23"/>
      <c r="AB21" s="23"/>
      <c r="AC21" s="23"/>
    </row>
    <row r="22" spans="1:29" x14ac:dyDescent="0.25">
      <c r="A22" s="222">
        <f>'A) Base RI'!A24</f>
        <v>5423</v>
      </c>
      <c r="B22" s="62" t="str">
        <f>'A) Base RI'!B24</f>
        <v>Ballens</v>
      </c>
      <c r="C22" s="61">
        <f>'D) Ecrêtage'!N22</f>
        <v>16056.117971014495</v>
      </c>
      <c r="D22" s="61">
        <v>102106</v>
      </c>
      <c r="E22" s="18">
        <v>35008</v>
      </c>
      <c r="F22" s="73">
        <v>65084</v>
      </c>
      <c r="G22" s="18">
        <f t="shared" si="1"/>
        <v>202198</v>
      </c>
      <c r="H22" s="61">
        <f t="shared" si="2"/>
        <v>128449</v>
      </c>
      <c r="I22" s="18">
        <f t="shared" si="3"/>
        <v>73749</v>
      </c>
      <c r="J22" s="4">
        <f t="shared" si="4"/>
        <v>-53029</v>
      </c>
      <c r="K22" s="25">
        <v>8505</v>
      </c>
      <c r="L22" s="18">
        <f t="shared" si="5"/>
        <v>16056</v>
      </c>
      <c r="M22" s="61">
        <f t="shared" si="6"/>
        <v>0</v>
      </c>
      <c r="N22" s="4">
        <f t="shared" si="0"/>
        <v>0</v>
      </c>
      <c r="O22" s="233">
        <f t="shared" si="7"/>
        <v>-53029</v>
      </c>
      <c r="P22" s="223">
        <f t="shared" si="8"/>
        <v>-3.302728598265861</v>
      </c>
      <c r="Q22" s="224"/>
      <c r="R22" s="224"/>
      <c r="S22" s="225"/>
      <c r="T22" s="225"/>
      <c r="U22" s="225"/>
      <c r="V22" s="225"/>
      <c r="Z22" s="23"/>
      <c r="AA22" s="23"/>
      <c r="AB22" s="23"/>
      <c r="AC22" s="23"/>
    </row>
    <row r="23" spans="1:29" x14ac:dyDescent="0.25">
      <c r="A23" s="222">
        <f>'A) Base RI'!A25</f>
        <v>5424</v>
      </c>
      <c r="B23" s="62" t="str">
        <f>'A) Base RI'!B25</f>
        <v>Berolle</v>
      </c>
      <c r="C23" s="61">
        <f>'D) Ecrêtage'!N23</f>
        <v>9358.0229870129861</v>
      </c>
      <c r="D23" s="61">
        <v>66910</v>
      </c>
      <c r="E23" s="18">
        <v>8676</v>
      </c>
      <c r="F23" s="73">
        <v>46368</v>
      </c>
      <c r="G23" s="18">
        <f t="shared" si="1"/>
        <v>121954</v>
      </c>
      <c r="H23" s="61">
        <f t="shared" si="2"/>
        <v>74864</v>
      </c>
      <c r="I23" s="18">
        <f t="shared" si="3"/>
        <v>47090</v>
      </c>
      <c r="J23" s="4">
        <f t="shared" si="4"/>
        <v>-33860</v>
      </c>
      <c r="K23" s="25">
        <v>-3954</v>
      </c>
      <c r="L23" s="18">
        <f t="shared" si="5"/>
        <v>9358</v>
      </c>
      <c r="M23" s="61">
        <f t="shared" si="6"/>
        <v>0</v>
      </c>
      <c r="N23" s="4">
        <f t="shared" si="0"/>
        <v>0</v>
      </c>
      <c r="O23" s="233">
        <f t="shared" si="7"/>
        <v>-33860</v>
      </c>
      <c r="P23" s="223">
        <f t="shared" si="8"/>
        <v>-3.6182856194081512</v>
      </c>
      <c r="Q23" s="224"/>
      <c r="R23" s="224"/>
      <c r="S23" s="225"/>
      <c r="T23" s="225"/>
      <c r="U23" s="225"/>
      <c r="V23" s="225"/>
      <c r="Z23" s="23"/>
      <c r="AA23" s="23"/>
      <c r="AB23" s="23"/>
      <c r="AC23" s="23"/>
    </row>
    <row r="24" spans="1:29" x14ac:dyDescent="0.25">
      <c r="A24" s="222">
        <f>'A) Base RI'!A26</f>
        <v>5425</v>
      </c>
      <c r="B24" s="62" t="str">
        <f>'A) Base RI'!B26</f>
        <v>Bière</v>
      </c>
      <c r="C24" s="61">
        <f>'D) Ecrêtage'!N24</f>
        <v>37126.422058823526</v>
      </c>
      <c r="D24" s="61">
        <v>546924</v>
      </c>
      <c r="E24" s="18">
        <v>95793</v>
      </c>
      <c r="F24" s="73">
        <v>177755</v>
      </c>
      <c r="G24" s="18">
        <f t="shared" si="1"/>
        <v>820472</v>
      </c>
      <c r="H24" s="61">
        <f t="shared" si="2"/>
        <v>297011</v>
      </c>
      <c r="I24" s="18">
        <f t="shared" si="3"/>
        <v>523461</v>
      </c>
      <c r="J24" s="4">
        <f t="shared" si="4"/>
        <v>-376395</v>
      </c>
      <c r="K24" s="25">
        <v>151407</v>
      </c>
      <c r="L24" s="18">
        <f t="shared" si="5"/>
        <v>37126</v>
      </c>
      <c r="M24" s="61">
        <f t="shared" si="6"/>
        <v>114281</v>
      </c>
      <c r="N24" s="4">
        <f t="shared" si="0"/>
        <v>-82174</v>
      </c>
      <c r="O24" s="233">
        <f t="shared" si="7"/>
        <v>-458569</v>
      </c>
      <c r="P24" s="223">
        <f t="shared" si="8"/>
        <v>-12.351553814516198</v>
      </c>
      <c r="Q24" s="224"/>
      <c r="R24" s="224"/>
      <c r="S24" s="225"/>
      <c r="T24" s="225"/>
      <c r="U24" s="225"/>
      <c r="V24" s="225"/>
      <c r="Z24" s="23"/>
      <c r="AA24" s="23"/>
      <c r="AB24" s="23"/>
      <c r="AC24" s="23"/>
    </row>
    <row r="25" spans="1:29" x14ac:dyDescent="0.25">
      <c r="A25" s="222">
        <f>'A) Base RI'!A27</f>
        <v>5426</v>
      </c>
      <c r="B25" s="62" t="str">
        <f>'A) Base RI'!B27</f>
        <v>Bougy-Villars</v>
      </c>
      <c r="C25" s="61">
        <f>'D) Ecrêtage'!N25</f>
        <v>39200.766193939591</v>
      </c>
      <c r="D25" s="61">
        <v>97084</v>
      </c>
      <c r="E25" s="18">
        <v>23881</v>
      </c>
      <c r="F25" s="73">
        <v>44189</v>
      </c>
      <c r="G25" s="18">
        <f t="shared" si="1"/>
        <v>165154</v>
      </c>
      <c r="H25" s="61">
        <f t="shared" si="2"/>
        <v>313606</v>
      </c>
      <c r="I25" s="18">
        <f t="shared" si="3"/>
        <v>0</v>
      </c>
      <c r="J25" s="4">
        <f t="shared" si="4"/>
        <v>0</v>
      </c>
      <c r="K25" s="25">
        <v>2207</v>
      </c>
      <c r="L25" s="18">
        <f t="shared" si="5"/>
        <v>39201</v>
      </c>
      <c r="M25" s="61">
        <f t="shared" si="6"/>
        <v>0</v>
      </c>
      <c r="N25" s="4">
        <f t="shared" si="0"/>
        <v>0</v>
      </c>
      <c r="O25" s="233">
        <f t="shared" si="7"/>
        <v>0</v>
      </c>
      <c r="P25" s="223">
        <f t="shared" si="8"/>
        <v>0</v>
      </c>
      <c r="Q25" s="224"/>
      <c r="R25" s="224"/>
      <c r="S25" s="225"/>
      <c r="T25" s="225"/>
      <c r="U25" s="225"/>
      <c r="V25" s="225"/>
      <c r="Z25" s="23"/>
      <c r="AA25" s="23"/>
      <c r="AB25" s="23"/>
      <c r="AC25" s="23"/>
    </row>
    <row r="26" spans="1:29" x14ac:dyDescent="0.25">
      <c r="A26" s="222">
        <f>'A) Base RI'!A28</f>
        <v>5427</v>
      </c>
      <c r="B26" s="62" t="str">
        <f>'A) Base RI'!B28</f>
        <v>Féchy</v>
      </c>
      <c r="C26" s="61">
        <f>'D) Ecrêtage'!N26</f>
        <v>63481.570392372421</v>
      </c>
      <c r="D26" s="61">
        <v>86930</v>
      </c>
      <c r="E26" s="18">
        <v>31467</v>
      </c>
      <c r="F26" s="73">
        <v>97149</v>
      </c>
      <c r="G26" s="18">
        <f t="shared" si="1"/>
        <v>215546</v>
      </c>
      <c r="H26" s="61">
        <f t="shared" si="2"/>
        <v>507853</v>
      </c>
      <c r="I26" s="18">
        <f t="shared" si="3"/>
        <v>0</v>
      </c>
      <c r="J26" s="4">
        <f t="shared" si="4"/>
        <v>0</v>
      </c>
      <c r="K26" s="25">
        <v>-6017</v>
      </c>
      <c r="L26" s="18">
        <f t="shared" si="5"/>
        <v>63482</v>
      </c>
      <c r="M26" s="61">
        <f t="shared" si="6"/>
        <v>0</v>
      </c>
      <c r="N26" s="4">
        <f t="shared" si="0"/>
        <v>0</v>
      </c>
      <c r="O26" s="233">
        <f t="shared" si="7"/>
        <v>0</v>
      </c>
      <c r="P26" s="223">
        <f t="shared" si="8"/>
        <v>0</v>
      </c>
      <c r="Q26" s="224"/>
      <c r="R26" s="224"/>
      <c r="S26" s="225"/>
      <c r="T26" s="225"/>
      <c r="U26" s="225"/>
      <c r="V26" s="225"/>
      <c r="Z26" s="23"/>
      <c r="AA26" s="23"/>
      <c r="AB26" s="23"/>
      <c r="AC26" s="23"/>
    </row>
    <row r="27" spans="1:29" x14ac:dyDescent="0.25">
      <c r="A27" s="222">
        <f>'A) Base RI'!A29</f>
        <v>5428</v>
      </c>
      <c r="B27" s="62" t="str">
        <f>'A) Base RI'!B29</f>
        <v>Gimel</v>
      </c>
      <c r="C27" s="61">
        <f>'D) Ecrêtage'!N27</f>
        <v>54244.883403263411</v>
      </c>
      <c r="D27" s="61">
        <v>456130</v>
      </c>
      <c r="E27" s="18">
        <v>99075</v>
      </c>
      <c r="F27" s="73">
        <v>249290</v>
      </c>
      <c r="G27" s="18">
        <f t="shared" si="1"/>
        <v>804495</v>
      </c>
      <c r="H27" s="61">
        <f t="shared" si="2"/>
        <v>433959</v>
      </c>
      <c r="I27" s="18">
        <f t="shared" si="3"/>
        <v>370536</v>
      </c>
      <c r="J27" s="4">
        <f t="shared" si="4"/>
        <v>-266435</v>
      </c>
      <c r="K27" s="25">
        <v>-19284</v>
      </c>
      <c r="L27" s="18">
        <f t="shared" si="5"/>
        <v>54245</v>
      </c>
      <c r="M27" s="61">
        <f t="shared" si="6"/>
        <v>0</v>
      </c>
      <c r="N27" s="4">
        <f t="shared" si="0"/>
        <v>0</v>
      </c>
      <c r="O27" s="233">
        <f t="shared" si="7"/>
        <v>-266435</v>
      </c>
      <c r="P27" s="223">
        <f t="shared" si="8"/>
        <v>-4.9117074880461642</v>
      </c>
      <c r="Q27" s="224"/>
      <c r="R27" s="224"/>
      <c r="S27" s="225"/>
      <c r="T27" s="225"/>
      <c r="U27" s="225"/>
      <c r="V27" s="225"/>
      <c r="Z27" s="23"/>
      <c r="AA27" s="23"/>
      <c r="AB27" s="23"/>
      <c r="AC27" s="23"/>
    </row>
    <row r="28" spans="1:29" x14ac:dyDescent="0.25">
      <c r="A28" s="222">
        <f>'A) Base RI'!A30</f>
        <v>5429</v>
      </c>
      <c r="B28" s="62" t="str">
        <f>'A) Base RI'!B30</f>
        <v>Longirod</v>
      </c>
      <c r="C28" s="61">
        <f>'D) Ecrêtage'!N28</f>
        <v>14621.746419753083</v>
      </c>
      <c r="D28" s="61">
        <v>145165</v>
      </c>
      <c r="E28" s="18">
        <v>27920</v>
      </c>
      <c r="F28" s="73">
        <v>45822</v>
      </c>
      <c r="G28" s="18">
        <f t="shared" si="1"/>
        <v>218907</v>
      </c>
      <c r="H28" s="61">
        <f t="shared" si="2"/>
        <v>116974</v>
      </c>
      <c r="I28" s="18">
        <f t="shared" si="3"/>
        <v>101933</v>
      </c>
      <c r="J28" s="4">
        <f t="shared" si="4"/>
        <v>-73295</v>
      </c>
      <c r="K28" s="25">
        <v>-19146</v>
      </c>
      <c r="L28" s="18">
        <f t="shared" si="5"/>
        <v>14622</v>
      </c>
      <c r="M28" s="61">
        <f t="shared" si="6"/>
        <v>0</v>
      </c>
      <c r="N28" s="4">
        <f t="shared" si="0"/>
        <v>0</v>
      </c>
      <c r="O28" s="233">
        <f t="shared" si="7"/>
        <v>-73295</v>
      </c>
      <c r="P28" s="223">
        <f t="shared" si="8"/>
        <v>-5.0127391007809399</v>
      </c>
      <c r="Q28" s="224"/>
      <c r="R28" s="224"/>
      <c r="S28" s="225"/>
      <c r="T28" s="225"/>
      <c r="U28" s="225"/>
      <c r="V28" s="225"/>
      <c r="Z28" s="23"/>
      <c r="AA28" s="23"/>
      <c r="AB28" s="23"/>
      <c r="AC28" s="23"/>
    </row>
    <row r="29" spans="1:29" x14ac:dyDescent="0.25">
      <c r="A29" s="222">
        <f>'A) Base RI'!A31</f>
        <v>5430</v>
      </c>
      <c r="B29" s="62" t="str">
        <f>'A) Base RI'!B31</f>
        <v>Marchissy</v>
      </c>
      <c r="C29" s="61">
        <f>'D) Ecrêtage'!N29</f>
        <v>13069.378271604934</v>
      </c>
      <c r="D29" s="61">
        <v>374792</v>
      </c>
      <c r="E29" s="18">
        <v>27290</v>
      </c>
      <c r="F29" s="73">
        <v>47834</v>
      </c>
      <c r="G29" s="18">
        <f t="shared" si="1"/>
        <v>449916</v>
      </c>
      <c r="H29" s="61">
        <f t="shared" si="2"/>
        <v>104555</v>
      </c>
      <c r="I29" s="18">
        <f t="shared" si="3"/>
        <v>345361</v>
      </c>
      <c r="J29" s="4">
        <f t="shared" si="4"/>
        <v>-248332</v>
      </c>
      <c r="K29" s="25">
        <v>49151</v>
      </c>
      <c r="L29" s="18">
        <f t="shared" si="5"/>
        <v>13069</v>
      </c>
      <c r="M29" s="61">
        <f t="shared" si="6"/>
        <v>36082</v>
      </c>
      <c r="N29" s="4">
        <f t="shared" si="0"/>
        <v>-25945</v>
      </c>
      <c r="O29" s="233">
        <f t="shared" si="7"/>
        <v>-274277</v>
      </c>
      <c r="P29" s="223">
        <f t="shared" si="8"/>
        <v>-20.986231655403643</v>
      </c>
      <c r="Q29" s="224"/>
      <c r="R29" s="224"/>
      <c r="S29" s="225"/>
      <c r="T29" s="225"/>
      <c r="U29" s="225"/>
      <c r="V29" s="225"/>
      <c r="Z29" s="23"/>
      <c r="AA29" s="23"/>
      <c r="AB29" s="23"/>
      <c r="AC29" s="23"/>
    </row>
    <row r="30" spans="1:29" x14ac:dyDescent="0.25">
      <c r="A30" s="222">
        <f>'A) Base RI'!A32</f>
        <v>5431</v>
      </c>
      <c r="B30" s="62" t="str">
        <f>'A) Base RI'!B32</f>
        <v>Mollens</v>
      </c>
      <c r="C30" s="61">
        <f>'D) Ecrêtage'!N30</f>
        <v>8024.3136486486483</v>
      </c>
      <c r="D30" s="61">
        <v>38985</v>
      </c>
      <c r="E30" s="18">
        <v>8408</v>
      </c>
      <c r="F30" s="73">
        <v>32984</v>
      </c>
      <c r="G30" s="18">
        <f t="shared" si="1"/>
        <v>80377</v>
      </c>
      <c r="H30" s="61">
        <f t="shared" si="2"/>
        <v>64195</v>
      </c>
      <c r="I30" s="18">
        <f t="shared" si="3"/>
        <v>16182</v>
      </c>
      <c r="J30" s="4">
        <f t="shared" si="4"/>
        <v>-11636</v>
      </c>
      <c r="K30" s="25">
        <v>-327</v>
      </c>
      <c r="L30" s="18">
        <f t="shared" si="5"/>
        <v>8024</v>
      </c>
      <c r="M30" s="61">
        <f t="shared" si="6"/>
        <v>0</v>
      </c>
      <c r="N30" s="4">
        <f t="shared" si="0"/>
        <v>0</v>
      </c>
      <c r="O30" s="233">
        <f t="shared" si="7"/>
        <v>-11636</v>
      </c>
      <c r="P30" s="223">
        <f t="shared" si="8"/>
        <v>-1.4500928689346018</v>
      </c>
      <c r="Q30" s="224"/>
      <c r="R30" s="224"/>
      <c r="S30" s="225"/>
      <c r="T30" s="225"/>
      <c r="U30" s="225"/>
      <c r="V30" s="225"/>
      <c r="Z30" s="23"/>
      <c r="AA30" s="23"/>
      <c r="AB30" s="23"/>
      <c r="AC30" s="23"/>
    </row>
    <row r="31" spans="1:29" x14ac:dyDescent="0.25">
      <c r="A31" s="222">
        <f>'A) Base RI'!A33</f>
        <v>5432</v>
      </c>
      <c r="B31" s="62" t="str">
        <f>'A) Base RI'!B33</f>
        <v>Montherod</v>
      </c>
      <c r="C31" s="61">
        <f>'D) Ecrêtage'!N31</f>
        <v>17799.430540540543</v>
      </c>
      <c r="D31" s="61">
        <v>16659</v>
      </c>
      <c r="E31" s="18">
        <v>60804</v>
      </c>
      <c r="F31" s="73">
        <v>59316</v>
      </c>
      <c r="G31" s="18">
        <f t="shared" si="1"/>
        <v>136779</v>
      </c>
      <c r="H31" s="61">
        <f t="shared" si="2"/>
        <v>142395</v>
      </c>
      <c r="I31" s="18">
        <f t="shared" si="3"/>
        <v>0</v>
      </c>
      <c r="J31" s="4">
        <f t="shared" si="4"/>
        <v>0</v>
      </c>
      <c r="K31" s="25">
        <v>3788</v>
      </c>
      <c r="L31" s="18">
        <f t="shared" si="5"/>
        <v>17799</v>
      </c>
      <c r="M31" s="61">
        <f t="shared" si="6"/>
        <v>0</v>
      </c>
      <c r="N31" s="4">
        <f t="shared" si="0"/>
        <v>0</v>
      </c>
      <c r="O31" s="233">
        <f t="shared" si="7"/>
        <v>0</v>
      </c>
      <c r="P31" s="223">
        <f t="shared" si="8"/>
        <v>0</v>
      </c>
      <c r="Q31" s="224"/>
      <c r="R31" s="224"/>
      <c r="S31" s="225"/>
      <c r="T31" s="225"/>
      <c r="U31" s="225"/>
      <c r="V31" s="225"/>
      <c r="Z31" s="23"/>
      <c r="AA31" s="23"/>
      <c r="AB31" s="23"/>
      <c r="AC31" s="23"/>
    </row>
    <row r="32" spans="1:29" x14ac:dyDescent="0.25">
      <c r="A32" s="222">
        <f>'A) Base RI'!A34</f>
        <v>5434</v>
      </c>
      <c r="B32" s="62" t="str">
        <f>'A) Base RI'!B34</f>
        <v>Saint-George</v>
      </c>
      <c r="C32" s="61">
        <f>'D) Ecrêtage'!N32</f>
        <v>35135.099562043797</v>
      </c>
      <c r="D32" s="61">
        <v>211051</v>
      </c>
      <c r="E32" s="18">
        <v>32704</v>
      </c>
      <c r="F32" s="73">
        <v>112516</v>
      </c>
      <c r="G32" s="18">
        <f t="shared" si="1"/>
        <v>356271</v>
      </c>
      <c r="H32" s="61">
        <f t="shared" si="2"/>
        <v>281081</v>
      </c>
      <c r="I32" s="18">
        <f t="shared" si="3"/>
        <v>75190</v>
      </c>
      <c r="J32" s="4">
        <f t="shared" si="4"/>
        <v>-54065</v>
      </c>
      <c r="K32" s="25">
        <v>39030</v>
      </c>
      <c r="L32" s="18">
        <f t="shared" si="5"/>
        <v>35135</v>
      </c>
      <c r="M32" s="61">
        <f t="shared" si="6"/>
        <v>3895</v>
      </c>
      <c r="N32" s="4">
        <f t="shared" si="0"/>
        <v>-2801</v>
      </c>
      <c r="O32" s="233">
        <f t="shared" si="7"/>
        <v>-56866</v>
      </c>
      <c r="P32" s="223">
        <f t="shared" si="8"/>
        <v>-1.6184954848237272</v>
      </c>
      <c r="Q32" s="224"/>
      <c r="R32" s="224"/>
      <c r="S32" s="225"/>
      <c r="T32" s="225"/>
      <c r="U32" s="225"/>
      <c r="V32" s="225"/>
      <c r="Z32" s="23"/>
      <c r="AA32" s="23"/>
      <c r="AB32" s="23"/>
      <c r="AC32" s="23"/>
    </row>
    <row r="33" spans="1:29" x14ac:dyDescent="0.25">
      <c r="A33" s="222">
        <f>'A) Base RI'!A35</f>
        <v>5435</v>
      </c>
      <c r="B33" s="62" t="str">
        <f>'A) Base RI'!B35</f>
        <v>Saint-Livres</v>
      </c>
      <c r="C33" s="61">
        <f>'D) Ecrêtage'!N33</f>
        <v>21558.748985507245</v>
      </c>
      <c r="D33" s="61">
        <v>185399</v>
      </c>
      <c r="E33" s="18">
        <v>29537</v>
      </c>
      <c r="F33" s="73">
        <v>82438</v>
      </c>
      <c r="G33" s="18">
        <f t="shared" si="1"/>
        <v>297374</v>
      </c>
      <c r="H33" s="61">
        <f t="shared" si="2"/>
        <v>172470</v>
      </c>
      <c r="I33" s="18">
        <f t="shared" si="3"/>
        <v>124904</v>
      </c>
      <c r="J33" s="4">
        <f t="shared" si="4"/>
        <v>-89812</v>
      </c>
      <c r="K33" s="25">
        <v>-44463</v>
      </c>
      <c r="L33" s="18">
        <f t="shared" si="5"/>
        <v>21559</v>
      </c>
      <c r="M33" s="61">
        <f t="shared" si="6"/>
        <v>0</v>
      </c>
      <c r="N33" s="4">
        <f t="shared" si="0"/>
        <v>0</v>
      </c>
      <c r="O33" s="233">
        <f t="shared" si="7"/>
        <v>-89812</v>
      </c>
      <c r="P33" s="223">
        <f t="shared" si="8"/>
        <v>-4.1659189065365361</v>
      </c>
      <c r="Q33" s="224"/>
      <c r="R33" s="224"/>
      <c r="S33" s="225"/>
      <c r="T33" s="225"/>
      <c r="U33" s="225"/>
      <c r="V33" s="225"/>
      <c r="Z33" s="23"/>
      <c r="AA33" s="23"/>
      <c r="AB33" s="23"/>
      <c r="AC33" s="23"/>
    </row>
    <row r="34" spans="1:29" x14ac:dyDescent="0.25">
      <c r="A34" s="222">
        <f>'A) Base RI'!A36</f>
        <v>5436</v>
      </c>
      <c r="B34" s="62" t="str">
        <f>'A) Base RI'!B36</f>
        <v>Saint-Oyens</v>
      </c>
      <c r="C34" s="61">
        <f>'D) Ecrêtage'!N34</f>
        <v>11369.478086419756</v>
      </c>
      <c r="D34" s="61">
        <v>340885</v>
      </c>
      <c r="E34" s="18">
        <v>16747</v>
      </c>
      <c r="F34" s="73">
        <v>29452</v>
      </c>
      <c r="G34" s="18">
        <f t="shared" si="1"/>
        <v>387084</v>
      </c>
      <c r="H34" s="61">
        <f t="shared" si="2"/>
        <v>90956</v>
      </c>
      <c r="I34" s="18">
        <f t="shared" si="3"/>
        <v>296128</v>
      </c>
      <c r="J34" s="4">
        <f t="shared" si="4"/>
        <v>-212931</v>
      </c>
      <c r="K34" s="25">
        <v>31623</v>
      </c>
      <c r="L34" s="18">
        <f t="shared" si="5"/>
        <v>11369</v>
      </c>
      <c r="M34" s="61">
        <f t="shared" si="6"/>
        <v>20254</v>
      </c>
      <c r="N34" s="4">
        <f t="shared" si="0"/>
        <v>-14564</v>
      </c>
      <c r="O34" s="233">
        <f t="shared" si="7"/>
        <v>-227495</v>
      </c>
      <c r="P34" s="223">
        <f t="shared" si="8"/>
        <v>-20.009273800503721</v>
      </c>
      <c r="Q34" s="224"/>
      <c r="R34" s="224"/>
      <c r="S34" s="225"/>
      <c r="T34" s="225"/>
      <c r="U34" s="225"/>
      <c r="V34" s="225"/>
      <c r="Z34" s="23"/>
      <c r="AA34" s="23"/>
      <c r="AB34" s="23"/>
      <c r="AC34" s="23"/>
    </row>
    <row r="35" spans="1:29" x14ac:dyDescent="0.25">
      <c r="A35" s="222">
        <f>'A) Base RI'!A37</f>
        <v>5437</v>
      </c>
      <c r="B35" s="62" t="str">
        <f>'A) Base RI'!B37</f>
        <v>Saubraz</v>
      </c>
      <c r="C35" s="61">
        <f>'D) Ecrêtage'!N35</f>
        <v>8208.7877108433731</v>
      </c>
      <c r="D35" s="61">
        <v>73860</v>
      </c>
      <c r="E35" s="18">
        <v>8267</v>
      </c>
      <c r="F35" s="73">
        <v>54952</v>
      </c>
      <c r="G35" s="18">
        <f t="shared" si="1"/>
        <v>137079</v>
      </c>
      <c r="H35" s="61">
        <f t="shared" si="2"/>
        <v>65670</v>
      </c>
      <c r="I35" s="18">
        <f t="shared" si="3"/>
        <v>71409</v>
      </c>
      <c r="J35" s="4">
        <f t="shared" si="4"/>
        <v>-51347</v>
      </c>
      <c r="K35" s="25">
        <v>24607</v>
      </c>
      <c r="L35" s="18">
        <f t="shared" si="5"/>
        <v>8209</v>
      </c>
      <c r="M35" s="61">
        <f t="shared" si="6"/>
        <v>16398</v>
      </c>
      <c r="N35" s="4">
        <f t="shared" si="0"/>
        <v>-11791</v>
      </c>
      <c r="O35" s="233">
        <f t="shared" si="7"/>
        <v>-63138</v>
      </c>
      <c r="P35" s="223">
        <f t="shared" si="8"/>
        <v>-7.6915133176849064</v>
      </c>
      <c r="Q35" s="224"/>
      <c r="R35" s="224"/>
      <c r="S35" s="225"/>
      <c r="T35" s="225"/>
      <c r="U35" s="225"/>
      <c r="V35" s="225"/>
      <c r="Z35" s="23"/>
      <c r="AA35" s="23"/>
      <c r="AB35" s="23"/>
      <c r="AC35" s="23"/>
    </row>
    <row r="36" spans="1:29" x14ac:dyDescent="0.25">
      <c r="A36" s="222">
        <f>'A) Base RI'!A38</f>
        <v>5451</v>
      </c>
      <c r="B36" s="62" t="str">
        <f>'A) Base RI'!B38</f>
        <v>Avenches</v>
      </c>
      <c r="C36" s="61">
        <f>'D) Ecrêtage'!N36</f>
        <v>103750.47926470588</v>
      </c>
      <c r="D36" s="61">
        <v>1826540</v>
      </c>
      <c r="E36" s="18">
        <v>401970</v>
      </c>
      <c r="F36" s="73">
        <v>653646</v>
      </c>
      <c r="G36" s="18">
        <f t="shared" si="1"/>
        <v>2882156</v>
      </c>
      <c r="H36" s="61">
        <f t="shared" si="2"/>
        <v>830004</v>
      </c>
      <c r="I36" s="18">
        <f t="shared" si="3"/>
        <v>2052152</v>
      </c>
      <c r="J36" s="4">
        <f t="shared" si="4"/>
        <v>-1475603</v>
      </c>
      <c r="K36" s="25">
        <v>158976</v>
      </c>
      <c r="L36" s="18">
        <f t="shared" si="5"/>
        <v>103750</v>
      </c>
      <c r="M36" s="61">
        <f t="shared" si="6"/>
        <v>55226</v>
      </c>
      <c r="N36" s="4">
        <f t="shared" si="0"/>
        <v>-39710</v>
      </c>
      <c r="O36" s="233">
        <f t="shared" si="7"/>
        <v>-1515313</v>
      </c>
      <c r="P36" s="223">
        <f t="shared" si="8"/>
        <v>-14.605359037753219</v>
      </c>
      <c r="Q36" s="224"/>
      <c r="R36" s="224"/>
      <c r="S36" s="225"/>
      <c r="T36" s="225"/>
      <c r="U36" s="225"/>
      <c r="V36" s="225"/>
      <c r="Z36" s="23"/>
      <c r="AA36" s="23"/>
      <c r="AB36" s="23"/>
      <c r="AC36" s="23"/>
    </row>
    <row r="37" spans="1:29" x14ac:dyDescent="0.25">
      <c r="A37" s="222">
        <f>'A) Base RI'!A39</f>
        <v>5456</v>
      </c>
      <c r="B37" s="62" t="str">
        <f>'A) Base RI'!B39</f>
        <v>Cudrefin</v>
      </c>
      <c r="C37" s="61">
        <f>'D) Ecrêtage'!N37</f>
        <v>45260.404011299433</v>
      </c>
      <c r="D37" s="61">
        <v>472385</v>
      </c>
      <c r="E37" s="18">
        <v>47614</v>
      </c>
      <c r="F37" s="73">
        <v>257322</v>
      </c>
      <c r="G37" s="18">
        <f t="shared" si="1"/>
        <v>777321</v>
      </c>
      <c r="H37" s="61">
        <f t="shared" si="2"/>
        <v>362083</v>
      </c>
      <c r="I37" s="18">
        <f t="shared" si="3"/>
        <v>415238</v>
      </c>
      <c r="J37" s="4">
        <f t="shared" si="4"/>
        <v>-298578</v>
      </c>
      <c r="K37" s="25">
        <v>14053</v>
      </c>
      <c r="L37" s="18">
        <f t="shared" si="5"/>
        <v>45260</v>
      </c>
      <c r="M37" s="61">
        <f t="shared" si="6"/>
        <v>0</v>
      </c>
      <c r="N37" s="4">
        <f t="shared" si="0"/>
        <v>0</v>
      </c>
      <c r="O37" s="233">
        <f t="shared" si="7"/>
        <v>-298578</v>
      </c>
      <c r="P37" s="223">
        <f t="shared" si="8"/>
        <v>-6.5968920632139927</v>
      </c>
      <c r="Q37" s="224"/>
      <c r="R37" s="224"/>
      <c r="S37" s="225"/>
      <c r="T37" s="225"/>
      <c r="U37" s="225"/>
      <c r="V37" s="225"/>
      <c r="Z37" s="23"/>
      <c r="AA37" s="23"/>
      <c r="AB37" s="23"/>
      <c r="AC37" s="23"/>
    </row>
    <row r="38" spans="1:29" x14ac:dyDescent="0.25">
      <c r="A38" s="222">
        <f>'A) Base RI'!A40</f>
        <v>5458</v>
      </c>
      <c r="B38" s="62" t="str">
        <f>'A) Base RI'!B40</f>
        <v>Faoug</v>
      </c>
      <c r="C38" s="61">
        <f>'D) Ecrêtage'!N38</f>
        <v>26731.83262295082</v>
      </c>
      <c r="D38" s="61">
        <v>210915</v>
      </c>
      <c r="E38" s="18">
        <v>35516</v>
      </c>
      <c r="F38" s="73">
        <v>131195</v>
      </c>
      <c r="G38" s="18">
        <f t="shared" si="1"/>
        <v>377626</v>
      </c>
      <c r="H38" s="61">
        <f t="shared" si="2"/>
        <v>213855</v>
      </c>
      <c r="I38" s="18">
        <f t="shared" si="3"/>
        <v>163771</v>
      </c>
      <c r="J38" s="4">
        <f t="shared" si="4"/>
        <v>-117760</v>
      </c>
      <c r="K38" s="25">
        <v>27974</v>
      </c>
      <c r="L38" s="18">
        <f t="shared" si="5"/>
        <v>26732</v>
      </c>
      <c r="M38" s="61">
        <f t="shared" si="6"/>
        <v>1242</v>
      </c>
      <c r="N38" s="4">
        <f t="shared" si="0"/>
        <v>-893</v>
      </c>
      <c r="O38" s="233">
        <f t="shared" si="7"/>
        <v>-118653</v>
      </c>
      <c r="P38" s="223">
        <f t="shared" si="8"/>
        <v>-4.438640690056153</v>
      </c>
      <c r="Q38" s="224"/>
      <c r="R38" s="224"/>
      <c r="S38" s="225"/>
      <c r="T38" s="225"/>
      <c r="U38" s="225"/>
      <c r="V38" s="225"/>
      <c r="Z38" s="23"/>
      <c r="AA38" s="23"/>
      <c r="AB38" s="23"/>
      <c r="AC38" s="23"/>
    </row>
    <row r="39" spans="1:29" x14ac:dyDescent="0.25">
      <c r="A39" s="222">
        <f>'A) Base RI'!A41</f>
        <v>5464</v>
      </c>
      <c r="B39" s="62" t="str">
        <f>'A) Base RI'!B41</f>
        <v>Vully-les-Lacs</v>
      </c>
      <c r="C39" s="61">
        <f>'D) Ecrêtage'!N39</f>
        <v>91629.911044776149</v>
      </c>
      <c r="D39" s="9">
        <v>1191994</v>
      </c>
      <c r="E39" s="18">
        <v>88003</v>
      </c>
      <c r="F39" s="9">
        <v>416446</v>
      </c>
      <c r="G39" s="18">
        <f t="shared" si="1"/>
        <v>1696443</v>
      </c>
      <c r="H39" s="61">
        <f t="shared" si="2"/>
        <v>733039</v>
      </c>
      <c r="I39" s="18">
        <f t="shared" si="3"/>
        <v>963404</v>
      </c>
      <c r="J39" s="4">
        <f t="shared" si="4"/>
        <v>-692737</v>
      </c>
      <c r="K39" s="25">
        <v>51300</v>
      </c>
      <c r="L39" s="18">
        <f t="shared" si="5"/>
        <v>91630</v>
      </c>
      <c r="M39" s="61">
        <f t="shared" si="6"/>
        <v>0</v>
      </c>
      <c r="N39" s="4">
        <f t="shared" si="0"/>
        <v>0</v>
      </c>
      <c r="O39" s="233">
        <f t="shared" si="7"/>
        <v>-692737</v>
      </c>
      <c r="P39" s="223">
        <f t="shared" si="8"/>
        <v>-7.5601623105525562</v>
      </c>
      <c r="Q39" s="224"/>
      <c r="R39" s="224"/>
      <c r="S39" s="225"/>
      <c r="T39" s="225"/>
      <c r="U39" s="225"/>
      <c r="V39" s="225"/>
      <c r="Z39" s="23"/>
      <c r="AA39" s="23"/>
      <c r="AB39" s="23"/>
      <c r="AC39" s="23"/>
    </row>
    <row r="40" spans="1:29" x14ac:dyDescent="0.25">
      <c r="A40" s="222">
        <f>'A) Base RI'!A42</f>
        <v>5471</v>
      </c>
      <c r="B40" s="62" t="str">
        <f>'A) Base RI'!B42</f>
        <v>Bettens</v>
      </c>
      <c r="C40" s="61">
        <f>'D) Ecrêtage'!N40</f>
        <v>18668.279507936502</v>
      </c>
      <c r="D40" s="61">
        <v>63874</v>
      </c>
      <c r="E40" s="18">
        <v>14603</v>
      </c>
      <c r="F40" s="73">
        <v>37579</v>
      </c>
      <c r="G40" s="18">
        <f t="shared" si="1"/>
        <v>116056</v>
      </c>
      <c r="H40" s="61">
        <f t="shared" si="2"/>
        <v>149346</v>
      </c>
      <c r="I40" s="18">
        <f t="shared" si="3"/>
        <v>0</v>
      </c>
      <c r="J40" s="4">
        <f t="shared" si="4"/>
        <v>0</v>
      </c>
      <c r="K40" s="25">
        <v>686</v>
      </c>
      <c r="L40" s="18">
        <f t="shared" si="5"/>
        <v>18668</v>
      </c>
      <c r="M40" s="61">
        <f t="shared" si="6"/>
        <v>0</v>
      </c>
      <c r="N40" s="4">
        <f t="shared" si="0"/>
        <v>0</v>
      </c>
      <c r="O40" s="233">
        <f t="shared" si="7"/>
        <v>0</v>
      </c>
      <c r="P40" s="223">
        <f t="shared" si="8"/>
        <v>0</v>
      </c>
      <c r="Q40" s="224"/>
      <c r="R40" s="224"/>
      <c r="S40" s="225"/>
      <c r="T40" s="225"/>
      <c r="U40" s="225"/>
      <c r="V40" s="225"/>
      <c r="Z40" s="23"/>
      <c r="AA40" s="23"/>
      <c r="AB40" s="23"/>
      <c r="AC40" s="23"/>
    </row>
    <row r="41" spans="1:29" x14ac:dyDescent="0.25">
      <c r="A41" s="222">
        <f>'A) Base RI'!A43</f>
        <v>5472</v>
      </c>
      <c r="B41" s="62" t="str">
        <f>'A) Base RI'!B43</f>
        <v>Bournens</v>
      </c>
      <c r="C41" s="61">
        <f>'D) Ecrêtage'!N41</f>
        <v>12834.669250000001</v>
      </c>
      <c r="D41" s="61">
        <v>69846</v>
      </c>
      <c r="E41" s="18">
        <v>16730</v>
      </c>
      <c r="F41" s="73">
        <v>22773</v>
      </c>
      <c r="G41" s="18">
        <f t="shared" si="1"/>
        <v>109349</v>
      </c>
      <c r="H41" s="61">
        <f t="shared" si="2"/>
        <v>102677</v>
      </c>
      <c r="I41" s="18">
        <f t="shared" si="3"/>
        <v>6672</v>
      </c>
      <c r="J41" s="4">
        <f t="shared" si="4"/>
        <v>-4798</v>
      </c>
      <c r="K41" s="25">
        <v>48242</v>
      </c>
      <c r="L41" s="18">
        <f t="shared" si="5"/>
        <v>12835</v>
      </c>
      <c r="M41" s="61">
        <f t="shared" si="6"/>
        <v>35407</v>
      </c>
      <c r="N41" s="4">
        <f t="shared" si="0"/>
        <v>-25459</v>
      </c>
      <c r="O41" s="233">
        <f t="shared" si="7"/>
        <v>-30257</v>
      </c>
      <c r="P41" s="223">
        <f t="shared" si="8"/>
        <v>-2.3574429080048165</v>
      </c>
      <c r="Q41" s="224"/>
      <c r="R41" s="224"/>
      <c r="S41" s="225"/>
      <c r="T41" s="225"/>
      <c r="U41" s="225"/>
      <c r="V41" s="225"/>
      <c r="Z41" s="23"/>
      <c r="AA41" s="23"/>
      <c r="AB41" s="23"/>
      <c r="AC41" s="23"/>
    </row>
    <row r="42" spans="1:29" x14ac:dyDescent="0.25">
      <c r="A42" s="222">
        <f>'A) Base RI'!A44</f>
        <v>5473</v>
      </c>
      <c r="B42" s="62" t="str">
        <f>'A) Base RI'!B44</f>
        <v>Boussens</v>
      </c>
      <c r="C42" s="61">
        <f>'D) Ecrêtage'!N42</f>
        <v>32904.507681159426</v>
      </c>
      <c r="D42" s="61">
        <v>29749</v>
      </c>
      <c r="E42" s="18">
        <v>46020</v>
      </c>
      <c r="F42" s="73">
        <v>50621</v>
      </c>
      <c r="G42" s="18">
        <f t="shared" si="1"/>
        <v>126390</v>
      </c>
      <c r="H42" s="61">
        <f t="shared" si="2"/>
        <v>263236</v>
      </c>
      <c r="I42" s="18">
        <f t="shared" si="3"/>
        <v>0</v>
      </c>
      <c r="J42" s="4">
        <f t="shared" si="4"/>
        <v>0</v>
      </c>
      <c r="K42" s="25">
        <v>11117</v>
      </c>
      <c r="L42" s="18">
        <f t="shared" si="5"/>
        <v>32905</v>
      </c>
      <c r="M42" s="61">
        <f t="shared" si="6"/>
        <v>0</v>
      </c>
      <c r="N42" s="4">
        <f t="shared" si="0"/>
        <v>0</v>
      </c>
      <c r="O42" s="233">
        <f t="shared" si="7"/>
        <v>0</v>
      </c>
      <c r="P42" s="223">
        <f t="shared" si="8"/>
        <v>0</v>
      </c>
      <c r="Q42" s="224"/>
      <c r="R42" s="224"/>
      <c r="S42" s="225"/>
      <c r="T42" s="225"/>
      <c r="U42" s="225"/>
      <c r="V42" s="225"/>
      <c r="Z42" s="23"/>
      <c r="AA42" s="23"/>
      <c r="AB42" s="23"/>
      <c r="AC42" s="23"/>
    </row>
    <row r="43" spans="1:29" x14ac:dyDescent="0.25">
      <c r="A43" s="222">
        <f>'A) Base RI'!A45</f>
        <v>5474</v>
      </c>
      <c r="B43" s="62" t="str">
        <f>'A) Base RI'!B45</f>
        <v>La Chaux (Cossonay)</v>
      </c>
      <c r="C43" s="61">
        <f>'D) Ecrêtage'!N43</f>
        <v>12942.370952380952</v>
      </c>
      <c r="D43" s="61">
        <v>221578</v>
      </c>
      <c r="E43" s="18">
        <v>12196</v>
      </c>
      <c r="F43" s="73">
        <v>60134</v>
      </c>
      <c r="G43" s="18">
        <f t="shared" si="1"/>
        <v>293908</v>
      </c>
      <c r="H43" s="61">
        <f t="shared" si="2"/>
        <v>103539</v>
      </c>
      <c r="I43" s="18">
        <f t="shared" si="3"/>
        <v>190369</v>
      </c>
      <c r="J43" s="4">
        <f t="shared" si="4"/>
        <v>-136885</v>
      </c>
      <c r="K43" s="25">
        <v>17342</v>
      </c>
      <c r="L43" s="18">
        <f t="shared" si="5"/>
        <v>12942</v>
      </c>
      <c r="M43" s="61">
        <f t="shared" si="6"/>
        <v>4400</v>
      </c>
      <c r="N43" s="4">
        <f t="shared" si="0"/>
        <v>-3164</v>
      </c>
      <c r="O43" s="233">
        <f t="shared" si="7"/>
        <v>-140049</v>
      </c>
      <c r="P43" s="223">
        <f t="shared" si="8"/>
        <v>-10.820969396974037</v>
      </c>
      <c r="Q43" s="224"/>
      <c r="R43" s="224"/>
      <c r="S43" s="225"/>
      <c r="T43" s="225"/>
      <c r="U43" s="225"/>
      <c r="V43" s="225"/>
      <c r="Z43" s="23"/>
      <c r="AA43" s="23"/>
      <c r="AB43" s="23"/>
      <c r="AC43" s="23"/>
    </row>
    <row r="44" spans="1:29" x14ac:dyDescent="0.25">
      <c r="A44" s="222">
        <f>'A) Base RI'!A46</f>
        <v>5475</v>
      </c>
      <c r="B44" s="62" t="str">
        <f>'A) Base RI'!B46</f>
        <v>Chavannes-le-Veyron</v>
      </c>
      <c r="C44" s="61">
        <f>'D) Ecrêtage'!N44</f>
        <v>2876.9510389610391</v>
      </c>
      <c r="D44" s="61">
        <v>39070</v>
      </c>
      <c r="E44" s="18">
        <v>3673</v>
      </c>
      <c r="F44" s="73">
        <v>20960</v>
      </c>
      <c r="G44" s="18">
        <f t="shared" si="1"/>
        <v>63703</v>
      </c>
      <c r="H44" s="61">
        <f t="shared" si="2"/>
        <v>23016</v>
      </c>
      <c r="I44" s="18">
        <f t="shared" si="3"/>
        <v>40687</v>
      </c>
      <c r="J44" s="4">
        <f t="shared" si="4"/>
        <v>-29256</v>
      </c>
      <c r="K44" s="25">
        <v>-774</v>
      </c>
      <c r="L44" s="18">
        <f t="shared" si="5"/>
        <v>2877</v>
      </c>
      <c r="M44" s="61">
        <f t="shared" si="6"/>
        <v>0</v>
      </c>
      <c r="N44" s="4">
        <f t="shared" si="0"/>
        <v>0</v>
      </c>
      <c r="O44" s="233">
        <f t="shared" si="7"/>
        <v>-29256</v>
      </c>
      <c r="P44" s="223">
        <f t="shared" si="8"/>
        <v>-10.1690990231677</v>
      </c>
      <c r="Q44" s="224"/>
      <c r="R44" s="224"/>
      <c r="S44" s="225"/>
      <c r="T44" s="225"/>
      <c r="U44" s="225"/>
      <c r="V44" s="225"/>
      <c r="Z44" s="23"/>
      <c r="AA44" s="23"/>
      <c r="AB44" s="23"/>
      <c r="AC44" s="23"/>
    </row>
    <row r="45" spans="1:29" x14ac:dyDescent="0.25">
      <c r="A45" s="222">
        <f>'A) Base RI'!A47</f>
        <v>5476</v>
      </c>
      <c r="B45" s="62" t="str">
        <f>'A) Base RI'!B47</f>
        <v>Chevilly</v>
      </c>
      <c r="C45" s="61">
        <f>'D) Ecrêtage'!N45</f>
        <v>7286.6650000000009</v>
      </c>
      <c r="D45" s="61">
        <v>38969</v>
      </c>
      <c r="E45" s="18">
        <v>23784</v>
      </c>
      <c r="F45" s="73">
        <v>47386</v>
      </c>
      <c r="G45" s="18">
        <f t="shared" si="1"/>
        <v>110139</v>
      </c>
      <c r="H45" s="61">
        <f t="shared" si="2"/>
        <v>58293</v>
      </c>
      <c r="I45" s="18">
        <f t="shared" si="3"/>
        <v>51846</v>
      </c>
      <c r="J45" s="4">
        <f t="shared" si="4"/>
        <v>-37280</v>
      </c>
      <c r="K45" s="25">
        <v>2064</v>
      </c>
      <c r="L45" s="18">
        <f t="shared" si="5"/>
        <v>7287</v>
      </c>
      <c r="M45" s="61">
        <f t="shared" si="6"/>
        <v>0</v>
      </c>
      <c r="N45" s="4">
        <f t="shared" si="0"/>
        <v>0</v>
      </c>
      <c r="O45" s="233">
        <f t="shared" si="7"/>
        <v>-37280</v>
      </c>
      <c r="P45" s="223">
        <f t="shared" si="8"/>
        <v>-5.1161951317921153</v>
      </c>
      <c r="Q45" s="224"/>
      <c r="R45" s="224"/>
      <c r="S45" s="225"/>
      <c r="T45" s="225"/>
      <c r="U45" s="225"/>
      <c r="V45" s="225"/>
      <c r="Z45" s="23"/>
      <c r="AA45" s="23"/>
      <c r="AB45" s="23"/>
      <c r="AC45" s="23"/>
    </row>
    <row r="46" spans="1:29" x14ac:dyDescent="0.25">
      <c r="A46" s="222">
        <f>'A) Base RI'!A48</f>
        <v>5477</v>
      </c>
      <c r="B46" s="62" t="str">
        <f>'A) Base RI'!B48</f>
        <v>Cossonay</v>
      </c>
      <c r="C46" s="61">
        <f>'D) Ecrêtage'!N46</f>
        <v>125737.979346211</v>
      </c>
      <c r="D46" s="61">
        <v>1012857</v>
      </c>
      <c r="E46" s="18">
        <v>252590</v>
      </c>
      <c r="F46" s="73">
        <v>519987</v>
      </c>
      <c r="G46" s="18">
        <f t="shared" si="1"/>
        <v>1785434</v>
      </c>
      <c r="H46" s="61">
        <f t="shared" si="2"/>
        <v>1005904</v>
      </c>
      <c r="I46" s="18">
        <f t="shared" si="3"/>
        <v>779530</v>
      </c>
      <c r="J46" s="4">
        <f t="shared" si="4"/>
        <v>-560522</v>
      </c>
      <c r="K46" s="25">
        <v>67960</v>
      </c>
      <c r="L46" s="18">
        <f t="shared" si="5"/>
        <v>125738</v>
      </c>
      <c r="M46" s="61">
        <f t="shared" si="6"/>
        <v>0</v>
      </c>
      <c r="N46" s="4">
        <f t="shared" si="0"/>
        <v>0</v>
      </c>
      <c r="O46" s="233">
        <f t="shared" si="7"/>
        <v>-560522</v>
      </c>
      <c r="P46" s="223">
        <f t="shared" si="8"/>
        <v>-4.4578575456238303</v>
      </c>
      <c r="Q46" s="224"/>
      <c r="R46" s="224"/>
      <c r="S46" s="225"/>
      <c r="T46" s="225"/>
      <c r="U46" s="225"/>
      <c r="V46" s="225"/>
      <c r="Z46" s="23"/>
      <c r="AA46" s="23"/>
      <c r="AB46" s="23"/>
      <c r="AC46" s="23"/>
    </row>
    <row r="47" spans="1:29" x14ac:dyDescent="0.25">
      <c r="A47" s="222">
        <f>'A) Base RI'!A49</f>
        <v>5478</v>
      </c>
      <c r="B47" s="62" t="str">
        <f>'A) Base RI'!B49</f>
        <v>Cottens</v>
      </c>
      <c r="C47" s="61">
        <f>'D) Ecrêtage'!N47</f>
        <v>15613.399583333334</v>
      </c>
      <c r="D47" s="61">
        <v>37764</v>
      </c>
      <c r="E47" s="18">
        <v>13349</v>
      </c>
      <c r="F47" s="73">
        <v>60283</v>
      </c>
      <c r="G47" s="18">
        <f t="shared" si="1"/>
        <v>111396</v>
      </c>
      <c r="H47" s="61">
        <f t="shared" si="2"/>
        <v>124907</v>
      </c>
      <c r="I47" s="18">
        <f t="shared" si="3"/>
        <v>0</v>
      </c>
      <c r="J47" s="4">
        <f t="shared" si="4"/>
        <v>0</v>
      </c>
      <c r="K47" s="25">
        <v>3057</v>
      </c>
      <c r="L47" s="18">
        <f t="shared" si="5"/>
        <v>15613</v>
      </c>
      <c r="M47" s="61">
        <f t="shared" si="6"/>
        <v>0</v>
      </c>
      <c r="N47" s="4">
        <f t="shared" si="0"/>
        <v>0</v>
      </c>
      <c r="O47" s="233">
        <f t="shared" si="7"/>
        <v>0</v>
      </c>
      <c r="P47" s="223">
        <f t="shared" si="8"/>
        <v>0</v>
      </c>
      <c r="Q47" s="224"/>
      <c r="R47" s="224"/>
      <c r="S47" s="225"/>
      <c r="T47" s="225"/>
      <c r="U47" s="225"/>
      <c r="V47" s="225"/>
      <c r="Z47" s="23"/>
      <c r="AA47" s="23"/>
      <c r="AB47" s="23"/>
      <c r="AC47" s="23"/>
    </row>
    <row r="48" spans="1:29" x14ac:dyDescent="0.25">
      <c r="A48" s="222">
        <f>'A) Base RI'!A50</f>
        <v>5479</v>
      </c>
      <c r="B48" s="62" t="str">
        <f>'A) Base RI'!B50</f>
        <v>Cuarnens</v>
      </c>
      <c r="C48" s="61">
        <f>'D) Ecrêtage'!N48</f>
        <v>12479.493246753247</v>
      </c>
      <c r="D48" s="61">
        <v>260893</v>
      </c>
      <c r="E48" s="18">
        <v>11805</v>
      </c>
      <c r="F48" s="73">
        <v>70628</v>
      </c>
      <c r="G48" s="18">
        <f t="shared" si="1"/>
        <v>343326</v>
      </c>
      <c r="H48" s="61">
        <f t="shared" si="2"/>
        <v>99836</v>
      </c>
      <c r="I48" s="18">
        <f t="shared" si="3"/>
        <v>243490</v>
      </c>
      <c r="J48" s="4">
        <f t="shared" si="4"/>
        <v>-175082</v>
      </c>
      <c r="K48" s="25">
        <v>82828</v>
      </c>
      <c r="L48" s="18">
        <f t="shared" si="5"/>
        <v>12479</v>
      </c>
      <c r="M48" s="61">
        <f t="shared" si="6"/>
        <v>70349</v>
      </c>
      <c r="N48" s="4">
        <f t="shared" si="0"/>
        <v>-50585</v>
      </c>
      <c r="O48" s="233">
        <f t="shared" si="7"/>
        <v>-225667</v>
      </c>
      <c r="P48" s="223">
        <f t="shared" si="8"/>
        <v>-18.083025932059471</v>
      </c>
      <c r="Q48" s="224"/>
      <c r="R48" s="224"/>
      <c r="S48" s="225"/>
      <c r="T48" s="225"/>
      <c r="U48" s="225"/>
      <c r="V48" s="225"/>
      <c r="Z48" s="23"/>
      <c r="AA48" s="23"/>
      <c r="AB48" s="23"/>
      <c r="AC48" s="23"/>
    </row>
    <row r="49" spans="1:29" x14ac:dyDescent="0.25">
      <c r="A49" s="222">
        <f>'A) Base RI'!A51</f>
        <v>5480</v>
      </c>
      <c r="B49" s="62" t="str">
        <f>'A) Base RI'!B51</f>
        <v>Daillens</v>
      </c>
      <c r="C49" s="61">
        <f>'D) Ecrêtage'!N49</f>
        <v>38475.41492957747</v>
      </c>
      <c r="D49" s="61">
        <v>325857</v>
      </c>
      <c r="E49" s="18">
        <v>60783</v>
      </c>
      <c r="F49" s="73">
        <v>132372</v>
      </c>
      <c r="G49" s="18">
        <f t="shared" si="1"/>
        <v>519012</v>
      </c>
      <c r="H49" s="61">
        <f t="shared" si="2"/>
        <v>307803</v>
      </c>
      <c r="I49" s="18">
        <f t="shared" si="3"/>
        <v>211209</v>
      </c>
      <c r="J49" s="4">
        <f t="shared" si="4"/>
        <v>-151870</v>
      </c>
      <c r="K49" s="25">
        <v>6544</v>
      </c>
      <c r="L49" s="18">
        <f t="shared" si="5"/>
        <v>38475</v>
      </c>
      <c r="M49" s="61">
        <f t="shared" si="6"/>
        <v>0</v>
      </c>
      <c r="N49" s="4">
        <f t="shared" si="0"/>
        <v>0</v>
      </c>
      <c r="O49" s="233">
        <f t="shared" si="7"/>
        <v>-151870</v>
      </c>
      <c r="P49" s="223">
        <f t="shared" si="8"/>
        <v>-3.9471958984190691</v>
      </c>
      <c r="Q49" s="224"/>
      <c r="R49" s="224"/>
      <c r="S49" s="225"/>
      <c r="T49" s="225"/>
      <c r="U49" s="225"/>
      <c r="V49" s="225"/>
      <c r="Z49" s="23"/>
      <c r="AA49" s="23"/>
      <c r="AB49" s="23"/>
      <c r="AC49" s="23"/>
    </row>
    <row r="50" spans="1:29" x14ac:dyDescent="0.25">
      <c r="A50" s="222">
        <f>'A) Base RI'!A52</f>
        <v>5481</v>
      </c>
      <c r="B50" s="62" t="str">
        <f>'A) Base RI'!B52</f>
        <v>Dizy</v>
      </c>
      <c r="C50" s="61">
        <f>'D) Ecrêtage'!N50</f>
        <v>8070.2010810810825</v>
      </c>
      <c r="D50" s="61">
        <v>50951</v>
      </c>
      <c r="E50" s="18">
        <v>0</v>
      </c>
      <c r="F50" s="73">
        <v>34364</v>
      </c>
      <c r="G50" s="18">
        <f t="shared" si="1"/>
        <v>85315</v>
      </c>
      <c r="H50" s="61">
        <f t="shared" si="2"/>
        <v>64562</v>
      </c>
      <c r="I50" s="18">
        <f t="shared" si="3"/>
        <v>20753</v>
      </c>
      <c r="J50" s="4">
        <f t="shared" si="4"/>
        <v>-14922</v>
      </c>
      <c r="K50" s="25">
        <v>5594</v>
      </c>
      <c r="L50" s="18">
        <f t="shared" si="5"/>
        <v>8070</v>
      </c>
      <c r="M50" s="61">
        <f t="shared" si="6"/>
        <v>0</v>
      </c>
      <c r="N50" s="4">
        <f t="shared" si="0"/>
        <v>0</v>
      </c>
      <c r="O50" s="233">
        <f t="shared" si="7"/>
        <v>-14922</v>
      </c>
      <c r="P50" s="223">
        <f t="shared" si="8"/>
        <v>-1.8490245596211403</v>
      </c>
      <c r="Q50" s="224"/>
      <c r="R50" s="224"/>
      <c r="S50" s="225"/>
      <c r="T50" s="225"/>
      <c r="U50" s="225"/>
      <c r="V50" s="225"/>
      <c r="Z50" s="23"/>
      <c r="AA50" s="23"/>
      <c r="AB50" s="23"/>
      <c r="AC50" s="23"/>
    </row>
    <row r="51" spans="1:29" x14ac:dyDescent="0.25">
      <c r="A51" s="222">
        <f>'A) Base RI'!A53</f>
        <v>5482</v>
      </c>
      <c r="B51" s="62" t="str">
        <f>'A) Base RI'!B53</f>
        <v>Eclépens</v>
      </c>
      <c r="C51" s="61">
        <f>'D) Ecrêtage'!N51</f>
        <v>63915.275354987818</v>
      </c>
      <c r="D51" s="61">
        <v>233842</v>
      </c>
      <c r="E51" s="18">
        <v>73173</v>
      </c>
      <c r="F51" s="73">
        <v>425263</v>
      </c>
      <c r="G51" s="18">
        <f t="shared" si="1"/>
        <v>732278</v>
      </c>
      <c r="H51" s="61">
        <f t="shared" si="2"/>
        <v>511322</v>
      </c>
      <c r="I51" s="18">
        <f t="shared" si="3"/>
        <v>220956</v>
      </c>
      <c r="J51" s="4">
        <f t="shared" si="4"/>
        <v>-158879</v>
      </c>
      <c r="K51" s="25">
        <v>55971</v>
      </c>
      <c r="L51" s="18">
        <f t="shared" si="5"/>
        <v>63915</v>
      </c>
      <c r="M51" s="61">
        <f t="shared" si="6"/>
        <v>0</v>
      </c>
      <c r="N51" s="4">
        <f t="shared" si="0"/>
        <v>0</v>
      </c>
      <c r="O51" s="233">
        <f t="shared" si="7"/>
        <v>-158879</v>
      </c>
      <c r="P51" s="223">
        <f t="shared" si="8"/>
        <v>-2.4857751002022619</v>
      </c>
      <c r="Q51" s="224"/>
      <c r="R51" s="224"/>
      <c r="S51" s="225"/>
      <c r="T51" s="225"/>
      <c r="U51" s="225"/>
      <c r="V51" s="225"/>
      <c r="Z51" s="23"/>
      <c r="AA51" s="23"/>
      <c r="AB51" s="23"/>
      <c r="AC51" s="23"/>
    </row>
    <row r="52" spans="1:29" x14ac:dyDescent="0.25">
      <c r="A52" s="222">
        <f>'A) Base RI'!A54</f>
        <v>5483</v>
      </c>
      <c r="B52" s="62" t="str">
        <f>'A) Base RI'!B54</f>
        <v>Ferreyres</v>
      </c>
      <c r="C52" s="61">
        <f>'D) Ecrêtage'!N52</f>
        <v>10043.857368421051</v>
      </c>
      <c r="D52" s="61">
        <v>19999</v>
      </c>
      <c r="E52" s="18">
        <v>9461</v>
      </c>
      <c r="F52" s="73">
        <v>58137</v>
      </c>
      <c r="G52" s="18">
        <f t="shared" si="1"/>
        <v>87597</v>
      </c>
      <c r="H52" s="61">
        <f t="shared" si="2"/>
        <v>80351</v>
      </c>
      <c r="I52" s="18">
        <f t="shared" si="3"/>
        <v>7246</v>
      </c>
      <c r="J52" s="4">
        <f t="shared" si="4"/>
        <v>-5210</v>
      </c>
      <c r="K52" s="25">
        <v>3610</v>
      </c>
      <c r="L52" s="18">
        <f t="shared" si="5"/>
        <v>10044</v>
      </c>
      <c r="M52" s="61">
        <f t="shared" si="6"/>
        <v>0</v>
      </c>
      <c r="N52" s="4">
        <f t="shared" si="0"/>
        <v>0</v>
      </c>
      <c r="O52" s="233">
        <f t="shared" si="7"/>
        <v>-5210</v>
      </c>
      <c r="P52" s="223">
        <f t="shared" si="8"/>
        <v>-0.51872500861877935</v>
      </c>
      <c r="Q52" s="224"/>
      <c r="R52" s="224"/>
      <c r="S52" s="225"/>
      <c r="T52" s="225"/>
      <c r="U52" s="225"/>
      <c r="V52" s="225"/>
      <c r="Z52" s="23"/>
      <c r="AA52" s="23"/>
      <c r="AB52" s="23"/>
      <c r="AC52" s="23"/>
    </row>
    <row r="53" spans="1:29" x14ac:dyDescent="0.25">
      <c r="A53" s="222">
        <f>'A) Base RI'!A55</f>
        <v>5484</v>
      </c>
      <c r="B53" s="62" t="str">
        <f>'A) Base RI'!B55</f>
        <v>Gollion</v>
      </c>
      <c r="C53" s="61">
        <f>'D) Ecrêtage'!N53</f>
        <v>24450.824189189188</v>
      </c>
      <c r="D53" s="61">
        <v>273262</v>
      </c>
      <c r="E53" s="18">
        <v>22841</v>
      </c>
      <c r="F53" s="73">
        <v>103257</v>
      </c>
      <c r="G53" s="18">
        <f t="shared" si="1"/>
        <v>399360</v>
      </c>
      <c r="H53" s="61">
        <f t="shared" si="2"/>
        <v>195607</v>
      </c>
      <c r="I53" s="18">
        <f t="shared" si="3"/>
        <v>203753</v>
      </c>
      <c r="J53" s="4">
        <f t="shared" si="4"/>
        <v>-146509</v>
      </c>
      <c r="K53" s="25">
        <v>51830</v>
      </c>
      <c r="L53" s="18">
        <f t="shared" si="5"/>
        <v>24451</v>
      </c>
      <c r="M53" s="61">
        <f t="shared" si="6"/>
        <v>27379</v>
      </c>
      <c r="N53" s="4">
        <f t="shared" si="0"/>
        <v>-19687</v>
      </c>
      <c r="O53" s="233">
        <f t="shared" si="7"/>
        <v>-166196</v>
      </c>
      <c r="P53" s="223">
        <f t="shared" si="8"/>
        <v>-6.7971532866970898</v>
      </c>
      <c r="Q53" s="224"/>
      <c r="R53" s="224"/>
      <c r="S53" s="225"/>
      <c r="T53" s="225"/>
      <c r="U53" s="225"/>
      <c r="V53" s="225"/>
      <c r="Z53" s="23"/>
      <c r="AA53" s="23"/>
      <c r="AB53" s="23"/>
      <c r="AC53" s="23"/>
    </row>
    <row r="54" spans="1:29" x14ac:dyDescent="0.25">
      <c r="A54" s="222">
        <f>'A) Base RI'!A56</f>
        <v>5485</v>
      </c>
      <c r="B54" s="62" t="str">
        <f>'A) Base RI'!B56</f>
        <v>Grancy</v>
      </c>
      <c r="C54" s="61">
        <f>'D) Ecrêtage'!N54</f>
        <v>18011.997142857144</v>
      </c>
      <c r="D54" s="61">
        <v>217409</v>
      </c>
      <c r="E54" s="18">
        <v>11765</v>
      </c>
      <c r="F54" s="73">
        <v>55278</v>
      </c>
      <c r="G54" s="18">
        <f t="shared" si="1"/>
        <v>284452</v>
      </c>
      <c r="H54" s="61">
        <f t="shared" si="2"/>
        <v>144096</v>
      </c>
      <c r="I54" s="18">
        <f t="shared" si="3"/>
        <v>140356</v>
      </c>
      <c r="J54" s="4">
        <f t="shared" si="4"/>
        <v>-100923</v>
      </c>
      <c r="K54" s="25">
        <v>49272</v>
      </c>
      <c r="L54" s="18">
        <f t="shared" si="5"/>
        <v>18012</v>
      </c>
      <c r="M54" s="61">
        <f t="shared" si="6"/>
        <v>31260</v>
      </c>
      <c r="N54" s="4">
        <f t="shared" si="0"/>
        <v>-22478</v>
      </c>
      <c r="O54" s="233">
        <f t="shared" si="7"/>
        <v>-123401</v>
      </c>
      <c r="P54" s="223">
        <f t="shared" si="8"/>
        <v>-6.8510448353549744</v>
      </c>
      <c r="Q54" s="224"/>
      <c r="R54" s="224"/>
      <c r="S54" s="225"/>
      <c r="T54" s="225"/>
      <c r="U54" s="225"/>
      <c r="V54" s="225"/>
      <c r="Z54" s="23"/>
      <c r="AA54" s="23"/>
      <c r="AB54" s="23"/>
      <c r="AC54" s="23"/>
    </row>
    <row r="55" spans="1:29" x14ac:dyDescent="0.25">
      <c r="A55" s="222">
        <f>'A) Base RI'!A57</f>
        <v>5486</v>
      </c>
      <c r="B55" s="62" t="str">
        <f>'A) Base RI'!B57</f>
        <v>L'Isle</v>
      </c>
      <c r="C55" s="61">
        <f>'D) Ecrêtage'!N55</f>
        <v>26627.790138888886</v>
      </c>
      <c r="D55" s="61">
        <v>208997</v>
      </c>
      <c r="E55" s="18">
        <v>58251</v>
      </c>
      <c r="F55" s="73">
        <v>172899</v>
      </c>
      <c r="G55" s="18">
        <f t="shared" si="1"/>
        <v>440147</v>
      </c>
      <c r="H55" s="61">
        <f t="shared" si="2"/>
        <v>213022</v>
      </c>
      <c r="I55" s="18">
        <f t="shared" si="3"/>
        <v>227125</v>
      </c>
      <c r="J55" s="4">
        <f t="shared" si="4"/>
        <v>-163315</v>
      </c>
      <c r="K55" s="25">
        <v>180913</v>
      </c>
      <c r="L55" s="18">
        <f t="shared" si="5"/>
        <v>26628</v>
      </c>
      <c r="M55" s="61">
        <f t="shared" si="6"/>
        <v>154285</v>
      </c>
      <c r="N55" s="4">
        <f t="shared" si="0"/>
        <v>-110939</v>
      </c>
      <c r="O55" s="233">
        <f t="shared" si="7"/>
        <v>-274254</v>
      </c>
      <c r="P55" s="223">
        <f t="shared" si="8"/>
        <v>-10.299540388800885</v>
      </c>
      <c r="Q55" s="224"/>
      <c r="R55" s="224"/>
      <c r="S55" s="225"/>
      <c r="T55" s="225"/>
      <c r="U55" s="225"/>
      <c r="V55" s="225"/>
      <c r="Z55" s="23"/>
      <c r="AA55" s="23"/>
      <c r="AB55" s="23"/>
      <c r="AC55" s="23"/>
    </row>
    <row r="56" spans="1:29" x14ac:dyDescent="0.25">
      <c r="A56" s="222">
        <f>'A) Base RI'!A58</f>
        <v>5487</v>
      </c>
      <c r="B56" s="62" t="str">
        <f>'A) Base RI'!B58</f>
        <v>Lussery-Villars</v>
      </c>
      <c r="C56" s="61">
        <f>'D) Ecrêtage'!N56</f>
        <v>14161.564</v>
      </c>
      <c r="D56" s="61">
        <v>64076</v>
      </c>
      <c r="E56" s="18">
        <v>25708</v>
      </c>
      <c r="F56" s="73">
        <v>48264</v>
      </c>
      <c r="G56" s="18">
        <f t="shared" si="1"/>
        <v>138048</v>
      </c>
      <c r="H56" s="61">
        <f t="shared" si="2"/>
        <v>113293</v>
      </c>
      <c r="I56" s="18">
        <f t="shared" si="3"/>
        <v>24755</v>
      </c>
      <c r="J56" s="4">
        <f t="shared" si="4"/>
        <v>-17800</v>
      </c>
      <c r="K56" s="25">
        <v>2243</v>
      </c>
      <c r="L56" s="18">
        <f t="shared" si="5"/>
        <v>14162</v>
      </c>
      <c r="M56" s="61">
        <f t="shared" si="6"/>
        <v>0</v>
      </c>
      <c r="N56" s="4">
        <f t="shared" si="0"/>
        <v>0</v>
      </c>
      <c r="O56" s="233">
        <f t="shared" si="7"/>
        <v>-17800</v>
      </c>
      <c r="P56" s="223">
        <f t="shared" si="8"/>
        <v>-1.2569233172268262</v>
      </c>
      <c r="Q56" s="224"/>
      <c r="R56" s="224"/>
      <c r="S56" s="225"/>
      <c r="T56" s="225"/>
      <c r="U56" s="225"/>
      <c r="V56" s="225"/>
      <c r="Z56" s="23"/>
      <c r="AA56" s="23"/>
      <c r="AB56" s="23"/>
      <c r="AC56" s="23"/>
    </row>
    <row r="57" spans="1:29" x14ac:dyDescent="0.25">
      <c r="A57" s="222">
        <f>'A) Base RI'!A59</f>
        <v>5488</v>
      </c>
      <c r="B57" s="62" t="str">
        <f>'A) Base RI'!B59</f>
        <v>Mauraz</v>
      </c>
      <c r="C57" s="61">
        <f>'D) Ecrêtage'!N57</f>
        <v>1648.4024324324325</v>
      </c>
      <c r="D57" s="61">
        <v>4915</v>
      </c>
      <c r="E57" s="18">
        <v>0</v>
      </c>
      <c r="F57" s="73">
        <v>11655</v>
      </c>
      <c r="G57" s="18">
        <f t="shared" si="1"/>
        <v>16570</v>
      </c>
      <c r="H57" s="61">
        <f t="shared" si="2"/>
        <v>13187</v>
      </c>
      <c r="I57" s="18">
        <f t="shared" si="3"/>
        <v>3383</v>
      </c>
      <c r="J57" s="4">
        <f t="shared" si="4"/>
        <v>-2433</v>
      </c>
      <c r="K57" s="25">
        <v>0</v>
      </c>
      <c r="L57" s="18">
        <f t="shared" si="5"/>
        <v>1648</v>
      </c>
      <c r="M57" s="61">
        <f t="shared" si="6"/>
        <v>0</v>
      </c>
      <c r="N57" s="4">
        <f t="shared" si="0"/>
        <v>0</v>
      </c>
      <c r="O57" s="233">
        <f t="shared" si="7"/>
        <v>-2433</v>
      </c>
      <c r="P57" s="223">
        <f t="shared" si="8"/>
        <v>-1.4759745266875102</v>
      </c>
      <c r="Q57" s="224"/>
      <c r="R57" s="224"/>
      <c r="S57" s="225"/>
      <c r="T57" s="225"/>
      <c r="U57" s="225"/>
      <c r="V57" s="225"/>
      <c r="Z57" s="23"/>
      <c r="AA57" s="23"/>
      <c r="AB57" s="23"/>
      <c r="AC57" s="23"/>
    </row>
    <row r="58" spans="1:29" x14ac:dyDescent="0.25">
      <c r="A58" s="222">
        <f>'A) Base RI'!A60</f>
        <v>5489</v>
      </c>
      <c r="B58" s="62" t="str">
        <f>'A) Base RI'!B60</f>
        <v>Mex</v>
      </c>
      <c r="C58" s="61">
        <f>'D) Ecrêtage'!N58</f>
        <v>47065.380385310324</v>
      </c>
      <c r="D58" s="61">
        <v>220760</v>
      </c>
      <c r="E58" s="18">
        <v>22430</v>
      </c>
      <c r="F58" s="73">
        <v>76206</v>
      </c>
      <c r="G58" s="18">
        <f t="shared" si="1"/>
        <v>319396</v>
      </c>
      <c r="H58" s="61">
        <f t="shared" si="2"/>
        <v>376523</v>
      </c>
      <c r="I58" s="18">
        <f t="shared" si="3"/>
        <v>0</v>
      </c>
      <c r="J58" s="4">
        <f t="shared" si="4"/>
        <v>0</v>
      </c>
      <c r="K58" s="25">
        <v>64377</v>
      </c>
      <c r="L58" s="18">
        <f t="shared" si="5"/>
        <v>47065</v>
      </c>
      <c r="M58" s="61">
        <f t="shared" si="6"/>
        <v>17312</v>
      </c>
      <c r="N58" s="4">
        <f t="shared" si="0"/>
        <v>-12448</v>
      </c>
      <c r="O58" s="233">
        <f t="shared" si="7"/>
        <v>-12448</v>
      </c>
      <c r="P58" s="223">
        <f t="shared" si="8"/>
        <v>-0.26448314871975775</v>
      </c>
      <c r="Q58" s="224"/>
      <c r="R58" s="224"/>
      <c r="S58" s="225"/>
      <c r="T58" s="225"/>
      <c r="U58" s="225"/>
      <c r="V58" s="225"/>
      <c r="Z58" s="23"/>
      <c r="AA58" s="23"/>
      <c r="AB58" s="23"/>
      <c r="AC58" s="23"/>
    </row>
    <row r="59" spans="1:29" x14ac:dyDescent="0.25">
      <c r="A59" s="222">
        <f>'A) Base RI'!A61</f>
        <v>5490</v>
      </c>
      <c r="B59" s="62" t="str">
        <f>'A) Base RI'!B61</f>
        <v>Moiry</v>
      </c>
      <c r="C59" s="61">
        <f>'D) Ecrêtage'!N59</f>
        <v>7150.2259259259263</v>
      </c>
      <c r="D59" s="61">
        <v>23554</v>
      </c>
      <c r="E59" s="18">
        <v>7518</v>
      </c>
      <c r="F59" s="73">
        <v>51753</v>
      </c>
      <c r="G59" s="18">
        <f t="shared" si="1"/>
        <v>82825</v>
      </c>
      <c r="H59" s="61">
        <f t="shared" si="2"/>
        <v>57202</v>
      </c>
      <c r="I59" s="18">
        <f t="shared" si="3"/>
        <v>25623</v>
      </c>
      <c r="J59" s="4">
        <f t="shared" si="4"/>
        <v>-18424</v>
      </c>
      <c r="K59" s="25">
        <v>-1273</v>
      </c>
      <c r="L59" s="18">
        <f t="shared" si="5"/>
        <v>7150</v>
      </c>
      <c r="M59" s="61">
        <f t="shared" si="6"/>
        <v>0</v>
      </c>
      <c r="N59" s="4">
        <f t="shared" si="0"/>
        <v>0</v>
      </c>
      <c r="O59" s="233">
        <f t="shared" si="7"/>
        <v>-18424</v>
      </c>
      <c r="P59" s="223">
        <f t="shared" si="8"/>
        <v>-2.5767017980783824</v>
      </c>
      <c r="Q59" s="224"/>
      <c r="R59" s="224"/>
      <c r="S59" s="225"/>
      <c r="T59" s="225"/>
      <c r="U59" s="225"/>
      <c r="V59" s="225"/>
      <c r="Z59" s="23"/>
      <c r="AA59" s="23"/>
      <c r="AB59" s="23"/>
      <c r="AC59" s="23"/>
    </row>
    <row r="60" spans="1:29" x14ac:dyDescent="0.25">
      <c r="A60" s="222">
        <f>'A) Base RI'!A62</f>
        <v>5491</v>
      </c>
      <c r="B60" s="62" t="str">
        <f>'A) Base RI'!B62</f>
        <v>Mont-la-Ville</v>
      </c>
      <c r="C60" s="61">
        <f>'D) Ecrêtage'!N60</f>
        <v>9158.0513157894729</v>
      </c>
      <c r="D60" s="61">
        <v>120677</v>
      </c>
      <c r="E60" s="18">
        <v>9900</v>
      </c>
      <c r="F60" s="73">
        <v>70821</v>
      </c>
      <c r="G60" s="18">
        <f t="shared" si="1"/>
        <v>201398</v>
      </c>
      <c r="H60" s="61">
        <f t="shared" si="2"/>
        <v>73264</v>
      </c>
      <c r="I60" s="18">
        <f t="shared" si="3"/>
        <v>128134</v>
      </c>
      <c r="J60" s="4">
        <f t="shared" si="4"/>
        <v>-92135</v>
      </c>
      <c r="K60" s="25">
        <v>4119</v>
      </c>
      <c r="L60" s="18">
        <f t="shared" si="5"/>
        <v>9158</v>
      </c>
      <c r="M60" s="61">
        <f t="shared" si="6"/>
        <v>0</v>
      </c>
      <c r="N60" s="4">
        <f t="shared" si="0"/>
        <v>0</v>
      </c>
      <c r="O60" s="233">
        <f t="shared" si="7"/>
        <v>-92135</v>
      </c>
      <c r="P60" s="223">
        <f t="shared" si="8"/>
        <v>-10.060546378589217</v>
      </c>
      <c r="Q60" s="224"/>
      <c r="R60" s="224"/>
      <c r="S60" s="225"/>
      <c r="T60" s="225"/>
      <c r="U60" s="225"/>
      <c r="V60" s="225"/>
      <c r="Z60" s="23"/>
      <c r="AA60" s="23"/>
      <c r="AB60" s="23"/>
      <c r="AC60" s="23"/>
    </row>
    <row r="61" spans="1:29" x14ac:dyDescent="0.25">
      <c r="A61" s="222">
        <f>'A) Base RI'!A63</f>
        <v>5492</v>
      </c>
      <c r="B61" s="62" t="str">
        <f>'A) Base RI'!B63</f>
        <v>Montricher</v>
      </c>
      <c r="C61" s="61">
        <f>'D) Ecrêtage'!N61</f>
        <v>97460.937276275261</v>
      </c>
      <c r="D61" s="61">
        <v>232382</v>
      </c>
      <c r="E61" s="18">
        <v>130111</v>
      </c>
      <c r="F61" s="73">
        <v>163082</v>
      </c>
      <c r="G61" s="18">
        <f t="shared" ref="G61:G115" si="9">D61+E61+F61</f>
        <v>525575</v>
      </c>
      <c r="H61" s="61">
        <f t="shared" ref="H61:H115" si="10">ROUND(C61*I$4,0)</f>
        <v>779687</v>
      </c>
      <c r="I61" s="18">
        <f t="shared" ref="I61:I115" si="11">IF(G61&gt;H61,G61-H61,0)</f>
        <v>0</v>
      </c>
      <c r="J61" s="4">
        <f t="shared" ref="J61:J115" si="12">ROUND(-I61*J$4,0)</f>
        <v>0</v>
      </c>
      <c r="K61" s="25">
        <v>524410</v>
      </c>
      <c r="L61" s="18">
        <f t="shared" si="5"/>
        <v>97461</v>
      </c>
      <c r="M61" s="61">
        <f t="shared" ref="M61:M115" si="13">IF(K61&gt;L61,K61-L61,0)</f>
        <v>426949</v>
      </c>
      <c r="N61" s="4">
        <f t="shared" ref="N61:N115" si="14">ROUND(-M61*N$4,0)</f>
        <v>-306998</v>
      </c>
      <c r="O61" s="233">
        <f t="shared" ref="O61:O115" si="15">N61+J61</f>
        <v>-306998</v>
      </c>
      <c r="P61" s="223">
        <f t="shared" ref="P61:P115" si="16">O61/C61</f>
        <v>-3.1499594461085896</v>
      </c>
      <c r="Q61" s="224"/>
      <c r="R61" s="224"/>
      <c r="S61" s="225"/>
      <c r="T61" s="225"/>
      <c r="U61" s="225"/>
      <c r="V61" s="225"/>
      <c r="Z61" s="23"/>
      <c r="AA61" s="23"/>
      <c r="AB61" s="23"/>
      <c r="AC61" s="23"/>
    </row>
    <row r="62" spans="1:29" x14ac:dyDescent="0.25">
      <c r="A62" s="222">
        <f>'A) Base RI'!A64</f>
        <v>5493</v>
      </c>
      <c r="B62" s="62" t="str">
        <f>'A) Base RI'!B64</f>
        <v>Orny</v>
      </c>
      <c r="C62" s="61">
        <f>'D) Ecrêtage'!N62</f>
        <v>9474.9746364594321</v>
      </c>
      <c r="D62" s="61">
        <v>77027</v>
      </c>
      <c r="E62" s="18">
        <v>0</v>
      </c>
      <c r="F62" s="73">
        <v>69719</v>
      </c>
      <c r="G62" s="18">
        <f t="shared" si="9"/>
        <v>146746</v>
      </c>
      <c r="H62" s="61">
        <f t="shared" si="10"/>
        <v>75800</v>
      </c>
      <c r="I62" s="18">
        <f t="shared" si="11"/>
        <v>70946</v>
      </c>
      <c r="J62" s="4">
        <f t="shared" si="12"/>
        <v>-51014</v>
      </c>
      <c r="K62" s="25">
        <v>12566</v>
      </c>
      <c r="L62" s="18">
        <f t="shared" si="5"/>
        <v>9475</v>
      </c>
      <c r="M62" s="61">
        <f t="shared" si="13"/>
        <v>3091</v>
      </c>
      <c r="N62" s="4">
        <f t="shared" si="14"/>
        <v>-2223</v>
      </c>
      <c r="O62" s="233">
        <f t="shared" si="15"/>
        <v>-53237</v>
      </c>
      <c r="P62" s="223">
        <f t="shared" si="16"/>
        <v>-5.6186957794214605</v>
      </c>
      <c r="Q62" s="224"/>
      <c r="R62" s="224"/>
      <c r="S62" s="225"/>
      <c r="T62" s="225"/>
      <c r="U62" s="225"/>
      <c r="V62" s="225"/>
      <c r="Z62" s="23"/>
      <c r="AA62" s="23"/>
      <c r="AB62" s="23"/>
      <c r="AC62" s="23"/>
    </row>
    <row r="63" spans="1:29" x14ac:dyDescent="0.25">
      <c r="A63" s="222">
        <f>'A) Base RI'!A65</f>
        <v>5494</v>
      </c>
      <c r="B63" s="62" t="str">
        <f>'A) Base RI'!B65</f>
        <v>Pampigny</v>
      </c>
      <c r="C63" s="61">
        <f>'D) Ecrêtage'!N63</f>
        <v>34918.82189206349</v>
      </c>
      <c r="D63" s="61">
        <v>317850</v>
      </c>
      <c r="E63" s="18">
        <v>63474</v>
      </c>
      <c r="F63" s="73">
        <v>152993</v>
      </c>
      <c r="G63" s="18">
        <f t="shared" si="9"/>
        <v>534317</v>
      </c>
      <c r="H63" s="61">
        <f t="shared" si="10"/>
        <v>279351</v>
      </c>
      <c r="I63" s="18">
        <f t="shared" si="11"/>
        <v>254966</v>
      </c>
      <c r="J63" s="4">
        <f t="shared" si="12"/>
        <v>-183334</v>
      </c>
      <c r="K63" s="25">
        <v>51229</v>
      </c>
      <c r="L63" s="18">
        <f t="shared" si="5"/>
        <v>34919</v>
      </c>
      <c r="M63" s="61">
        <f t="shared" si="13"/>
        <v>16310</v>
      </c>
      <c r="N63" s="4">
        <f t="shared" si="14"/>
        <v>-11728</v>
      </c>
      <c r="O63" s="233">
        <f t="shared" si="15"/>
        <v>-195062</v>
      </c>
      <c r="P63" s="223">
        <f t="shared" si="16"/>
        <v>-5.5861563887507497</v>
      </c>
      <c r="Q63" s="224"/>
      <c r="R63" s="224"/>
      <c r="S63" s="225"/>
      <c r="T63" s="225"/>
      <c r="U63" s="225"/>
      <c r="V63" s="225"/>
      <c r="Z63" s="23"/>
      <c r="AA63" s="23"/>
      <c r="AB63" s="23"/>
      <c r="AC63" s="23"/>
    </row>
    <row r="64" spans="1:29" x14ac:dyDescent="0.25">
      <c r="A64" s="222">
        <f>'A) Base RI'!A66</f>
        <v>5495</v>
      </c>
      <c r="B64" s="62" t="str">
        <f>'A) Base RI'!B66</f>
        <v>Penthalaz</v>
      </c>
      <c r="C64" s="61">
        <f>'D) Ecrêtage'!N64</f>
        <v>87716.055405405408</v>
      </c>
      <c r="D64" s="61">
        <v>624423</v>
      </c>
      <c r="E64" s="18">
        <v>329403</v>
      </c>
      <c r="F64" s="73">
        <v>377567</v>
      </c>
      <c r="G64" s="18">
        <f t="shared" si="9"/>
        <v>1331393</v>
      </c>
      <c r="H64" s="61">
        <f t="shared" si="10"/>
        <v>701728</v>
      </c>
      <c r="I64" s="18">
        <f t="shared" si="11"/>
        <v>629665</v>
      </c>
      <c r="J64" s="4">
        <f t="shared" si="12"/>
        <v>-452762</v>
      </c>
      <c r="K64" s="25">
        <v>85972</v>
      </c>
      <c r="L64" s="18">
        <f t="shared" si="5"/>
        <v>87716</v>
      </c>
      <c r="M64" s="61">
        <f t="shared" si="13"/>
        <v>0</v>
      </c>
      <c r="N64" s="4">
        <f t="shared" si="14"/>
        <v>0</v>
      </c>
      <c r="O64" s="233">
        <f t="shared" si="15"/>
        <v>-452762</v>
      </c>
      <c r="P64" s="223">
        <f t="shared" si="16"/>
        <v>-5.1616776188512805</v>
      </c>
      <c r="Q64" s="224"/>
      <c r="R64" s="224"/>
      <c r="S64" s="225"/>
      <c r="T64" s="225"/>
      <c r="U64" s="225"/>
      <c r="V64" s="225"/>
      <c r="Z64" s="23"/>
      <c r="AA64" s="23"/>
      <c r="AB64" s="23"/>
      <c r="AC64" s="23"/>
    </row>
    <row r="65" spans="1:29" x14ac:dyDescent="0.25">
      <c r="A65" s="222">
        <f>'A) Base RI'!A67</f>
        <v>5496</v>
      </c>
      <c r="B65" s="62" t="str">
        <f>'A) Base RI'!B67</f>
        <v>Penthaz</v>
      </c>
      <c r="C65" s="61">
        <f>'D) Ecrêtage'!N65</f>
        <v>51566.366901408452</v>
      </c>
      <c r="D65" s="61">
        <v>379856</v>
      </c>
      <c r="E65" s="18">
        <v>109875</v>
      </c>
      <c r="F65" s="73">
        <v>239520</v>
      </c>
      <c r="G65" s="18">
        <f t="shared" si="9"/>
        <v>729251</v>
      </c>
      <c r="H65" s="61">
        <f t="shared" si="10"/>
        <v>412531</v>
      </c>
      <c r="I65" s="18">
        <f t="shared" si="11"/>
        <v>316720</v>
      </c>
      <c r="J65" s="4">
        <f t="shared" si="12"/>
        <v>-227738</v>
      </c>
      <c r="K65" s="25">
        <v>8064</v>
      </c>
      <c r="L65" s="18">
        <f t="shared" si="5"/>
        <v>51566</v>
      </c>
      <c r="M65" s="61">
        <f t="shared" si="13"/>
        <v>0</v>
      </c>
      <c r="N65" s="4">
        <f t="shared" si="14"/>
        <v>0</v>
      </c>
      <c r="O65" s="233">
        <f t="shared" si="15"/>
        <v>-227738</v>
      </c>
      <c r="P65" s="223">
        <f t="shared" si="16"/>
        <v>-4.416405763768859</v>
      </c>
      <c r="Q65" s="224"/>
      <c r="R65" s="224"/>
      <c r="S65" s="225"/>
      <c r="T65" s="225"/>
      <c r="U65" s="225"/>
      <c r="V65" s="225"/>
      <c r="Z65" s="23"/>
      <c r="AA65" s="23"/>
      <c r="AB65" s="23"/>
      <c r="AC65" s="23"/>
    </row>
    <row r="66" spans="1:29" x14ac:dyDescent="0.25">
      <c r="A66" s="222">
        <f>'A) Base RI'!A68</f>
        <v>5497</v>
      </c>
      <c r="B66" s="62" t="str">
        <f>'A) Base RI'!B68</f>
        <v>Pompaples</v>
      </c>
      <c r="C66" s="61">
        <f>'D) Ecrêtage'!N66</f>
        <v>20299.313939393938</v>
      </c>
      <c r="D66" s="61">
        <v>184796</v>
      </c>
      <c r="E66" s="18">
        <v>34650</v>
      </c>
      <c r="F66" s="73">
        <v>159951</v>
      </c>
      <c r="G66" s="18">
        <f t="shared" si="9"/>
        <v>379397</v>
      </c>
      <c r="H66" s="61">
        <f t="shared" si="10"/>
        <v>162395</v>
      </c>
      <c r="I66" s="18">
        <f t="shared" si="11"/>
        <v>217002</v>
      </c>
      <c r="J66" s="4">
        <f t="shared" si="12"/>
        <v>-156036</v>
      </c>
      <c r="K66" s="25">
        <v>16780</v>
      </c>
      <c r="L66" s="18">
        <f t="shared" si="5"/>
        <v>20299</v>
      </c>
      <c r="M66" s="61">
        <f t="shared" si="13"/>
        <v>0</v>
      </c>
      <c r="N66" s="4">
        <f t="shared" si="14"/>
        <v>0</v>
      </c>
      <c r="O66" s="233">
        <f t="shared" si="15"/>
        <v>-156036</v>
      </c>
      <c r="P66" s="223">
        <f t="shared" si="16"/>
        <v>-7.6867622455549185</v>
      </c>
      <c r="Q66" s="224"/>
      <c r="R66" s="224"/>
      <c r="S66" s="225"/>
      <c r="T66" s="225"/>
      <c r="U66" s="225"/>
      <c r="V66" s="225"/>
      <c r="Z66" s="23"/>
      <c r="AA66" s="23"/>
      <c r="AB66" s="23"/>
      <c r="AC66" s="23"/>
    </row>
    <row r="67" spans="1:29" x14ac:dyDescent="0.25">
      <c r="A67" s="222">
        <f>'A) Base RI'!A69</f>
        <v>5498</v>
      </c>
      <c r="B67" s="62" t="str">
        <f>'A) Base RI'!B69</f>
        <v>La Sarraz</v>
      </c>
      <c r="C67" s="61">
        <f>'D) Ecrêtage'!N67</f>
        <v>72296.623593750002</v>
      </c>
      <c r="D67" s="61">
        <v>534678</v>
      </c>
      <c r="E67" s="18">
        <v>175687</v>
      </c>
      <c r="F67" s="73">
        <v>477846</v>
      </c>
      <c r="G67" s="18">
        <f t="shared" si="9"/>
        <v>1188211</v>
      </c>
      <c r="H67" s="61">
        <f t="shared" si="10"/>
        <v>578373</v>
      </c>
      <c r="I67" s="18">
        <f t="shared" si="11"/>
        <v>609838</v>
      </c>
      <c r="J67" s="4">
        <f t="shared" si="12"/>
        <v>-438505</v>
      </c>
      <c r="K67" s="25">
        <v>24029</v>
      </c>
      <c r="L67" s="18">
        <f t="shared" si="5"/>
        <v>72297</v>
      </c>
      <c r="M67" s="61">
        <f t="shared" si="13"/>
        <v>0</v>
      </c>
      <c r="N67" s="4">
        <f t="shared" si="14"/>
        <v>0</v>
      </c>
      <c r="O67" s="233">
        <f t="shared" si="15"/>
        <v>-438505</v>
      </c>
      <c r="P67" s="223">
        <f t="shared" si="16"/>
        <v>-6.0653593238883774</v>
      </c>
      <c r="Q67" s="224"/>
      <c r="R67" s="224"/>
      <c r="S67" s="225"/>
      <c r="T67" s="225"/>
      <c r="U67" s="225"/>
      <c r="V67" s="225"/>
      <c r="Z67" s="23"/>
      <c r="AA67" s="23"/>
      <c r="AB67" s="23"/>
      <c r="AC67" s="23"/>
    </row>
    <row r="68" spans="1:29" x14ac:dyDescent="0.25">
      <c r="A68" s="222">
        <f>'A) Base RI'!A70</f>
        <v>5499</v>
      </c>
      <c r="B68" s="62" t="str">
        <f>'A) Base RI'!B70</f>
        <v>Senarclens</v>
      </c>
      <c r="C68" s="61">
        <f>'D) Ecrêtage'!N68</f>
        <v>17459.062919708031</v>
      </c>
      <c r="D68" s="61">
        <v>79267</v>
      </c>
      <c r="E68" s="18">
        <v>12588</v>
      </c>
      <c r="F68" s="73">
        <v>68896</v>
      </c>
      <c r="G68" s="18">
        <f t="shared" si="9"/>
        <v>160751</v>
      </c>
      <c r="H68" s="61">
        <f t="shared" si="10"/>
        <v>139673</v>
      </c>
      <c r="I68" s="18">
        <f t="shared" si="11"/>
        <v>21078</v>
      </c>
      <c r="J68" s="4">
        <f t="shared" si="12"/>
        <v>-15156</v>
      </c>
      <c r="K68" s="25">
        <v>5253</v>
      </c>
      <c r="L68" s="18">
        <f t="shared" si="5"/>
        <v>17459</v>
      </c>
      <c r="M68" s="61">
        <f t="shared" si="13"/>
        <v>0</v>
      </c>
      <c r="N68" s="4">
        <f t="shared" si="14"/>
        <v>0</v>
      </c>
      <c r="O68" s="233">
        <f t="shared" si="15"/>
        <v>-15156</v>
      </c>
      <c r="P68" s="223">
        <f t="shared" si="16"/>
        <v>-0.86808782749111346</v>
      </c>
      <c r="Q68" s="224"/>
      <c r="R68" s="224"/>
      <c r="S68" s="225"/>
      <c r="T68" s="225"/>
      <c r="U68" s="225"/>
      <c r="V68" s="225"/>
      <c r="Z68" s="23"/>
      <c r="AA68" s="23"/>
      <c r="AB68" s="23"/>
      <c r="AC68" s="23"/>
    </row>
    <row r="69" spans="1:29" x14ac:dyDescent="0.25">
      <c r="A69" s="222">
        <f>'A) Base RI'!A71</f>
        <v>5500</v>
      </c>
      <c r="B69" s="62" t="str">
        <f>'A) Base RI'!B71</f>
        <v>Sévery</v>
      </c>
      <c r="C69" s="61">
        <f>'D) Ecrêtage'!N69</f>
        <v>6102.0277564102553</v>
      </c>
      <c r="D69" s="61">
        <v>25195</v>
      </c>
      <c r="E69" s="18">
        <v>9082</v>
      </c>
      <c r="F69" s="73">
        <v>22078</v>
      </c>
      <c r="G69" s="18">
        <f t="shared" si="9"/>
        <v>56355</v>
      </c>
      <c r="H69" s="61">
        <f t="shared" si="10"/>
        <v>48816</v>
      </c>
      <c r="I69" s="18">
        <f t="shared" si="11"/>
        <v>7539</v>
      </c>
      <c r="J69" s="4">
        <f t="shared" si="12"/>
        <v>-5421</v>
      </c>
      <c r="K69" s="25">
        <v>7961</v>
      </c>
      <c r="L69" s="18">
        <f t="shared" si="5"/>
        <v>6102</v>
      </c>
      <c r="M69" s="61">
        <f t="shared" si="13"/>
        <v>1859</v>
      </c>
      <c r="N69" s="4">
        <f t="shared" si="14"/>
        <v>-1337</v>
      </c>
      <c r="O69" s="233">
        <f t="shared" si="15"/>
        <v>-6758</v>
      </c>
      <c r="P69" s="223">
        <f t="shared" si="16"/>
        <v>-1.1075006980918167</v>
      </c>
      <c r="Q69" s="224"/>
      <c r="R69" s="224"/>
      <c r="S69" s="225"/>
      <c r="T69" s="225"/>
      <c r="U69" s="225"/>
      <c r="V69" s="225"/>
      <c r="Z69" s="23"/>
      <c r="AA69" s="23"/>
      <c r="AB69" s="23"/>
      <c r="AC69" s="23"/>
    </row>
    <row r="70" spans="1:29" x14ac:dyDescent="0.25">
      <c r="A70" s="222">
        <f>'A) Base RI'!A72</f>
        <v>5501</v>
      </c>
      <c r="B70" s="62" t="str">
        <f>'A) Base RI'!B72</f>
        <v>Sullens</v>
      </c>
      <c r="C70" s="61">
        <f>'D) Ecrêtage'!N70</f>
        <v>37787.89666666666</v>
      </c>
      <c r="D70" s="61">
        <v>169574</v>
      </c>
      <c r="E70" s="18">
        <v>44915</v>
      </c>
      <c r="F70" s="73">
        <v>39526</v>
      </c>
      <c r="G70" s="18">
        <f t="shared" si="9"/>
        <v>254015</v>
      </c>
      <c r="H70" s="61">
        <f t="shared" si="10"/>
        <v>302303</v>
      </c>
      <c r="I70" s="18">
        <f t="shared" si="11"/>
        <v>0</v>
      </c>
      <c r="J70" s="4">
        <f t="shared" si="12"/>
        <v>0</v>
      </c>
      <c r="K70" s="25">
        <v>45519</v>
      </c>
      <c r="L70" s="18">
        <f t="shared" ref="L70:L133" si="17">ROUND(C70*M$4,0)</f>
        <v>37788</v>
      </c>
      <c r="M70" s="61">
        <f t="shared" si="13"/>
        <v>7731</v>
      </c>
      <c r="N70" s="4">
        <f t="shared" si="14"/>
        <v>-5559</v>
      </c>
      <c r="O70" s="233">
        <f t="shared" si="15"/>
        <v>-5559</v>
      </c>
      <c r="P70" s="223">
        <f t="shared" si="16"/>
        <v>-0.14711059599418477</v>
      </c>
      <c r="Q70" s="224"/>
      <c r="R70" s="224"/>
      <c r="S70" s="225"/>
      <c r="T70" s="225"/>
      <c r="U70" s="225"/>
      <c r="V70" s="225"/>
      <c r="Z70" s="23"/>
      <c r="AA70" s="23"/>
      <c r="AB70" s="23"/>
      <c r="AC70" s="23"/>
    </row>
    <row r="71" spans="1:29" x14ac:dyDescent="0.25">
      <c r="A71" s="222">
        <f>'A) Base RI'!A73</f>
        <v>5503</v>
      </c>
      <c r="B71" s="62" t="str">
        <f>'A) Base RI'!B73</f>
        <v>Vufflens-la-Ville</v>
      </c>
      <c r="C71" s="61">
        <f>'D) Ecrêtage'!N71</f>
        <v>57812.991915422885</v>
      </c>
      <c r="D71" s="61">
        <v>150992</v>
      </c>
      <c r="E71" s="18">
        <v>87592</v>
      </c>
      <c r="F71" s="73">
        <v>172344</v>
      </c>
      <c r="G71" s="18">
        <f t="shared" si="9"/>
        <v>410928</v>
      </c>
      <c r="H71" s="61">
        <f t="shared" si="10"/>
        <v>462504</v>
      </c>
      <c r="I71" s="18">
        <f t="shared" si="11"/>
        <v>0</v>
      </c>
      <c r="J71" s="4">
        <f t="shared" si="12"/>
        <v>0</v>
      </c>
      <c r="K71" s="25">
        <v>34611</v>
      </c>
      <c r="L71" s="18">
        <f t="shared" si="17"/>
        <v>57813</v>
      </c>
      <c r="M71" s="61">
        <f t="shared" si="13"/>
        <v>0</v>
      </c>
      <c r="N71" s="4">
        <f t="shared" si="14"/>
        <v>0</v>
      </c>
      <c r="O71" s="233">
        <f t="shared" si="15"/>
        <v>0</v>
      </c>
      <c r="P71" s="223">
        <f t="shared" si="16"/>
        <v>0</v>
      </c>
      <c r="Q71" s="224"/>
      <c r="R71" s="224"/>
      <c r="S71" s="225"/>
      <c r="T71" s="225"/>
      <c r="U71" s="225"/>
      <c r="V71" s="225"/>
      <c r="Z71" s="23"/>
      <c r="AA71" s="23"/>
      <c r="AB71" s="23"/>
      <c r="AC71" s="23"/>
    </row>
    <row r="72" spans="1:29" x14ac:dyDescent="0.25">
      <c r="A72" s="222">
        <f>'A) Base RI'!A74</f>
        <v>5511</v>
      </c>
      <c r="B72" s="62" t="str">
        <f>'A) Base RI'!B74</f>
        <v>Assens</v>
      </c>
      <c r="C72" s="61">
        <f>'D) Ecrêtage'!N72</f>
        <v>39783.593571428566</v>
      </c>
      <c r="D72" s="61">
        <v>391484</v>
      </c>
      <c r="E72" s="18">
        <v>86664</v>
      </c>
      <c r="F72" s="73">
        <v>89206</v>
      </c>
      <c r="G72" s="18">
        <f t="shared" si="9"/>
        <v>567354</v>
      </c>
      <c r="H72" s="61">
        <f t="shared" si="10"/>
        <v>318269</v>
      </c>
      <c r="I72" s="18">
        <f t="shared" si="11"/>
        <v>249085</v>
      </c>
      <c r="J72" s="4">
        <f t="shared" si="12"/>
        <v>-179105</v>
      </c>
      <c r="K72" s="25">
        <v>8521</v>
      </c>
      <c r="L72" s="18">
        <f t="shared" si="17"/>
        <v>39784</v>
      </c>
      <c r="M72" s="61">
        <f t="shared" si="13"/>
        <v>0</v>
      </c>
      <c r="N72" s="4">
        <f t="shared" si="14"/>
        <v>0</v>
      </c>
      <c r="O72" s="233">
        <f t="shared" si="15"/>
        <v>-179105</v>
      </c>
      <c r="P72" s="223">
        <f t="shared" si="16"/>
        <v>-4.5019814431401208</v>
      </c>
      <c r="Q72" s="224"/>
      <c r="R72" s="224"/>
      <c r="S72" s="225"/>
      <c r="T72" s="225"/>
      <c r="U72" s="225"/>
      <c r="V72" s="225"/>
      <c r="Z72" s="23"/>
      <c r="AA72" s="23"/>
      <c r="AB72" s="23"/>
      <c r="AC72" s="23"/>
    </row>
    <row r="73" spans="1:29" x14ac:dyDescent="0.25">
      <c r="A73" s="222">
        <f>'A) Base RI'!A75</f>
        <v>5512</v>
      </c>
      <c r="B73" s="62" t="str">
        <f>'A) Base RI'!B75</f>
        <v>Bercher</v>
      </c>
      <c r="C73" s="61">
        <f>'D) Ecrêtage'!N73</f>
        <v>36622.722911392411</v>
      </c>
      <c r="D73" s="61">
        <v>314131</v>
      </c>
      <c r="E73" s="18">
        <v>96126</v>
      </c>
      <c r="F73" s="73">
        <v>100045</v>
      </c>
      <c r="G73" s="18">
        <f t="shared" si="9"/>
        <v>510302</v>
      </c>
      <c r="H73" s="61">
        <f t="shared" si="10"/>
        <v>292982</v>
      </c>
      <c r="I73" s="18">
        <f t="shared" si="11"/>
        <v>217320</v>
      </c>
      <c r="J73" s="4">
        <f t="shared" si="12"/>
        <v>-156264</v>
      </c>
      <c r="K73" s="25">
        <v>45203</v>
      </c>
      <c r="L73" s="18">
        <f t="shared" si="17"/>
        <v>36623</v>
      </c>
      <c r="M73" s="61">
        <f t="shared" si="13"/>
        <v>8580</v>
      </c>
      <c r="N73" s="4">
        <f t="shared" si="14"/>
        <v>-6169</v>
      </c>
      <c r="O73" s="233">
        <f t="shared" si="15"/>
        <v>-162433</v>
      </c>
      <c r="P73" s="223">
        <f t="shared" si="16"/>
        <v>-4.4353064733335588</v>
      </c>
      <c r="Q73" s="224"/>
      <c r="R73" s="224"/>
      <c r="S73" s="225"/>
      <c r="T73" s="225"/>
      <c r="U73" s="225"/>
      <c r="V73" s="225"/>
      <c r="Z73" s="23"/>
      <c r="AA73" s="23"/>
      <c r="AB73" s="23"/>
      <c r="AC73" s="23"/>
    </row>
    <row r="74" spans="1:29" x14ac:dyDescent="0.25">
      <c r="A74" s="222">
        <f>'A) Base RI'!A76</f>
        <v>5513</v>
      </c>
      <c r="B74" s="62" t="str">
        <f>'A) Base RI'!B76</f>
        <v>Bioley-Orjulaz</v>
      </c>
      <c r="C74" s="61">
        <f>'D) Ecrêtage'!N74</f>
        <v>28667.291930654523</v>
      </c>
      <c r="D74" s="61">
        <v>107654</v>
      </c>
      <c r="E74" s="18">
        <v>15373</v>
      </c>
      <c r="F74" s="73">
        <v>39561</v>
      </c>
      <c r="G74" s="18">
        <f t="shared" si="9"/>
        <v>162588</v>
      </c>
      <c r="H74" s="61">
        <f t="shared" si="10"/>
        <v>229338</v>
      </c>
      <c r="I74" s="18">
        <f t="shared" si="11"/>
        <v>0</v>
      </c>
      <c r="J74" s="4">
        <f t="shared" si="12"/>
        <v>0</v>
      </c>
      <c r="K74" s="25">
        <v>26918</v>
      </c>
      <c r="L74" s="18">
        <f t="shared" si="17"/>
        <v>28667</v>
      </c>
      <c r="M74" s="61">
        <f t="shared" si="13"/>
        <v>0</v>
      </c>
      <c r="N74" s="4">
        <f t="shared" si="14"/>
        <v>0</v>
      </c>
      <c r="O74" s="233">
        <f t="shared" si="15"/>
        <v>0</v>
      </c>
      <c r="P74" s="223">
        <f t="shared" si="16"/>
        <v>0</v>
      </c>
      <c r="Q74" s="224"/>
      <c r="R74" s="224"/>
      <c r="S74" s="225"/>
      <c r="T74" s="225"/>
      <c r="U74" s="225"/>
      <c r="V74" s="225"/>
      <c r="Z74" s="23"/>
      <c r="AA74" s="23"/>
      <c r="AB74" s="23"/>
      <c r="AC74" s="23"/>
    </row>
    <row r="75" spans="1:29" x14ac:dyDescent="0.25">
      <c r="A75" s="222">
        <f>'A) Base RI'!A77</f>
        <v>5514</v>
      </c>
      <c r="B75" s="62" t="str">
        <f>'A) Base RI'!B77</f>
        <v>Bottens</v>
      </c>
      <c r="C75" s="61">
        <f>'D) Ecrêtage'!N75</f>
        <v>42846.050910973077</v>
      </c>
      <c r="D75" s="61">
        <v>178266</v>
      </c>
      <c r="E75" s="18">
        <v>61594</v>
      </c>
      <c r="F75" s="73">
        <v>105681</v>
      </c>
      <c r="G75" s="18">
        <f t="shared" si="9"/>
        <v>345541</v>
      </c>
      <c r="H75" s="61">
        <f t="shared" si="10"/>
        <v>342768</v>
      </c>
      <c r="I75" s="18">
        <f t="shared" si="11"/>
        <v>2773</v>
      </c>
      <c r="J75" s="4">
        <f t="shared" si="12"/>
        <v>-1994</v>
      </c>
      <c r="K75" s="25">
        <v>24423</v>
      </c>
      <c r="L75" s="18">
        <f t="shared" si="17"/>
        <v>42846</v>
      </c>
      <c r="M75" s="61">
        <f t="shared" si="13"/>
        <v>0</v>
      </c>
      <c r="N75" s="4">
        <f t="shared" si="14"/>
        <v>0</v>
      </c>
      <c r="O75" s="233">
        <f t="shared" si="15"/>
        <v>-1994</v>
      </c>
      <c r="P75" s="223">
        <f t="shared" si="16"/>
        <v>-4.6538711447250955E-2</v>
      </c>
      <c r="Q75" s="224"/>
      <c r="R75" s="224"/>
      <c r="S75" s="225"/>
      <c r="T75" s="225"/>
      <c r="U75" s="225"/>
      <c r="V75" s="225"/>
      <c r="Z75" s="23"/>
      <c r="AA75" s="23"/>
      <c r="AB75" s="23"/>
      <c r="AC75" s="23"/>
    </row>
    <row r="76" spans="1:29" x14ac:dyDescent="0.25">
      <c r="A76" s="222">
        <f>'A) Base RI'!A78</f>
        <v>5515</v>
      </c>
      <c r="B76" s="62" t="str">
        <f>'A) Base RI'!B78</f>
        <v>Bretigny-sur-Morrens</v>
      </c>
      <c r="C76" s="61">
        <f>'D) Ecrêtage'!N76</f>
        <v>22223.6698630137</v>
      </c>
      <c r="D76" s="61">
        <v>206646</v>
      </c>
      <c r="E76" s="18">
        <v>37529</v>
      </c>
      <c r="F76" s="73">
        <v>49034</v>
      </c>
      <c r="G76" s="18">
        <f t="shared" si="9"/>
        <v>293209</v>
      </c>
      <c r="H76" s="61">
        <f t="shared" si="10"/>
        <v>177789</v>
      </c>
      <c r="I76" s="18">
        <f t="shared" si="11"/>
        <v>115420</v>
      </c>
      <c r="J76" s="4">
        <f t="shared" si="12"/>
        <v>-82993</v>
      </c>
      <c r="K76" s="25">
        <v>9623</v>
      </c>
      <c r="L76" s="18">
        <f t="shared" si="17"/>
        <v>22224</v>
      </c>
      <c r="M76" s="61">
        <f t="shared" si="13"/>
        <v>0</v>
      </c>
      <c r="N76" s="4">
        <f t="shared" si="14"/>
        <v>0</v>
      </c>
      <c r="O76" s="233">
        <f t="shared" si="15"/>
        <v>-82993</v>
      </c>
      <c r="P76" s="223">
        <f t="shared" si="16"/>
        <v>-3.734441724142203</v>
      </c>
      <c r="Q76" s="224"/>
      <c r="R76" s="224"/>
      <c r="S76" s="225"/>
      <c r="T76" s="225"/>
      <c r="U76" s="225"/>
      <c r="V76" s="225"/>
      <c r="Z76" s="23"/>
      <c r="AA76" s="23"/>
      <c r="AB76" s="23"/>
      <c r="AC76" s="23"/>
    </row>
    <row r="77" spans="1:29" x14ac:dyDescent="0.25">
      <c r="A77" s="222">
        <f>'A) Base RI'!A79</f>
        <v>5516</v>
      </c>
      <c r="B77" s="62" t="str">
        <f>'A) Base RI'!B79</f>
        <v>Cugy</v>
      </c>
      <c r="C77" s="61">
        <f>'D) Ecrêtage'!N77</f>
        <v>117631.39925373136</v>
      </c>
      <c r="D77" s="61">
        <v>753540</v>
      </c>
      <c r="E77" s="18">
        <v>135899</v>
      </c>
      <c r="F77" s="73">
        <v>181056</v>
      </c>
      <c r="G77" s="18">
        <f t="shared" si="9"/>
        <v>1070495</v>
      </c>
      <c r="H77" s="61">
        <f t="shared" si="10"/>
        <v>941051</v>
      </c>
      <c r="I77" s="18">
        <f t="shared" si="11"/>
        <v>129444</v>
      </c>
      <c r="J77" s="4">
        <f t="shared" si="12"/>
        <v>-93077</v>
      </c>
      <c r="K77" s="25">
        <v>25557</v>
      </c>
      <c r="L77" s="18">
        <f t="shared" si="17"/>
        <v>117631</v>
      </c>
      <c r="M77" s="61">
        <f t="shared" si="13"/>
        <v>0</v>
      </c>
      <c r="N77" s="4">
        <f t="shared" si="14"/>
        <v>0</v>
      </c>
      <c r="O77" s="233">
        <f t="shared" si="15"/>
        <v>-93077</v>
      </c>
      <c r="P77" s="223">
        <f t="shared" si="16"/>
        <v>-0.79125982170145381</v>
      </c>
      <c r="Q77" s="224"/>
      <c r="R77" s="224"/>
      <c r="S77" s="225"/>
      <c r="T77" s="225"/>
      <c r="U77" s="225"/>
      <c r="V77" s="225"/>
      <c r="Z77" s="23"/>
      <c r="AA77" s="23"/>
      <c r="AB77" s="23"/>
      <c r="AC77" s="23"/>
    </row>
    <row r="78" spans="1:29" x14ac:dyDescent="0.25">
      <c r="A78" s="222">
        <f>'A) Base RI'!A80</f>
        <v>5518</v>
      </c>
      <c r="B78" s="62" t="str">
        <f>'A) Base RI'!B80</f>
        <v>Echallens</v>
      </c>
      <c r="C78" s="61">
        <f>'D) Ecrêtage'!N78</f>
        <v>173156.24540540541</v>
      </c>
      <c r="D78" s="61">
        <v>1429631</v>
      </c>
      <c r="E78" s="18">
        <v>449816</v>
      </c>
      <c r="F78" s="73">
        <v>463011</v>
      </c>
      <c r="G78" s="18">
        <f t="shared" si="9"/>
        <v>2342458</v>
      </c>
      <c r="H78" s="61">
        <f t="shared" si="10"/>
        <v>1385250</v>
      </c>
      <c r="I78" s="18">
        <f t="shared" si="11"/>
        <v>957208</v>
      </c>
      <c r="J78" s="4">
        <f t="shared" si="12"/>
        <v>-688282</v>
      </c>
      <c r="K78" s="25">
        <v>221112</v>
      </c>
      <c r="L78" s="18">
        <f t="shared" si="17"/>
        <v>173156</v>
      </c>
      <c r="M78" s="61">
        <f t="shared" si="13"/>
        <v>47956</v>
      </c>
      <c r="N78" s="4">
        <f t="shared" si="14"/>
        <v>-34483</v>
      </c>
      <c r="O78" s="233">
        <f t="shared" si="15"/>
        <v>-722765</v>
      </c>
      <c r="P78" s="223">
        <f t="shared" si="16"/>
        <v>-4.1740625543584207</v>
      </c>
      <c r="Q78" s="224"/>
      <c r="R78" s="224"/>
      <c r="S78" s="225"/>
      <c r="T78" s="225"/>
      <c r="U78" s="225"/>
      <c r="V78" s="225"/>
      <c r="Z78" s="23"/>
      <c r="AA78" s="23"/>
      <c r="AB78" s="23"/>
      <c r="AC78" s="23"/>
    </row>
    <row r="79" spans="1:29" x14ac:dyDescent="0.25">
      <c r="A79" s="222">
        <f>'A) Base RI'!A81</f>
        <v>5520</v>
      </c>
      <c r="B79" s="62" t="str">
        <f>'A) Base RI'!B81</f>
        <v>Essertines-sur-Yverdon</v>
      </c>
      <c r="C79" s="61">
        <f>'D) Ecrêtage'!N79</f>
        <v>27983.283972602738</v>
      </c>
      <c r="D79" s="61">
        <v>183285</v>
      </c>
      <c r="E79" s="18">
        <v>26620</v>
      </c>
      <c r="F79" s="73">
        <v>77876</v>
      </c>
      <c r="G79" s="18">
        <f t="shared" si="9"/>
        <v>287781</v>
      </c>
      <c r="H79" s="61">
        <f t="shared" si="10"/>
        <v>223866</v>
      </c>
      <c r="I79" s="18">
        <f t="shared" si="11"/>
        <v>63915</v>
      </c>
      <c r="J79" s="4">
        <f t="shared" si="12"/>
        <v>-45958</v>
      </c>
      <c r="K79" s="25">
        <v>96685</v>
      </c>
      <c r="L79" s="18">
        <f t="shared" si="17"/>
        <v>27983</v>
      </c>
      <c r="M79" s="61">
        <f t="shared" si="13"/>
        <v>68702</v>
      </c>
      <c r="N79" s="4">
        <f t="shared" si="14"/>
        <v>-49400</v>
      </c>
      <c r="O79" s="233">
        <f t="shared" si="15"/>
        <v>-95358</v>
      </c>
      <c r="P79" s="223">
        <f t="shared" si="16"/>
        <v>-3.4076772437917233</v>
      </c>
      <c r="Q79" s="224"/>
      <c r="R79" s="224"/>
      <c r="S79" s="225"/>
      <c r="T79" s="225"/>
      <c r="U79" s="225"/>
      <c r="V79" s="225"/>
      <c r="Z79" s="23"/>
      <c r="AA79" s="23"/>
      <c r="AB79" s="23"/>
      <c r="AC79" s="23"/>
    </row>
    <row r="80" spans="1:29" x14ac:dyDescent="0.25">
      <c r="A80" s="222">
        <f>'A) Base RI'!A82</f>
        <v>5521</v>
      </c>
      <c r="B80" s="62" t="str">
        <f>'A) Base RI'!B82</f>
        <v>Etagnières</v>
      </c>
      <c r="C80" s="61">
        <f>'D) Ecrêtage'!N80</f>
        <v>36300.178904109591</v>
      </c>
      <c r="D80" s="61">
        <v>146779</v>
      </c>
      <c r="E80" s="18">
        <v>90432</v>
      </c>
      <c r="F80" s="73">
        <v>95337</v>
      </c>
      <c r="G80" s="18">
        <f t="shared" si="9"/>
        <v>332548</v>
      </c>
      <c r="H80" s="61">
        <f t="shared" si="10"/>
        <v>290401</v>
      </c>
      <c r="I80" s="18">
        <f t="shared" si="11"/>
        <v>42147</v>
      </c>
      <c r="J80" s="4">
        <f t="shared" si="12"/>
        <v>-30306</v>
      </c>
      <c r="K80" s="25">
        <v>8789</v>
      </c>
      <c r="L80" s="18">
        <f t="shared" si="17"/>
        <v>36300</v>
      </c>
      <c r="M80" s="61">
        <f t="shared" si="13"/>
        <v>0</v>
      </c>
      <c r="N80" s="4">
        <f t="shared" si="14"/>
        <v>0</v>
      </c>
      <c r="O80" s="233">
        <f t="shared" si="15"/>
        <v>-30306</v>
      </c>
      <c r="P80" s="223">
        <f t="shared" si="16"/>
        <v>-0.83487191840173047</v>
      </c>
      <c r="Q80" s="224"/>
      <c r="R80" s="224"/>
      <c r="S80" s="225"/>
      <c r="T80" s="225"/>
      <c r="U80" s="225"/>
      <c r="V80" s="225"/>
      <c r="Z80" s="23"/>
      <c r="AA80" s="23"/>
      <c r="AB80" s="23"/>
      <c r="AC80" s="23"/>
    </row>
    <row r="81" spans="1:29" x14ac:dyDescent="0.25">
      <c r="A81" s="222">
        <f>'A) Base RI'!A83</f>
        <v>5522</v>
      </c>
      <c r="B81" s="62" t="str">
        <f>'A) Base RI'!B83</f>
        <v>Fey</v>
      </c>
      <c r="C81" s="61">
        <f>'D) Ecrêtage'!N81</f>
        <v>16159.379733333333</v>
      </c>
      <c r="D81" s="61">
        <v>281966</v>
      </c>
      <c r="E81" s="18">
        <v>50910</v>
      </c>
      <c r="F81" s="73">
        <v>52410</v>
      </c>
      <c r="G81" s="18">
        <f t="shared" si="9"/>
        <v>385286</v>
      </c>
      <c r="H81" s="61">
        <f t="shared" si="10"/>
        <v>129275</v>
      </c>
      <c r="I81" s="18">
        <f t="shared" si="11"/>
        <v>256011</v>
      </c>
      <c r="J81" s="4">
        <f t="shared" si="12"/>
        <v>-184085</v>
      </c>
      <c r="K81" s="25">
        <v>18850</v>
      </c>
      <c r="L81" s="18">
        <f t="shared" si="17"/>
        <v>16159</v>
      </c>
      <c r="M81" s="61">
        <f t="shared" si="13"/>
        <v>2691</v>
      </c>
      <c r="N81" s="4">
        <f t="shared" si="14"/>
        <v>-1935</v>
      </c>
      <c r="O81" s="233">
        <f t="shared" si="15"/>
        <v>-186020</v>
      </c>
      <c r="P81" s="223">
        <f t="shared" si="16"/>
        <v>-11.511580460992612</v>
      </c>
      <c r="Q81" s="224"/>
      <c r="R81" s="224"/>
      <c r="S81" s="225"/>
      <c r="T81" s="225"/>
      <c r="U81" s="225"/>
      <c r="V81" s="225"/>
      <c r="Z81" s="23"/>
      <c r="AA81" s="23"/>
      <c r="AB81" s="23"/>
      <c r="AC81" s="23"/>
    </row>
    <row r="82" spans="1:29" x14ac:dyDescent="0.25">
      <c r="A82" s="222">
        <f>'A) Base RI'!A84</f>
        <v>5523</v>
      </c>
      <c r="B82" s="62" t="str">
        <f>'A) Base RI'!B84</f>
        <v>Froideville</v>
      </c>
      <c r="C82" s="61">
        <f>'D) Ecrêtage'!N82</f>
        <v>72242.876052631575</v>
      </c>
      <c r="D82" s="61">
        <v>570392</v>
      </c>
      <c r="E82" s="18">
        <v>105856</v>
      </c>
      <c r="F82" s="73">
        <v>158888</v>
      </c>
      <c r="G82" s="18">
        <f t="shared" si="9"/>
        <v>835136</v>
      </c>
      <c r="H82" s="61">
        <f t="shared" si="10"/>
        <v>577943</v>
      </c>
      <c r="I82" s="18">
        <f t="shared" si="11"/>
        <v>257193</v>
      </c>
      <c r="J82" s="4">
        <f t="shared" si="12"/>
        <v>-184935</v>
      </c>
      <c r="K82" s="25">
        <v>48797</v>
      </c>
      <c r="L82" s="18">
        <f t="shared" si="17"/>
        <v>72243</v>
      </c>
      <c r="M82" s="61">
        <f t="shared" si="13"/>
        <v>0</v>
      </c>
      <c r="N82" s="4">
        <f t="shared" si="14"/>
        <v>0</v>
      </c>
      <c r="O82" s="233">
        <f t="shared" si="15"/>
        <v>-184935</v>
      </c>
      <c r="P82" s="223">
        <f t="shared" si="16"/>
        <v>-2.559906389458638</v>
      </c>
      <c r="Q82" s="224"/>
      <c r="R82" s="224"/>
      <c r="S82" s="225"/>
      <c r="T82" s="225"/>
      <c r="U82" s="225"/>
      <c r="V82" s="225"/>
      <c r="Z82" s="23"/>
      <c r="AA82" s="23"/>
      <c r="AB82" s="23"/>
      <c r="AC82" s="23"/>
    </row>
    <row r="83" spans="1:29" x14ac:dyDescent="0.25">
      <c r="A83" s="222">
        <f>'A) Base RI'!A85</f>
        <v>5527</v>
      </c>
      <c r="B83" s="62" t="str">
        <f>'A) Base RI'!B85</f>
        <v>Morrens</v>
      </c>
      <c r="C83" s="61">
        <f>'D) Ecrêtage'!N83</f>
        <v>37759.681126760574</v>
      </c>
      <c r="D83" s="61">
        <v>231536</v>
      </c>
      <c r="E83" s="18">
        <v>33895</v>
      </c>
      <c r="F83" s="73">
        <v>63178</v>
      </c>
      <c r="G83" s="18">
        <f t="shared" si="9"/>
        <v>328609</v>
      </c>
      <c r="H83" s="61">
        <f t="shared" si="10"/>
        <v>302077</v>
      </c>
      <c r="I83" s="18">
        <f t="shared" si="11"/>
        <v>26532</v>
      </c>
      <c r="J83" s="4">
        <f t="shared" si="12"/>
        <v>-19078</v>
      </c>
      <c r="K83" s="25">
        <v>12092</v>
      </c>
      <c r="L83" s="18">
        <f t="shared" si="17"/>
        <v>37760</v>
      </c>
      <c r="M83" s="61">
        <f t="shared" si="13"/>
        <v>0</v>
      </c>
      <c r="N83" s="4">
        <f t="shared" si="14"/>
        <v>0</v>
      </c>
      <c r="O83" s="233">
        <f t="shared" si="15"/>
        <v>-19078</v>
      </c>
      <c r="P83" s="223">
        <f t="shared" si="16"/>
        <v>-0.50524791075312536</v>
      </c>
      <c r="Q83" s="224"/>
      <c r="R83" s="224"/>
      <c r="S83" s="225"/>
      <c r="T83" s="225"/>
      <c r="U83" s="225"/>
      <c r="V83" s="225"/>
      <c r="Z83" s="23"/>
      <c r="AA83" s="23"/>
      <c r="AB83" s="23"/>
      <c r="AC83" s="23"/>
    </row>
    <row r="84" spans="1:29" x14ac:dyDescent="0.25">
      <c r="A84" s="222">
        <f>'A) Base RI'!A86</f>
        <v>5529</v>
      </c>
      <c r="B84" s="62" t="str">
        <f>'A) Base RI'!B86</f>
        <v>Oulens-sous-Echallens</v>
      </c>
      <c r="C84" s="61">
        <f>'D) Ecrêtage'!N84</f>
        <v>19397.63972972973</v>
      </c>
      <c r="D84" s="61">
        <v>294754</v>
      </c>
      <c r="E84" s="18">
        <v>18086</v>
      </c>
      <c r="F84" s="73">
        <v>46542</v>
      </c>
      <c r="G84" s="18">
        <f t="shared" si="9"/>
        <v>359382</v>
      </c>
      <c r="H84" s="61">
        <f t="shared" si="10"/>
        <v>155181</v>
      </c>
      <c r="I84" s="18">
        <f t="shared" si="11"/>
        <v>204201</v>
      </c>
      <c r="J84" s="4">
        <f t="shared" si="12"/>
        <v>-146831</v>
      </c>
      <c r="K84" s="25">
        <v>44680</v>
      </c>
      <c r="L84" s="18">
        <f t="shared" si="17"/>
        <v>19398</v>
      </c>
      <c r="M84" s="61">
        <f t="shared" si="13"/>
        <v>25282</v>
      </c>
      <c r="N84" s="4">
        <f t="shared" si="14"/>
        <v>-18179</v>
      </c>
      <c r="O84" s="233">
        <f t="shared" si="15"/>
        <v>-165010</v>
      </c>
      <c r="P84" s="223">
        <f t="shared" si="16"/>
        <v>-8.5067050578889738</v>
      </c>
      <c r="Q84" s="224"/>
      <c r="R84" s="224"/>
      <c r="S84" s="225"/>
      <c r="T84" s="225"/>
      <c r="U84" s="225"/>
      <c r="V84" s="225"/>
      <c r="Z84" s="23"/>
      <c r="AA84" s="23"/>
      <c r="AB84" s="23"/>
      <c r="AC84" s="23"/>
    </row>
    <row r="85" spans="1:29" x14ac:dyDescent="0.25">
      <c r="A85" s="222">
        <f>'A) Base RI'!A87</f>
        <v>5530</v>
      </c>
      <c r="B85" s="62" t="str">
        <f>'A) Base RI'!B87</f>
        <v>Pailly</v>
      </c>
      <c r="C85" s="61">
        <f>'D) Ecrêtage'!N85</f>
        <v>13906.482623655915</v>
      </c>
      <c r="D85" s="61">
        <v>284452</v>
      </c>
      <c r="E85" s="18">
        <v>25170</v>
      </c>
      <c r="F85" s="73">
        <v>43186</v>
      </c>
      <c r="G85" s="18">
        <f t="shared" si="9"/>
        <v>352808</v>
      </c>
      <c r="H85" s="61">
        <f t="shared" si="10"/>
        <v>111252</v>
      </c>
      <c r="I85" s="18">
        <f t="shared" si="11"/>
        <v>241556</v>
      </c>
      <c r="J85" s="4">
        <f t="shared" si="12"/>
        <v>-173691</v>
      </c>
      <c r="K85" s="25">
        <v>30612</v>
      </c>
      <c r="L85" s="18">
        <f t="shared" si="17"/>
        <v>13906</v>
      </c>
      <c r="M85" s="61">
        <f t="shared" si="13"/>
        <v>16706</v>
      </c>
      <c r="N85" s="4">
        <f t="shared" si="14"/>
        <v>-12012</v>
      </c>
      <c r="O85" s="233">
        <f t="shared" si="15"/>
        <v>-185703</v>
      </c>
      <c r="P85" s="223">
        <f t="shared" si="16"/>
        <v>-13.353700214898771</v>
      </c>
      <c r="Q85" s="224"/>
      <c r="R85" s="224"/>
      <c r="S85" s="225"/>
      <c r="T85" s="225"/>
      <c r="U85" s="225"/>
      <c r="V85" s="225"/>
      <c r="Z85" s="23"/>
      <c r="AA85" s="23"/>
      <c r="AB85" s="23"/>
      <c r="AC85" s="23"/>
    </row>
    <row r="86" spans="1:29" x14ac:dyDescent="0.25">
      <c r="A86" s="222">
        <f>'A) Base RI'!A88</f>
        <v>5531</v>
      </c>
      <c r="B86" s="62" t="str">
        <f>'A) Base RI'!B88</f>
        <v>Penthéréaz</v>
      </c>
      <c r="C86" s="61">
        <f>'D) Ecrêtage'!N86</f>
        <v>13188.510897435897</v>
      </c>
      <c r="D86" s="61">
        <v>71488</v>
      </c>
      <c r="E86" s="18">
        <v>12460</v>
      </c>
      <c r="F86" s="73">
        <v>32066</v>
      </c>
      <c r="G86" s="18">
        <f t="shared" si="9"/>
        <v>116014</v>
      </c>
      <c r="H86" s="61">
        <f t="shared" si="10"/>
        <v>105508</v>
      </c>
      <c r="I86" s="18">
        <f t="shared" si="11"/>
        <v>10506</v>
      </c>
      <c r="J86" s="4">
        <f t="shared" si="12"/>
        <v>-7554</v>
      </c>
      <c r="K86" s="25">
        <v>16420</v>
      </c>
      <c r="L86" s="18">
        <f t="shared" si="17"/>
        <v>13189</v>
      </c>
      <c r="M86" s="61">
        <f t="shared" si="13"/>
        <v>3231</v>
      </c>
      <c r="N86" s="4">
        <f t="shared" si="14"/>
        <v>-2323</v>
      </c>
      <c r="O86" s="233">
        <f t="shared" si="15"/>
        <v>-9877</v>
      </c>
      <c r="P86" s="223">
        <f t="shared" si="16"/>
        <v>-0.74890941644672571</v>
      </c>
      <c r="Q86" s="224"/>
      <c r="R86" s="224"/>
      <c r="S86" s="225"/>
      <c r="T86" s="225"/>
      <c r="U86" s="225"/>
      <c r="V86" s="225"/>
      <c r="Z86" s="23"/>
      <c r="AA86" s="23"/>
      <c r="AB86" s="23"/>
      <c r="AC86" s="23"/>
    </row>
    <row r="87" spans="1:29" x14ac:dyDescent="0.25">
      <c r="A87" s="222">
        <f>'A) Base RI'!A89</f>
        <v>5533</v>
      </c>
      <c r="B87" s="62" t="str">
        <f>'A) Base RI'!B89</f>
        <v>Poliez-Pittet</v>
      </c>
      <c r="C87" s="61">
        <f>'D) Ecrêtage'!N87</f>
        <v>23278.194178403755</v>
      </c>
      <c r="D87" s="61">
        <v>94837</v>
      </c>
      <c r="E87" s="18">
        <v>25355</v>
      </c>
      <c r="F87" s="73">
        <v>69167</v>
      </c>
      <c r="G87" s="18">
        <f t="shared" si="9"/>
        <v>189359</v>
      </c>
      <c r="H87" s="61">
        <f t="shared" si="10"/>
        <v>186226</v>
      </c>
      <c r="I87" s="18">
        <f t="shared" si="11"/>
        <v>3133</v>
      </c>
      <c r="J87" s="4">
        <f t="shared" si="12"/>
        <v>-2253</v>
      </c>
      <c r="K87" s="25">
        <v>54535</v>
      </c>
      <c r="L87" s="18">
        <f t="shared" si="17"/>
        <v>23278</v>
      </c>
      <c r="M87" s="61">
        <f t="shared" si="13"/>
        <v>31257</v>
      </c>
      <c r="N87" s="4">
        <f t="shared" si="14"/>
        <v>-22475</v>
      </c>
      <c r="O87" s="233">
        <f t="shared" si="15"/>
        <v>-24728</v>
      </c>
      <c r="P87" s="223">
        <f t="shared" si="16"/>
        <v>-1.0622817135420795</v>
      </c>
      <c r="Q87" s="224"/>
      <c r="R87" s="224"/>
      <c r="S87" s="225"/>
      <c r="T87" s="225"/>
      <c r="U87" s="225"/>
      <c r="V87" s="225"/>
      <c r="Z87" s="23"/>
      <c r="AA87" s="23"/>
      <c r="AB87" s="23"/>
      <c r="AC87" s="23"/>
    </row>
    <row r="88" spans="1:29" x14ac:dyDescent="0.25">
      <c r="A88" s="222">
        <f>'A) Base RI'!A90</f>
        <v>5534</v>
      </c>
      <c r="B88" s="62" t="str">
        <f>'A) Base RI'!B90</f>
        <v>Rueyres</v>
      </c>
      <c r="C88" s="61">
        <f>'D) Ecrêtage'!N88</f>
        <v>7491.8463013698638</v>
      </c>
      <c r="D88" s="61">
        <v>85432</v>
      </c>
      <c r="E88" s="18">
        <v>16680</v>
      </c>
      <c r="F88" s="73">
        <v>21461</v>
      </c>
      <c r="G88" s="18">
        <f t="shared" si="9"/>
        <v>123573</v>
      </c>
      <c r="H88" s="61">
        <f t="shared" si="10"/>
        <v>59935</v>
      </c>
      <c r="I88" s="18">
        <f t="shared" si="11"/>
        <v>63638</v>
      </c>
      <c r="J88" s="4">
        <f t="shared" si="12"/>
        <v>-45759</v>
      </c>
      <c r="K88" s="25">
        <v>10780</v>
      </c>
      <c r="L88" s="18">
        <f t="shared" si="17"/>
        <v>7492</v>
      </c>
      <c r="M88" s="61">
        <f t="shared" si="13"/>
        <v>3288</v>
      </c>
      <c r="N88" s="4">
        <f t="shared" si="14"/>
        <v>-2364</v>
      </c>
      <c r="O88" s="233">
        <f t="shared" si="15"/>
        <v>-48123</v>
      </c>
      <c r="P88" s="223">
        <f t="shared" si="16"/>
        <v>-6.4233832441544934</v>
      </c>
      <c r="Q88" s="224"/>
      <c r="R88" s="224"/>
      <c r="S88" s="225"/>
      <c r="T88" s="225"/>
      <c r="U88" s="225"/>
      <c r="V88" s="225"/>
      <c r="Z88" s="23"/>
      <c r="AA88" s="23"/>
      <c r="AB88" s="23"/>
      <c r="AC88" s="23"/>
    </row>
    <row r="89" spans="1:29" x14ac:dyDescent="0.25">
      <c r="A89" s="222">
        <f>'A) Base RI'!A91</f>
        <v>5535</v>
      </c>
      <c r="B89" s="62" t="str">
        <f>'A) Base RI'!B91</f>
        <v>Saint-Barthélemy</v>
      </c>
      <c r="C89" s="61">
        <f>'D) Ecrêtage'!N89</f>
        <v>20337.444935064934</v>
      </c>
      <c r="D89" s="61">
        <v>46173</v>
      </c>
      <c r="E89" s="18">
        <v>25957</v>
      </c>
      <c r="F89" s="73">
        <v>68443</v>
      </c>
      <c r="G89" s="18">
        <f t="shared" si="9"/>
        <v>140573</v>
      </c>
      <c r="H89" s="61">
        <f t="shared" si="10"/>
        <v>162700</v>
      </c>
      <c r="I89" s="18">
        <f t="shared" si="11"/>
        <v>0</v>
      </c>
      <c r="J89" s="4">
        <f t="shared" si="12"/>
        <v>0</v>
      </c>
      <c r="K89" s="25">
        <v>-4223</v>
      </c>
      <c r="L89" s="18">
        <f t="shared" si="17"/>
        <v>20337</v>
      </c>
      <c r="M89" s="61">
        <f t="shared" si="13"/>
        <v>0</v>
      </c>
      <c r="N89" s="4">
        <f t="shared" si="14"/>
        <v>0</v>
      </c>
      <c r="O89" s="233">
        <f t="shared" si="15"/>
        <v>0</v>
      </c>
      <c r="P89" s="223">
        <f t="shared" si="16"/>
        <v>0</v>
      </c>
      <c r="Q89" s="224"/>
      <c r="R89" s="224"/>
      <c r="S89" s="225"/>
      <c r="T89" s="225"/>
      <c r="U89" s="225"/>
      <c r="V89" s="225"/>
      <c r="Z89" s="23"/>
      <c r="AA89" s="23"/>
      <c r="AB89" s="23"/>
      <c r="AC89" s="23"/>
    </row>
    <row r="90" spans="1:29" x14ac:dyDescent="0.25">
      <c r="A90" s="222">
        <f>'A) Base RI'!A92</f>
        <v>5537</v>
      </c>
      <c r="B90" s="62" t="str">
        <f>'A) Base RI'!B92</f>
        <v>Villars-le-Terroir</v>
      </c>
      <c r="C90" s="61">
        <f>'D) Ecrêtage'!N90</f>
        <v>28392.00020547945</v>
      </c>
      <c r="D90" s="61">
        <v>102925</v>
      </c>
      <c r="E90" s="18">
        <v>29776</v>
      </c>
      <c r="F90" s="73">
        <v>76623</v>
      </c>
      <c r="G90" s="18">
        <f t="shared" si="9"/>
        <v>209324</v>
      </c>
      <c r="H90" s="61">
        <f t="shared" si="10"/>
        <v>227136</v>
      </c>
      <c r="I90" s="18">
        <f t="shared" si="11"/>
        <v>0</v>
      </c>
      <c r="J90" s="4">
        <f t="shared" si="12"/>
        <v>0</v>
      </c>
      <c r="K90" s="25">
        <v>34532</v>
      </c>
      <c r="L90" s="18">
        <f t="shared" si="17"/>
        <v>28392</v>
      </c>
      <c r="M90" s="61">
        <f t="shared" si="13"/>
        <v>6140</v>
      </c>
      <c r="N90" s="4">
        <f t="shared" si="14"/>
        <v>-4415</v>
      </c>
      <c r="O90" s="233">
        <f t="shared" si="15"/>
        <v>-4415</v>
      </c>
      <c r="P90" s="223">
        <f t="shared" si="16"/>
        <v>-0.15550154860691839</v>
      </c>
      <c r="Q90" s="224"/>
      <c r="R90" s="224"/>
      <c r="S90" s="225"/>
      <c r="T90" s="225"/>
      <c r="U90" s="225"/>
      <c r="V90" s="225"/>
      <c r="Z90" s="23"/>
      <c r="AA90" s="23"/>
      <c r="AB90" s="23"/>
      <c r="AC90" s="23"/>
    </row>
    <row r="91" spans="1:29" x14ac:dyDescent="0.25">
      <c r="A91" s="222">
        <f>'A) Base RI'!A93</f>
        <v>5539</v>
      </c>
      <c r="B91" s="62" t="str">
        <f>'A) Base RI'!B93</f>
        <v>Vuarrens</v>
      </c>
      <c r="C91" s="61">
        <f>'D) Ecrêtage'!N91</f>
        <v>22715.815066666666</v>
      </c>
      <c r="D91" s="61">
        <v>90791</v>
      </c>
      <c r="E91" s="18">
        <v>29910</v>
      </c>
      <c r="F91" s="73">
        <v>76977</v>
      </c>
      <c r="G91" s="18">
        <f t="shared" si="9"/>
        <v>197678</v>
      </c>
      <c r="H91" s="61">
        <f t="shared" si="10"/>
        <v>181727</v>
      </c>
      <c r="I91" s="18">
        <f t="shared" si="11"/>
        <v>15951</v>
      </c>
      <c r="J91" s="4">
        <f t="shared" si="12"/>
        <v>-11470</v>
      </c>
      <c r="K91" s="25">
        <v>75606</v>
      </c>
      <c r="L91" s="18">
        <f t="shared" si="17"/>
        <v>22716</v>
      </c>
      <c r="M91" s="61">
        <f t="shared" si="13"/>
        <v>52890</v>
      </c>
      <c r="N91" s="4">
        <f t="shared" si="14"/>
        <v>-38031</v>
      </c>
      <c r="O91" s="233">
        <f t="shared" si="15"/>
        <v>-49501</v>
      </c>
      <c r="P91" s="223">
        <f t="shared" si="16"/>
        <v>-2.1791425865514324</v>
      </c>
      <c r="Q91" s="224"/>
      <c r="R91" s="224"/>
      <c r="S91" s="225"/>
      <c r="T91" s="225"/>
      <c r="U91" s="225"/>
      <c r="V91" s="225"/>
      <c r="Z91" s="23"/>
      <c r="AA91" s="23"/>
      <c r="AB91" s="23"/>
      <c r="AC91" s="23"/>
    </row>
    <row r="92" spans="1:29" x14ac:dyDescent="0.25">
      <c r="A92" s="222">
        <f>'A) Base RI'!A94</f>
        <v>5540</v>
      </c>
      <c r="B92" s="62" t="str">
        <f>'A) Base RI'!B94</f>
        <v>Montilliez</v>
      </c>
      <c r="C92" s="61">
        <f>'D) Ecrêtage'!N92</f>
        <v>49229.090304054065</v>
      </c>
      <c r="D92" s="61">
        <v>319546</v>
      </c>
      <c r="E92" s="61">
        <v>132885</v>
      </c>
      <c r="F92" s="25">
        <v>136799</v>
      </c>
      <c r="G92" s="18">
        <f t="shared" si="9"/>
        <v>589230</v>
      </c>
      <c r="H92" s="61">
        <f>ROUND(C92*I$4,0)</f>
        <v>393833</v>
      </c>
      <c r="I92" s="18">
        <f>IF(G92&gt;H92,G92-H92,0)</f>
        <v>195397</v>
      </c>
      <c r="J92" s="4">
        <f t="shared" si="12"/>
        <v>-140501</v>
      </c>
      <c r="K92" s="25">
        <v>57474</v>
      </c>
      <c r="L92" s="18">
        <f t="shared" si="17"/>
        <v>49229</v>
      </c>
      <c r="M92" s="61">
        <f>IF(K92&gt;L92,K92-L92,0)</f>
        <v>8245</v>
      </c>
      <c r="N92" s="4">
        <f t="shared" si="14"/>
        <v>-5929</v>
      </c>
      <c r="O92" s="233">
        <f>N92+J92</f>
        <v>-146430</v>
      </c>
      <c r="P92" s="223">
        <f>O92/C92</f>
        <v>-2.9744608136287529</v>
      </c>
      <c r="Q92" s="224"/>
      <c r="R92" s="224"/>
      <c r="S92" s="225"/>
      <c r="T92" s="225"/>
      <c r="U92" s="225"/>
      <c r="V92" s="225"/>
      <c r="Z92" s="23"/>
      <c r="AA92" s="23"/>
      <c r="AB92" s="23"/>
      <c r="AC92" s="23"/>
    </row>
    <row r="93" spans="1:29" x14ac:dyDescent="0.25">
      <c r="A93" s="222">
        <f>'A) Base RI'!A95</f>
        <v>5541</v>
      </c>
      <c r="B93" s="62" t="str">
        <f>'A) Base RI'!B95</f>
        <v>Goumoëns</v>
      </c>
      <c r="C93" s="61">
        <f>'D) Ecrêtage'!N93</f>
        <v>28419.250909090908</v>
      </c>
      <c r="D93" s="61">
        <v>206470</v>
      </c>
      <c r="E93" s="61">
        <v>31283</v>
      </c>
      <c r="F93" s="25">
        <v>80501</v>
      </c>
      <c r="G93" s="18">
        <f t="shared" si="9"/>
        <v>318254</v>
      </c>
      <c r="H93" s="61">
        <f>ROUND(C93*I$4,0)</f>
        <v>227354</v>
      </c>
      <c r="I93" s="18">
        <f>IF(G93&gt;H93,G93-H93,0)</f>
        <v>90900</v>
      </c>
      <c r="J93" s="4">
        <f t="shared" si="12"/>
        <v>-65362</v>
      </c>
      <c r="K93" s="25">
        <v>12931</v>
      </c>
      <c r="L93" s="18">
        <f t="shared" si="17"/>
        <v>28419</v>
      </c>
      <c r="M93" s="61">
        <f>IF(K93&gt;L93,K93-L93,0)</f>
        <v>0</v>
      </c>
      <c r="N93" s="4">
        <f t="shared" si="14"/>
        <v>0</v>
      </c>
      <c r="O93" s="233">
        <f>N93+J93</f>
        <v>-65362</v>
      </c>
      <c r="P93" s="223">
        <f>O93/C93</f>
        <v>-2.2999198750552443</v>
      </c>
      <c r="Q93" s="224"/>
      <c r="R93" s="224"/>
      <c r="S93" s="225"/>
      <c r="T93" s="225"/>
      <c r="U93" s="225"/>
      <c r="V93" s="225"/>
      <c r="Z93" s="23"/>
      <c r="AA93" s="23"/>
      <c r="AB93" s="23"/>
      <c r="AC93" s="23"/>
    </row>
    <row r="94" spans="1:29" x14ac:dyDescent="0.25">
      <c r="A94" s="222">
        <f>'A) Base RI'!A96</f>
        <v>5551</v>
      </c>
      <c r="B94" s="62" t="str">
        <f>'A) Base RI'!B96</f>
        <v>Bonvillars</v>
      </c>
      <c r="C94" s="61">
        <f>'D) Ecrêtage'!N94</f>
        <v>20657.866545454548</v>
      </c>
      <c r="D94" s="61">
        <v>123658</v>
      </c>
      <c r="E94" s="18">
        <v>22868</v>
      </c>
      <c r="F94" s="73">
        <v>67260</v>
      </c>
      <c r="G94" s="18">
        <f t="shared" si="9"/>
        <v>213786</v>
      </c>
      <c r="H94" s="61">
        <f t="shared" si="10"/>
        <v>165263</v>
      </c>
      <c r="I94" s="18">
        <f t="shared" si="11"/>
        <v>48523</v>
      </c>
      <c r="J94" s="4">
        <f t="shared" si="12"/>
        <v>-34891</v>
      </c>
      <c r="K94" s="25">
        <v>35651</v>
      </c>
      <c r="L94" s="18">
        <f t="shared" si="17"/>
        <v>20658</v>
      </c>
      <c r="M94" s="61">
        <f t="shared" si="13"/>
        <v>14993</v>
      </c>
      <c r="N94" s="4">
        <f t="shared" si="14"/>
        <v>-10781</v>
      </c>
      <c r="O94" s="233">
        <f t="shared" si="15"/>
        <v>-45672</v>
      </c>
      <c r="P94" s="223">
        <f t="shared" si="16"/>
        <v>-2.2108769024867883</v>
      </c>
      <c r="Q94" s="224"/>
      <c r="R94" s="224"/>
      <c r="S94" s="225"/>
      <c r="T94" s="225"/>
      <c r="U94" s="225"/>
      <c r="V94" s="225"/>
      <c r="Z94" s="23"/>
      <c r="AA94" s="23"/>
      <c r="AB94" s="23"/>
      <c r="AC94" s="23"/>
    </row>
    <row r="95" spans="1:29" x14ac:dyDescent="0.25">
      <c r="A95" s="222">
        <f>'A) Base RI'!A97</f>
        <v>5552</v>
      </c>
      <c r="B95" s="62" t="str">
        <f>'A) Base RI'!B97</f>
        <v>Bullet</v>
      </c>
      <c r="C95" s="61">
        <f>'D) Ecrêtage'!N95</f>
        <v>15344.039999999997</v>
      </c>
      <c r="D95" s="61">
        <v>312632</v>
      </c>
      <c r="E95" s="18">
        <v>17985</v>
      </c>
      <c r="F95" s="73">
        <v>20635</v>
      </c>
      <c r="G95" s="18">
        <f t="shared" si="9"/>
        <v>351252</v>
      </c>
      <c r="H95" s="61">
        <f t="shared" si="10"/>
        <v>122752</v>
      </c>
      <c r="I95" s="18">
        <f t="shared" si="11"/>
        <v>228500</v>
      </c>
      <c r="J95" s="4">
        <f t="shared" si="12"/>
        <v>-164303</v>
      </c>
      <c r="K95" s="25">
        <v>8723</v>
      </c>
      <c r="L95" s="18">
        <f t="shared" si="17"/>
        <v>15344</v>
      </c>
      <c r="M95" s="61">
        <f t="shared" si="13"/>
        <v>0</v>
      </c>
      <c r="N95" s="4">
        <f t="shared" si="14"/>
        <v>0</v>
      </c>
      <c r="O95" s="233">
        <f t="shared" si="15"/>
        <v>-164303</v>
      </c>
      <c r="P95" s="223">
        <f t="shared" si="16"/>
        <v>-10.707936110698357</v>
      </c>
      <c r="Q95" s="224"/>
      <c r="R95" s="224"/>
      <c r="S95" s="225"/>
      <c r="T95" s="225"/>
      <c r="U95" s="225"/>
      <c r="V95" s="225"/>
      <c r="Z95" s="23"/>
      <c r="AA95" s="23"/>
      <c r="AB95" s="23"/>
      <c r="AC95" s="23"/>
    </row>
    <row r="96" spans="1:29" x14ac:dyDescent="0.25">
      <c r="A96" s="222">
        <f>'A) Base RI'!A98</f>
        <v>5553</v>
      </c>
      <c r="B96" s="62" t="str">
        <f>'A) Base RI'!B98</f>
        <v>Champagne</v>
      </c>
      <c r="C96" s="61">
        <f>'D) Ecrêtage'!N96</f>
        <v>34561.95904761905</v>
      </c>
      <c r="D96" s="61">
        <v>265862</v>
      </c>
      <c r="E96" s="18">
        <v>44753</v>
      </c>
      <c r="F96" s="73">
        <v>125080</v>
      </c>
      <c r="G96" s="18">
        <f t="shared" si="9"/>
        <v>435695</v>
      </c>
      <c r="H96" s="61">
        <f t="shared" si="10"/>
        <v>276496</v>
      </c>
      <c r="I96" s="18">
        <f t="shared" si="11"/>
        <v>159199</v>
      </c>
      <c r="J96" s="4">
        <f t="shared" si="12"/>
        <v>-114472</v>
      </c>
      <c r="K96" s="25">
        <v>24703</v>
      </c>
      <c r="L96" s="18">
        <f t="shared" si="17"/>
        <v>34562</v>
      </c>
      <c r="M96" s="61">
        <f t="shared" si="13"/>
        <v>0</v>
      </c>
      <c r="N96" s="4">
        <f t="shared" si="14"/>
        <v>0</v>
      </c>
      <c r="O96" s="233">
        <f t="shared" si="15"/>
        <v>-114472</v>
      </c>
      <c r="P96" s="223">
        <f t="shared" si="16"/>
        <v>-3.3120807718764396</v>
      </c>
      <c r="Q96" s="224"/>
      <c r="R96" s="224"/>
      <c r="S96" s="225"/>
      <c r="T96" s="225"/>
      <c r="U96" s="225"/>
      <c r="V96" s="225"/>
      <c r="Z96" s="23"/>
      <c r="AA96" s="23"/>
      <c r="AB96" s="23"/>
      <c r="AC96" s="23"/>
    </row>
    <row r="97" spans="1:29" x14ac:dyDescent="0.25">
      <c r="A97" s="222">
        <f>'A) Base RI'!A99</f>
        <v>5554</v>
      </c>
      <c r="B97" s="62" t="str">
        <f>'A) Base RI'!B99</f>
        <v>Concise</v>
      </c>
      <c r="C97" s="61">
        <f>'D) Ecrêtage'!N97</f>
        <v>28927.786533333336</v>
      </c>
      <c r="D97" s="61">
        <v>169389</v>
      </c>
      <c r="E97" s="18">
        <v>56336</v>
      </c>
      <c r="F97" s="73">
        <v>113971</v>
      </c>
      <c r="G97" s="18">
        <f t="shared" si="9"/>
        <v>339696</v>
      </c>
      <c r="H97" s="61">
        <f t="shared" si="10"/>
        <v>231422</v>
      </c>
      <c r="I97" s="18">
        <f t="shared" si="11"/>
        <v>108274</v>
      </c>
      <c r="J97" s="4">
        <f t="shared" si="12"/>
        <v>-77855</v>
      </c>
      <c r="K97" s="25">
        <v>26923</v>
      </c>
      <c r="L97" s="18">
        <f t="shared" si="17"/>
        <v>28928</v>
      </c>
      <c r="M97" s="61">
        <f t="shared" si="13"/>
        <v>0</v>
      </c>
      <c r="N97" s="4">
        <f t="shared" si="14"/>
        <v>0</v>
      </c>
      <c r="O97" s="233">
        <f t="shared" si="15"/>
        <v>-77855</v>
      </c>
      <c r="P97" s="223">
        <f t="shared" si="16"/>
        <v>-2.6913569730019993</v>
      </c>
      <c r="Q97" s="224"/>
      <c r="R97" s="224"/>
      <c r="S97" s="225"/>
      <c r="T97" s="225"/>
      <c r="U97" s="225"/>
      <c r="V97" s="225"/>
      <c r="Z97" s="23"/>
      <c r="AA97" s="23"/>
      <c r="AB97" s="23"/>
      <c r="AC97" s="23"/>
    </row>
    <row r="98" spans="1:29" x14ac:dyDescent="0.25">
      <c r="A98" s="222">
        <f>'A) Base RI'!A100</f>
        <v>5555</v>
      </c>
      <c r="B98" s="62" t="str">
        <f>'A) Base RI'!B100</f>
        <v>Corcelles-près-Concise</v>
      </c>
      <c r="C98" s="61">
        <f>'D) Ecrêtage'!N98</f>
        <v>9553.9681690140824</v>
      </c>
      <c r="D98" s="61">
        <v>154605</v>
      </c>
      <c r="E98" s="18">
        <v>13846</v>
      </c>
      <c r="F98" s="73">
        <v>34940</v>
      </c>
      <c r="G98" s="18">
        <f t="shared" si="9"/>
        <v>203391</v>
      </c>
      <c r="H98" s="61">
        <f t="shared" si="10"/>
        <v>76432</v>
      </c>
      <c r="I98" s="18">
        <f t="shared" si="11"/>
        <v>126959</v>
      </c>
      <c r="J98" s="4">
        <f t="shared" si="12"/>
        <v>-91290</v>
      </c>
      <c r="K98" s="25">
        <v>57217</v>
      </c>
      <c r="L98" s="18">
        <f t="shared" si="17"/>
        <v>9554</v>
      </c>
      <c r="M98" s="61">
        <f t="shared" si="13"/>
        <v>47663</v>
      </c>
      <c r="N98" s="4">
        <f t="shared" si="14"/>
        <v>-34272</v>
      </c>
      <c r="O98" s="233">
        <f t="shared" si="15"/>
        <v>-125562</v>
      </c>
      <c r="P98" s="223">
        <f t="shared" si="16"/>
        <v>-13.142392540853244</v>
      </c>
      <c r="Q98" s="224"/>
      <c r="R98" s="224"/>
      <c r="S98" s="225"/>
      <c r="T98" s="225"/>
      <c r="U98" s="225"/>
      <c r="V98" s="225"/>
      <c r="Z98" s="23"/>
      <c r="AA98" s="23"/>
      <c r="AB98" s="23"/>
      <c r="AC98" s="23"/>
    </row>
    <row r="99" spans="1:29" x14ac:dyDescent="0.25">
      <c r="A99" s="222">
        <f>'A) Base RI'!A101</f>
        <v>5556</v>
      </c>
      <c r="B99" s="62" t="str">
        <f>'A) Base RI'!B101</f>
        <v>Fiez</v>
      </c>
      <c r="C99" s="61">
        <f>'D) Ecrêtage'!N99</f>
        <v>10930.395096618358</v>
      </c>
      <c r="D99" s="61">
        <v>80902</v>
      </c>
      <c r="E99" s="18">
        <v>12178</v>
      </c>
      <c r="F99" s="73">
        <v>62590</v>
      </c>
      <c r="G99" s="18">
        <f t="shared" si="9"/>
        <v>155670</v>
      </c>
      <c r="H99" s="61">
        <f t="shared" si="10"/>
        <v>87443</v>
      </c>
      <c r="I99" s="18">
        <f t="shared" si="11"/>
        <v>68227</v>
      </c>
      <c r="J99" s="4">
        <f t="shared" si="12"/>
        <v>-49059</v>
      </c>
      <c r="K99" s="25">
        <v>1119</v>
      </c>
      <c r="L99" s="18">
        <f t="shared" si="17"/>
        <v>10930</v>
      </c>
      <c r="M99" s="61">
        <f t="shared" si="13"/>
        <v>0</v>
      </c>
      <c r="N99" s="4">
        <f t="shared" si="14"/>
        <v>0</v>
      </c>
      <c r="O99" s="233">
        <f t="shared" si="15"/>
        <v>-49059</v>
      </c>
      <c r="P99" s="223">
        <f t="shared" si="16"/>
        <v>-4.4883098521459539</v>
      </c>
      <c r="Q99" s="224"/>
      <c r="R99" s="224"/>
      <c r="S99" s="225"/>
      <c r="T99" s="225"/>
      <c r="U99" s="225"/>
      <c r="V99" s="225"/>
      <c r="Z99" s="23"/>
      <c r="AA99" s="23"/>
      <c r="AB99" s="23"/>
      <c r="AC99" s="23"/>
    </row>
    <row r="100" spans="1:29" x14ac:dyDescent="0.25">
      <c r="A100" s="222">
        <f>'A) Base RI'!A102</f>
        <v>5557</v>
      </c>
      <c r="B100" s="62" t="str">
        <f>'A) Base RI'!B102</f>
        <v>Fontaines-sur-Grandson</v>
      </c>
      <c r="C100" s="61">
        <f>'D) Ecrêtage'!N100</f>
        <v>4594.8315942028985</v>
      </c>
      <c r="D100" s="61">
        <v>17240</v>
      </c>
      <c r="E100" s="18">
        <v>4586</v>
      </c>
      <c r="F100" s="73">
        <v>20270</v>
      </c>
      <c r="G100" s="18">
        <f t="shared" si="9"/>
        <v>42096</v>
      </c>
      <c r="H100" s="61">
        <f t="shared" si="10"/>
        <v>36759</v>
      </c>
      <c r="I100" s="18">
        <f t="shared" si="11"/>
        <v>5337</v>
      </c>
      <c r="J100" s="4">
        <f t="shared" si="12"/>
        <v>-3838</v>
      </c>
      <c r="K100" s="25">
        <v>-1100</v>
      </c>
      <c r="L100" s="18">
        <f t="shared" si="17"/>
        <v>4595</v>
      </c>
      <c r="M100" s="61">
        <f t="shared" si="13"/>
        <v>0</v>
      </c>
      <c r="N100" s="4">
        <f t="shared" si="14"/>
        <v>0</v>
      </c>
      <c r="O100" s="233">
        <f t="shared" si="15"/>
        <v>-3838</v>
      </c>
      <c r="P100" s="223">
        <f t="shared" si="16"/>
        <v>-0.8352863258018508</v>
      </c>
      <c r="Q100" s="224"/>
      <c r="R100" s="224"/>
      <c r="S100" s="225"/>
      <c r="T100" s="225"/>
      <c r="U100" s="225"/>
      <c r="V100" s="225"/>
      <c r="Z100" s="23"/>
      <c r="AA100" s="23"/>
      <c r="AB100" s="23"/>
      <c r="AC100" s="23"/>
    </row>
    <row r="101" spans="1:29" x14ac:dyDescent="0.25">
      <c r="A101" s="222">
        <f>'A) Base RI'!A103</f>
        <v>5559</v>
      </c>
      <c r="B101" s="62" t="str">
        <f>'A) Base RI'!B103</f>
        <v>Giez</v>
      </c>
      <c r="C101" s="61">
        <f>'D) Ecrêtage'!N101</f>
        <v>14748.809242424242</v>
      </c>
      <c r="D101" s="61">
        <v>78921</v>
      </c>
      <c r="E101" s="18">
        <v>11642</v>
      </c>
      <c r="F101" s="73">
        <v>52050</v>
      </c>
      <c r="G101" s="18">
        <f t="shared" si="9"/>
        <v>142613</v>
      </c>
      <c r="H101" s="61">
        <f t="shared" si="10"/>
        <v>117990</v>
      </c>
      <c r="I101" s="18">
        <f t="shared" si="11"/>
        <v>24623</v>
      </c>
      <c r="J101" s="4">
        <f t="shared" si="12"/>
        <v>-17705</v>
      </c>
      <c r="K101" s="25">
        <v>4494</v>
      </c>
      <c r="L101" s="18">
        <f t="shared" si="17"/>
        <v>14749</v>
      </c>
      <c r="M101" s="61">
        <f t="shared" si="13"/>
        <v>0</v>
      </c>
      <c r="N101" s="4">
        <f t="shared" si="14"/>
        <v>0</v>
      </c>
      <c r="O101" s="233">
        <f t="shared" si="15"/>
        <v>-17705</v>
      </c>
      <c r="P101" s="223">
        <f t="shared" si="16"/>
        <v>-1.200435893432835</v>
      </c>
      <c r="Q101" s="224"/>
      <c r="R101" s="224"/>
      <c r="S101" s="225"/>
      <c r="T101" s="225"/>
      <c r="U101" s="225"/>
      <c r="V101" s="225"/>
      <c r="Z101" s="23"/>
      <c r="AA101" s="23"/>
      <c r="AB101" s="23"/>
      <c r="AC101" s="23"/>
    </row>
    <row r="102" spans="1:29" x14ac:dyDescent="0.25">
      <c r="A102" s="222">
        <f>'A) Base RI'!A104</f>
        <v>5560</v>
      </c>
      <c r="B102" s="62" t="str">
        <f>'A) Base RI'!B104</f>
        <v>Grandevent</v>
      </c>
      <c r="C102" s="61">
        <f>'D) Ecrêtage'!N102</f>
        <v>6117.1622727272734</v>
      </c>
      <c r="D102" s="61">
        <v>12843</v>
      </c>
      <c r="E102" s="18">
        <v>6848</v>
      </c>
      <c r="F102" s="73">
        <v>28670</v>
      </c>
      <c r="G102" s="18">
        <f t="shared" si="9"/>
        <v>48361</v>
      </c>
      <c r="H102" s="61">
        <f t="shared" si="10"/>
        <v>48937</v>
      </c>
      <c r="I102" s="18">
        <f t="shared" si="11"/>
        <v>0</v>
      </c>
      <c r="J102" s="4">
        <f t="shared" si="12"/>
        <v>0</v>
      </c>
      <c r="K102" s="25">
        <v>-7487</v>
      </c>
      <c r="L102" s="18">
        <f t="shared" si="17"/>
        <v>6117</v>
      </c>
      <c r="M102" s="61">
        <f t="shared" si="13"/>
        <v>0</v>
      </c>
      <c r="N102" s="4">
        <f t="shared" si="14"/>
        <v>0</v>
      </c>
      <c r="O102" s="233">
        <f t="shared" si="15"/>
        <v>0</v>
      </c>
      <c r="P102" s="223">
        <f t="shared" si="16"/>
        <v>0</v>
      </c>
      <c r="Q102" s="224"/>
      <c r="R102" s="224"/>
      <c r="S102" s="225"/>
      <c r="T102" s="225"/>
      <c r="U102" s="225"/>
      <c r="V102" s="225"/>
      <c r="Z102" s="23"/>
      <c r="AA102" s="23"/>
      <c r="AB102" s="23"/>
      <c r="AC102" s="23"/>
    </row>
    <row r="103" spans="1:29" x14ac:dyDescent="0.25">
      <c r="A103" s="222">
        <f>'A) Base RI'!A105</f>
        <v>5561</v>
      </c>
      <c r="B103" s="62" t="str">
        <f>'A) Base RI'!B105</f>
        <v>Grandson</v>
      </c>
      <c r="C103" s="61">
        <f>'D) Ecrêtage'!N103</f>
        <v>108535.21144927538</v>
      </c>
      <c r="D103" s="61">
        <v>1109585</v>
      </c>
      <c r="E103" s="18">
        <v>189435</v>
      </c>
      <c r="F103" s="73">
        <v>371366</v>
      </c>
      <c r="G103" s="18">
        <f t="shared" si="9"/>
        <v>1670386</v>
      </c>
      <c r="H103" s="61">
        <f t="shared" si="10"/>
        <v>868282</v>
      </c>
      <c r="I103" s="18">
        <f t="shared" si="11"/>
        <v>802104</v>
      </c>
      <c r="J103" s="4">
        <f t="shared" si="12"/>
        <v>-576754</v>
      </c>
      <c r="K103" s="25">
        <v>48337</v>
      </c>
      <c r="L103" s="18">
        <f t="shared" si="17"/>
        <v>108535</v>
      </c>
      <c r="M103" s="61">
        <f t="shared" si="13"/>
        <v>0</v>
      </c>
      <c r="N103" s="4">
        <f t="shared" si="14"/>
        <v>0</v>
      </c>
      <c r="O103" s="233">
        <f t="shared" si="15"/>
        <v>-576754</v>
      </c>
      <c r="P103" s="223">
        <f t="shared" si="16"/>
        <v>-5.3139805257536139</v>
      </c>
      <c r="Q103" s="224"/>
      <c r="R103" s="224"/>
      <c r="S103" s="225"/>
      <c r="T103" s="225"/>
      <c r="U103" s="225"/>
      <c r="V103" s="225"/>
      <c r="Z103" s="23"/>
      <c r="AA103" s="23"/>
      <c r="AB103" s="23"/>
      <c r="AC103" s="23"/>
    </row>
    <row r="104" spans="1:29" x14ac:dyDescent="0.25">
      <c r="A104" s="222">
        <f>'A) Base RI'!A106</f>
        <v>5562</v>
      </c>
      <c r="B104" s="62" t="str">
        <f>'A) Base RI'!B106</f>
        <v>Mauborget</v>
      </c>
      <c r="C104" s="61">
        <f>'D) Ecrêtage'!N104</f>
        <v>3378.0009047619046</v>
      </c>
      <c r="D104" s="61">
        <v>41435</v>
      </c>
      <c r="E104" s="18">
        <v>3275</v>
      </c>
      <c r="F104" s="73">
        <v>3554</v>
      </c>
      <c r="G104" s="18">
        <f t="shared" si="9"/>
        <v>48264</v>
      </c>
      <c r="H104" s="61">
        <f t="shared" si="10"/>
        <v>27024</v>
      </c>
      <c r="I104" s="18">
        <f t="shared" si="11"/>
        <v>21240</v>
      </c>
      <c r="J104" s="4">
        <f t="shared" si="12"/>
        <v>-15273</v>
      </c>
      <c r="K104" s="25">
        <v>-2318</v>
      </c>
      <c r="L104" s="18">
        <f t="shared" si="17"/>
        <v>3378</v>
      </c>
      <c r="M104" s="61">
        <f t="shared" si="13"/>
        <v>0</v>
      </c>
      <c r="N104" s="4">
        <f t="shared" si="14"/>
        <v>0</v>
      </c>
      <c r="O104" s="233">
        <f t="shared" si="15"/>
        <v>-15273</v>
      </c>
      <c r="P104" s="223">
        <f t="shared" si="16"/>
        <v>-4.5213131762250089</v>
      </c>
      <c r="Q104" s="224"/>
      <c r="R104" s="224"/>
      <c r="S104" s="225"/>
      <c r="T104" s="225"/>
      <c r="U104" s="225"/>
      <c r="V104" s="225"/>
      <c r="Z104" s="23"/>
      <c r="AA104" s="23"/>
      <c r="AB104" s="23"/>
      <c r="AC104" s="23"/>
    </row>
    <row r="105" spans="1:29" x14ac:dyDescent="0.25">
      <c r="A105" s="222">
        <f>'A) Base RI'!A107</f>
        <v>5563</v>
      </c>
      <c r="B105" s="62" t="str">
        <f>'A) Base RI'!B107</f>
        <v>Mutrux</v>
      </c>
      <c r="C105" s="61">
        <f>'D) Ecrêtage'!N105</f>
        <v>3733.6552866242037</v>
      </c>
      <c r="D105" s="61">
        <v>50239</v>
      </c>
      <c r="E105" s="18">
        <v>4109</v>
      </c>
      <c r="F105" s="73">
        <v>19960</v>
      </c>
      <c r="G105" s="18">
        <f t="shared" si="9"/>
        <v>74308</v>
      </c>
      <c r="H105" s="61">
        <f t="shared" si="10"/>
        <v>29869</v>
      </c>
      <c r="I105" s="18">
        <f t="shared" si="11"/>
        <v>44439</v>
      </c>
      <c r="J105" s="4">
        <f t="shared" si="12"/>
        <v>-31954</v>
      </c>
      <c r="K105" s="25">
        <v>15045</v>
      </c>
      <c r="L105" s="18">
        <f t="shared" si="17"/>
        <v>3734</v>
      </c>
      <c r="M105" s="61">
        <f t="shared" si="13"/>
        <v>11311</v>
      </c>
      <c r="N105" s="4">
        <f t="shared" si="14"/>
        <v>-8133</v>
      </c>
      <c r="O105" s="233">
        <f t="shared" si="15"/>
        <v>-40087</v>
      </c>
      <c r="P105" s="223">
        <f t="shared" si="16"/>
        <v>-10.736663382827928</v>
      </c>
      <c r="Q105" s="224"/>
      <c r="R105" s="224"/>
      <c r="S105" s="225"/>
      <c r="T105" s="225"/>
      <c r="U105" s="225"/>
      <c r="V105" s="225"/>
      <c r="Z105" s="23"/>
      <c r="AA105" s="23"/>
      <c r="AB105" s="23"/>
      <c r="AC105" s="23"/>
    </row>
    <row r="106" spans="1:29" x14ac:dyDescent="0.25">
      <c r="A106" s="222">
        <f>'A) Base RI'!A108</f>
        <v>5564</v>
      </c>
      <c r="B106" s="62" t="str">
        <f>'A) Base RI'!B108</f>
        <v>Novalles</v>
      </c>
      <c r="C106" s="61">
        <f>'D) Ecrêtage'!N106</f>
        <v>2399.5770723684213</v>
      </c>
      <c r="D106" s="61">
        <v>16113</v>
      </c>
      <c r="E106" s="18">
        <v>3126</v>
      </c>
      <c r="F106" s="73">
        <v>11190</v>
      </c>
      <c r="G106" s="18">
        <f t="shared" si="9"/>
        <v>30429</v>
      </c>
      <c r="H106" s="61">
        <f t="shared" si="10"/>
        <v>19197</v>
      </c>
      <c r="I106" s="18">
        <f t="shared" si="11"/>
        <v>11232</v>
      </c>
      <c r="J106" s="4">
        <f t="shared" si="12"/>
        <v>-8076</v>
      </c>
      <c r="K106" s="25">
        <v>3188</v>
      </c>
      <c r="L106" s="18">
        <f t="shared" si="17"/>
        <v>2400</v>
      </c>
      <c r="M106" s="61">
        <f t="shared" si="13"/>
        <v>788</v>
      </c>
      <c r="N106" s="4">
        <f t="shared" si="14"/>
        <v>-567</v>
      </c>
      <c r="O106" s="233">
        <f t="shared" si="15"/>
        <v>-8643</v>
      </c>
      <c r="P106" s="223">
        <f t="shared" si="16"/>
        <v>-3.6018847235730669</v>
      </c>
      <c r="Q106" s="224"/>
      <c r="R106" s="224"/>
      <c r="S106" s="225"/>
      <c r="T106" s="225"/>
      <c r="U106" s="225"/>
      <c r="V106" s="225"/>
      <c r="Z106" s="23"/>
      <c r="AA106" s="23"/>
      <c r="AB106" s="23"/>
      <c r="AC106" s="23"/>
    </row>
    <row r="107" spans="1:29" x14ac:dyDescent="0.25">
      <c r="A107" s="222">
        <f>'A) Base RI'!A109</f>
        <v>5565</v>
      </c>
      <c r="B107" s="62" t="str">
        <f>'A) Base RI'!B109</f>
        <v>Onnens</v>
      </c>
      <c r="C107" s="61">
        <f>'D) Ecrêtage'!N107</f>
        <v>18028.040615384612</v>
      </c>
      <c r="D107" s="61">
        <v>64963</v>
      </c>
      <c r="E107" s="18">
        <v>22600</v>
      </c>
      <c r="F107" s="73">
        <v>65880</v>
      </c>
      <c r="G107" s="18">
        <f t="shared" si="9"/>
        <v>153443</v>
      </c>
      <c r="H107" s="61">
        <f t="shared" si="10"/>
        <v>144224</v>
      </c>
      <c r="I107" s="18">
        <f t="shared" si="11"/>
        <v>9219</v>
      </c>
      <c r="J107" s="4">
        <f t="shared" si="12"/>
        <v>-6629</v>
      </c>
      <c r="K107" s="25">
        <v>23708</v>
      </c>
      <c r="L107" s="18">
        <f t="shared" si="17"/>
        <v>18028</v>
      </c>
      <c r="M107" s="61">
        <f t="shared" si="13"/>
        <v>5680</v>
      </c>
      <c r="N107" s="4">
        <f t="shared" si="14"/>
        <v>-4084</v>
      </c>
      <c r="O107" s="233">
        <f t="shared" si="15"/>
        <v>-10713</v>
      </c>
      <c r="P107" s="223">
        <f t="shared" si="16"/>
        <v>-0.59424095100261942</v>
      </c>
      <c r="Q107" s="224"/>
      <c r="R107" s="224"/>
      <c r="S107" s="225"/>
      <c r="T107" s="225"/>
      <c r="U107" s="225"/>
      <c r="V107" s="225"/>
      <c r="Z107" s="23"/>
      <c r="AA107" s="23"/>
      <c r="AB107" s="23"/>
      <c r="AC107" s="23"/>
    </row>
    <row r="108" spans="1:29" x14ac:dyDescent="0.25">
      <c r="A108" s="222">
        <f>'A) Base RI'!A110</f>
        <v>5566</v>
      </c>
      <c r="B108" s="62" t="str">
        <f>'A) Base RI'!B110</f>
        <v>Provence</v>
      </c>
      <c r="C108" s="61">
        <f>'D) Ecrêtage'!N108</f>
        <v>6953.5259259259255</v>
      </c>
      <c r="D108" s="61">
        <v>159076</v>
      </c>
      <c r="E108" s="18">
        <v>10303</v>
      </c>
      <c r="F108" s="73">
        <v>42470</v>
      </c>
      <c r="G108" s="18">
        <f t="shared" si="9"/>
        <v>211849</v>
      </c>
      <c r="H108" s="61">
        <f t="shared" si="10"/>
        <v>55628</v>
      </c>
      <c r="I108" s="18">
        <f t="shared" si="11"/>
        <v>156221</v>
      </c>
      <c r="J108" s="4">
        <f t="shared" si="12"/>
        <v>-112331</v>
      </c>
      <c r="K108" s="25">
        <v>-10864</v>
      </c>
      <c r="L108" s="18">
        <f t="shared" si="17"/>
        <v>6954</v>
      </c>
      <c r="M108" s="61">
        <f t="shared" si="13"/>
        <v>0</v>
      </c>
      <c r="N108" s="4">
        <f t="shared" si="14"/>
        <v>0</v>
      </c>
      <c r="O108" s="233">
        <f t="shared" si="15"/>
        <v>-112331</v>
      </c>
      <c r="P108" s="223">
        <f t="shared" si="16"/>
        <v>-16.154538171947937</v>
      </c>
      <c r="Q108" s="224"/>
      <c r="R108" s="224"/>
      <c r="S108" s="225"/>
      <c r="T108" s="225"/>
      <c r="U108" s="225"/>
      <c r="V108" s="225"/>
      <c r="Z108" s="23"/>
      <c r="AA108" s="23"/>
      <c r="AB108" s="23"/>
      <c r="AC108" s="23"/>
    </row>
    <row r="109" spans="1:29" x14ac:dyDescent="0.25">
      <c r="A109" s="222">
        <f>'A) Base RI'!A111</f>
        <v>5568</v>
      </c>
      <c r="B109" s="62" t="str">
        <f>'A) Base RI'!B111</f>
        <v>Sainte-Croix</v>
      </c>
      <c r="C109" s="61">
        <f>'D) Ecrêtage'!N109</f>
        <v>95577.709714285724</v>
      </c>
      <c r="D109" s="61">
        <v>1450989</v>
      </c>
      <c r="E109" s="18">
        <v>348678</v>
      </c>
      <c r="F109" s="73">
        <v>194175</v>
      </c>
      <c r="G109" s="18">
        <f t="shared" si="9"/>
        <v>1993842</v>
      </c>
      <c r="H109" s="61">
        <f t="shared" si="10"/>
        <v>764622</v>
      </c>
      <c r="I109" s="18">
        <f t="shared" si="11"/>
        <v>1229220</v>
      </c>
      <c r="J109" s="4">
        <f t="shared" si="12"/>
        <v>-883873</v>
      </c>
      <c r="K109" s="25">
        <v>-99661</v>
      </c>
      <c r="L109" s="18">
        <f t="shared" si="17"/>
        <v>95578</v>
      </c>
      <c r="M109" s="61">
        <f t="shared" si="13"/>
        <v>0</v>
      </c>
      <c r="N109" s="4">
        <f t="shared" si="14"/>
        <v>0</v>
      </c>
      <c r="O109" s="233">
        <f t="shared" si="15"/>
        <v>-883873</v>
      </c>
      <c r="P109" s="223">
        <f t="shared" si="16"/>
        <v>-9.2476896824813757</v>
      </c>
      <c r="Q109" s="224"/>
      <c r="R109" s="224"/>
      <c r="S109" s="225"/>
      <c r="T109" s="225"/>
      <c r="U109" s="225"/>
      <c r="V109" s="225"/>
      <c r="Z109" s="23"/>
      <c r="AA109" s="23"/>
      <c r="AB109" s="23"/>
      <c r="AC109" s="23"/>
    </row>
    <row r="110" spans="1:29" x14ac:dyDescent="0.25">
      <c r="A110" s="222">
        <f>'A) Base RI'!A112</f>
        <v>5571</v>
      </c>
      <c r="B110" s="62" t="str">
        <f>'A) Base RI'!B112</f>
        <v>Tévenon</v>
      </c>
      <c r="C110" s="61">
        <f>'D) Ecrêtage'!N110</f>
        <v>19746.460639269408</v>
      </c>
      <c r="D110" s="9">
        <v>154967</v>
      </c>
      <c r="E110" s="9">
        <v>22183</v>
      </c>
      <c r="F110" s="9">
        <v>85660</v>
      </c>
      <c r="G110" s="18">
        <f t="shared" si="9"/>
        <v>262810</v>
      </c>
      <c r="H110" s="61">
        <f t="shared" si="10"/>
        <v>157972</v>
      </c>
      <c r="I110" s="18">
        <f t="shared" si="11"/>
        <v>104838</v>
      </c>
      <c r="J110" s="4">
        <f t="shared" si="12"/>
        <v>-75384</v>
      </c>
      <c r="K110" s="25">
        <v>6421</v>
      </c>
      <c r="L110" s="18">
        <f t="shared" si="17"/>
        <v>19746</v>
      </c>
      <c r="M110" s="61">
        <f t="shared" si="13"/>
        <v>0</v>
      </c>
      <c r="N110" s="4">
        <f t="shared" si="14"/>
        <v>0</v>
      </c>
      <c r="O110" s="233">
        <f t="shared" si="15"/>
        <v>-75384</v>
      </c>
      <c r="P110" s="223">
        <f t="shared" si="16"/>
        <v>-3.8175955365937977</v>
      </c>
      <c r="Q110" s="224"/>
      <c r="R110" s="224"/>
      <c r="S110" s="225"/>
      <c r="T110" s="225"/>
      <c r="U110" s="225"/>
      <c r="V110" s="225"/>
      <c r="Z110" s="23"/>
      <c r="AA110" s="23"/>
      <c r="AB110" s="23"/>
      <c r="AC110" s="23"/>
    </row>
    <row r="111" spans="1:29" x14ac:dyDescent="0.25">
      <c r="A111" s="222">
        <f>'A) Base RI'!A113</f>
        <v>5581</v>
      </c>
      <c r="B111" s="62" t="str">
        <f>'A) Base RI'!B113</f>
        <v>Belmont-sur-Lausanne</v>
      </c>
      <c r="C111" s="61">
        <f>'D) Ecrêtage'!N111</f>
        <v>180220.53318944844</v>
      </c>
      <c r="D111" s="61">
        <v>1043388</v>
      </c>
      <c r="E111" s="18">
        <v>1052265</v>
      </c>
      <c r="F111" s="73">
        <v>150264</v>
      </c>
      <c r="G111" s="18">
        <f t="shared" si="9"/>
        <v>2245917</v>
      </c>
      <c r="H111" s="61">
        <f t="shared" si="10"/>
        <v>1441764</v>
      </c>
      <c r="I111" s="18">
        <f t="shared" si="11"/>
        <v>804153</v>
      </c>
      <c r="J111" s="4">
        <f t="shared" si="12"/>
        <v>-578228</v>
      </c>
      <c r="K111" s="25">
        <v>13947</v>
      </c>
      <c r="L111" s="18">
        <f t="shared" si="17"/>
        <v>180221</v>
      </c>
      <c r="M111" s="61">
        <f t="shared" si="13"/>
        <v>0</v>
      </c>
      <c r="N111" s="4">
        <f t="shared" si="14"/>
        <v>0</v>
      </c>
      <c r="O111" s="233">
        <f t="shared" si="15"/>
        <v>-578228</v>
      </c>
      <c r="P111" s="223">
        <f t="shared" si="16"/>
        <v>-3.2084468388081215</v>
      </c>
      <c r="Q111" s="224"/>
      <c r="R111" s="224"/>
      <c r="S111" s="225"/>
      <c r="T111" s="225"/>
      <c r="U111" s="225"/>
      <c r="V111" s="225"/>
      <c r="Z111" s="23"/>
      <c r="AA111" s="23"/>
      <c r="AB111" s="23"/>
      <c r="AC111" s="23"/>
    </row>
    <row r="112" spans="1:29" x14ac:dyDescent="0.25">
      <c r="A112" s="222">
        <f>'A) Base RI'!A114</f>
        <v>5582</v>
      </c>
      <c r="B112" s="62" t="str">
        <f>'A) Base RI'!B114</f>
        <v>Cheseaux-sur-Lausanne</v>
      </c>
      <c r="C112" s="61">
        <f>'D) Ecrêtage'!N112</f>
        <v>145388.39302013422</v>
      </c>
      <c r="D112" s="61">
        <v>850536</v>
      </c>
      <c r="E112" s="18">
        <v>418892</v>
      </c>
      <c r="F112" s="73">
        <v>191896</v>
      </c>
      <c r="G112" s="18">
        <f t="shared" si="9"/>
        <v>1461324</v>
      </c>
      <c r="H112" s="61">
        <f t="shared" si="10"/>
        <v>1163107</v>
      </c>
      <c r="I112" s="18">
        <f t="shared" si="11"/>
        <v>298217</v>
      </c>
      <c r="J112" s="4">
        <f t="shared" si="12"/>
        <v>-214433</v>
      </c>
      <c r="K112" s="25">
        <v>117844</v>
      </c>
      <c r="L112" s="18">
        <f t="shared" si="17"/>
        <v>145388</v>
      </c>
      <c r="M112" s="61">
        <f t="shared" si="13"/>
        <v>0</v>
      </c>
      <c r="N112" s="4">
        <f t="shared" si="14"/>
        <v>0</v>
      </c>
      <c r="O112" s="233">
        <f t="shared" si="15"/>
        <v>-214433</v>
      </c>
      <c r="P112" s="223">
        <f t="shared" si="16"/>
        <v>-1.4748976554841218</v>
      </c>
      <c r="Q112" s="224"/>
      <c r="R112" s="224"/>
      <c r="S112" s="225"/>
      <c r="T112" s="225"/>
      <c r="U112" s="225"/>
      <c r="V112" s="225"/>
      <c r="Z112" s="23"/>
      <c r="AA112" s="23"/>
      <c r="AB112" s="23"/>
      <c r="AC112" s="23"/>
    </row>
    <row r="113" spans="1:29" x14ac:dyDescent="0.25">
      <c r="A113" s="222">
        <f>'A) Base RI'!A115</f>
        <v>5583</v>
      </c>
      <c r="B113" s="62" t="str">
        <f>'A) Base RI'!B115</f>
        <v>Crissier</v>
      </c>
      <c r="C113" s="61">
        <f>'D) Ecrêtage'!N113</f>
        <v>300610.54815384618</v>
      </c>
      <c r="D113" s="61">
        <v>2133446</v>
      </c>
      <c r="E113" s="18">
        <v>2762652</v>
      </c>
      <c r="F113" s="73">
        <v>308010</v>
      </c>
      <c r="G113" s="18">
        <f t="shared" si="9"/>
        <v>5204108</v>
      </c>
      <c r="H113" s="61">
        <f t="shared" si="10"/>
        <v>2404884</v>
      </c>
      <c r="I113" s="18">
        <f t="shared" si="11"/>
        <v>2799224</v>
      </c>
      <c r="J113" s="4">
        <f t="shared" si="12"/>
        <v>-2012787</v>
      </c>
      <c r="K113" s="25">
        <v>84292</v>
      </c>
      <c r="L113" s="18">
        <f t="shared" si="17"/>
        <v>300611</v>
      </c>
      <c r="M113" s="61">
        <f t="shared" si="13"/>
        <v>0</v>
      </c>
      <c r="N113" s="4">
        <f t="shared" si="14"/>
        <v>0</v>
      </c>
      <c r="O113" s="233">
        <f t="shared" si="15"/>
        <v>-2012787</v>
      </c>
      <c r="P113" s="223">
        <f t="shared" si="16"/>
        <v>-6.6956632505453459</v>
      </c>
      <c r="Q113" s="224"/>
      <c r="R113" s="224"/>
      <c r="S113" s="225"/>
      <c r="T113" s="225"/>
      <c r="U113" s="225"/>
      <c r="V113" s="225"/>
      <c r="Z113" s="23"/>
      <c r="AA113" s="23"/>
      <c r="AB113" s="23"/>
      <c r="AC113" s="23"/>
    </row>
    <row r="114" spans="1:29" x14ac:dyDescent="0.25">
      <c r="A114" s="222">
        <f>'A) Base RI'!A116</f>
        <v>5584</v>
      </c>
      <c r="B114" s="62" t="str">
        <f>'A) Base RI'!B116</f>
        <v>Epalinges</v>
      </c>
      <c r="C114" s="61">
        <f>'D) Ecrêtage'!N114</f>
        <v>461506.63590909087</v>
      </c>
      <c r="D114" s="61">
        <v>3372873</v>
      </c>
      <c r="E114" s="18">
        <v>3215170</v>
      </c>
      <c r="F114" s="73">
        <v>599234</v>
      </c>
      <c r="G114" s="18">
        <f t="shared" si="9"/>
        <v>7187277</v>
      </c>
      <c r="H114" s="61">
        <f t="shared" si="10"/>
        <v>3692053</v>
      </c>
      <c r="I114" s="18">
        <f t="shared" si="11"/>
        <v>3495224</v>
      </c>
      <c r="J114" s="4">
        <f t="shared" si="12"/>
        <v>-2513246</v>
      </c>
      <c r="K114" s="25">
        <v>400105</v>
      </c>
      <c r="L114" s="18">
        <f t="shared" si="17"/>
        <v>461507</v>
      </c>
      <c r="M114" s="61">
        <f t="shared" si="13"/>
        <v>0</v>
      </c>
      <c r="N114" s="4">
        <f t="shared" si="14"/>
        <v>0</v>
      </c>
      <c r="O114" s="233">
        <f t="shared" si="15"/>
        <v>-2513246</v>
      </c>
      <c r="P114" s="223">
        <f t="shared" si="16"/>
        <v>-5.4457418473503116</v>
      </c>
      <c r="Q114" s="224"/>
      <c r="R114" s="224"/>
      <c r="S114" s="225"/>
      <c r="T114" s="225"/>
      <c r="U114" s="225"/>
      <c r="V114" s="225"/>
      <c r="Z114" s="23"/>
      <c r="AA114" s="23"/>
      <c r="AB114" s="23"/>
      <c r="AC114" s="23"/>
    </row>
    <row r="115" spans="1:29" x14ac:dyDescent="0.25">
      <c r="A115" s="222">
        <f>'A) Base RI'!A117</f>
        <v>5585</v>
      </c>
      <c r="B115" s="62" t="str">
        <f>'A) Base RI'!B117</f>
        <v>Jouxtens-Mézery</v>
      </c>
      <c r="C115" s="61">
        <f>'D) Ecrêtage'!N115</f>
        <v>134590.31495665171</v>
      </c>
      <c r="D115" s="61">
        <v>493789</v>
      </c>
      <c r="E115" s="18">
        <v>115971</v>
      </c>
      <c r="F115" s="73">
        <v>10014</v>
      </c>
      <c r="G115" s="18">
        <f t="shared" si="9"/>
        <v>619774</v>
      </c>
      <c r="H115" s="61">
        <f t="shared" si="10"/>
        <v>1076723</v>
      </c>
      <c r="I115" s="18">
        <f t="shared" si="11"/>
        <v>0</v>
      </c>
      <c r="J115" s="4">
        <f t="shared" si="12"/>
        <v>0</v>
      </c>
      <c r="K115" s="25">
        <v>20333</v>
      </c>
      <c r="L115" s="18">
        <f t="shared" si="17"/>
        <v>134590</v>
      </c>
      <c r="M115" s="61">
        <f t="shared" si="13"/>
        <v>0</v>
      </c>
      <c r="N115" s="4">
        <f t="shared" si="14"/>
        <v>0</v>
      </c>
      <c r="O115" s="233">
        <f t="shared" si="15"/>
        <v>0</v>
      </c>
      <c r="P115" s="223">
        <f t="shared" si="16"/>
        <v>0</v>
      </c>
      <c r="Q115" s="224"/>
      <c r="R115" s="224"/>
      <c r="S115" s="225"/>
      <c r="T115" s="225"/>
      <c r="U115" s="225"/>
      <c r="V115" s="225"/>
      <c r="Z115" s="23"/>
      <c r="AA115" s="23"/>
      <c r="AB115" s="23"/>
      <c r="AC115" s="23"/>
    </row>
    <row r="116" spans="1:29" x14ac:dyDescent="0.25">
      <c r="A116" s="222">
        <f>'A) Base RI'!A118</f>
        <v>5586</v>
      </c>
      <c r="B116" s="62" t="str">
        <f>'A) Base RI'!B118</f>
        <v>Lausanne</v>
      </c>
      <c r="C116" s="61">
        <f>'D) Ecrêtage'!N116</f>
        <v>6035853.3985654004</v>
      </c>
      <c r="D116" s="61">
        <v>57900020</v>
      </c>
      <c r="E116" s="18">
        <v>52868792</v>
      </c>
      <c r="F116" s="73">
        <v>2133271</v>
      </c>
      <c r="G116" s="18">
        <f t="shared" ref="G116:G169" si="18">D116+E116+F116</f>
        <v>112902083</v>
      </c>
      <c r="H116" s="61">
        <f t="shared" ref="H116:H169" si="19">ROUND(C116*I$4,0)</f>
        <v>48286827</v>
      </c>
      <c r="I116" s="18">
        <f t="shared" ref="I116:I169" si="20">IF(G116&gt;H116,G116-H116,0)</f>
        <v>64615256</v>
      </c>
      <c r="J116" s="4">
        <f t="shared" ref="J116:J169" si="21">ROUND(-I116*J$4,0)</f>
        <v>-46461704</v>
      </c>
      <c r="K116" s="25">
        <v>3256756</v>
      </c>
      <c r="L116" s="18">
        <f t="shared" si="17"/>
        <v>6035853</v>
      </c>
      <c r="M116" s="61">
        <f t="shared" ref="M116:M169" si="22">IF(K116&gt;L116,K116-L116,0)</f>
        <v>0</v>
      </c>
      <c r="N116" s="4">
        <f t="shared" ref="N116:N169" si="23">ROUND(-M116*N$4,0)</f>
        <v>0</v>
      </c>
      <c r="O116" s="233">
        <f t="shared" ref="O116:O169" si="24">N116+J116</f>
        <v>-46461704</v>
      </c>
      <c r="P116" s="223">
        <f t="shared" ref="P116:P169" si="25">O116/C116</f>
        <v>-7.6976196955086751</v>
      </c>
      <c r="Q116" s="224"/>
      <c r="R116" s="224"/>
      <c r="S116" s="225"/>
      <c r="T116" s="225"/>
      <c r="U116" s="225"/>
      <c r="V116" s="225"/>
      <c r="Z116" s="23"/>
      <c r="AA116" s="23"/>
      <c r="AB116" s="23"/>
      <c r="AC116" s="23"/>
    </row>
    <row r="117" spans="1:29" x14ac:dyDescent="0.25">
      <c r="A117" s="222">
        <f>'A) Base RI'!A119</f>
        <v>5587</v>
      </c>
      <c r="B117" s="62" t="str">
        <f>'A) Base RI'!B119</f>
        <v>Le Mont-sur-Lausanne</v>
      </c>
      <c r="C117" s="61">
        <f>'D) Ecrêtage'!N117</f>
        <v>349051.38502222218</v>
      </c>
      <c r="D117" s="61">
        <v>3193840</v>
      </c>
      <c r="E117" s="18">
        <v>1911253</v>
      </c>
      <c r="F117" s="73">
        <v>527332</v>
      </c>
      <c r="G117" s="18">
        <f t="shared" si="18"/>
        <v>5632425</v>
      </c>
      <c r="H117" s="61">
        <f t="shared" si="19"/>
        <v>2792411</v>
      </c>
      <c r="I117" s="18">
        <f t="shared" si="20"/>
        <v>2840014</v>
      </c>
      <c r="J117" s="4">
        <f t="shared" si="21"/>
        <v>-2042117</v>
      </c>
      <c r="K117" s="25">
        <v>46400</v>
      </c>
      <c r="L117" s="18">
        <f t="shared" si="17"/>
        <v>349051</v>
      </c>
      <c r="M117" s="61">
        <f t="shared" si="22"/>
        <v>0</v>
      </c>
      <c r="N117" s="4">
        <f t="shared" si="23"/>
        <v>0</v>
      </c>
      <c r="O117" s="233">
        <f t="shared" si="24"/>
        <v>-2042117</v>
      </c>
      <c r="P117" s="223">
        <f t="shared" si="25"/>
        <v>-5.8504767138224922</v>
      </c>
      <c r="Q117" s="224"/>
      <c r="R117" s="224"/>
      <c r="S117" s="225"/>
      <c r="T117" s="225"/>
      <c r="U117" s="225"/>
      <c r="V117" s="225"/>
      <c r="Z117" s="23"/>
      <c r="AA117" s="23"/>
      <c r="AB117" s="23"/>
      <c r="AC117" s="23"/>
    </row>
    <row r="118" spans="1:29" x14ac:dyDescent="0.25">
      <c r="A118" s="222">
        <f>'A) Base RI'!A120</f>
        <v>5588</v>
      </c>
      <c r="B118" s="62" t="str">
        <f>'A) Base RI'!B120</f>
        <v>Paudex</v>
      </c>
      <c r="C118" s="61">
        <f>'D) Ecrêtage'!N118</f>
        <v>119438.63823447276</v>
      </c>
      <c r="D118" s="61">
        <v>74205</v>
      </c>
      <c r="E118" s="18">
        <v>469768</v>
      </c>
      <c r="F118" s="73">
        <v>29508</v>
      </c>
      <c r="G118" s="18">
        <f t="shared" si="18"/>
        <v>573481</v>
      </c>
      <c r="H118" s="61">
        <f t="shared" si="19"/>
        <v>955509</v>
      </c>
      <c r="I118" s="18">
        <f t="shared" si="20"/>
        <v>0</v>
      </c>
      <c r="J118" s="4">
        <f t="shared" si="21"/>
        <v>0</v>
      </c>
      <c r="K118" s="25">
        <v>20802</v>
      </c>
      <c r="L118" s="18">
        <f t="shared" si="17"/>
        <v>119439</v>
      </c>
      <c r="M118" s="61">
        <f t="shared" si="22"/>
        <v>0</v>
      </c>
      <c r="N118" s="4">
        <f t="shared" si="23"/>
        <v>0</v>
      </c>
      <c r="O118" s="233">
        <f t="shared" si="24"/>
        <v>0</v>
      </c>
      <c r="P118" s="223">
        <f t="shared" si="25"/>
        <v>0</v>
      </c>
      <c r="Q118" s="224"/>
      <c r="R118" s="224"/>
      <c r="S118" s="225"/>
      <c r="T118" s="225"/>
      <c r="U118" s="225"/>
      <c r="V118" s="225"/>
      <c r="Z118" s="23"/>
      <c r="AA118" s="23"/>
      <c r="AB118" s="23"/>
      <c r="AC118" s="23"/>
    </row>
    <row r="119" spans="1:29" x14ac:dyDescent="0.25">
      <c r="A119" s="222">
        <f>'A) Base RI'!A121</f>
        <v>5589</v>
      </c>
      <c r="B119" s="62" t="str">
        <f>'A) Base RI'!B121</f>
        <v>Prilly</v>
      </c>
      <c r="C119" s="61">
        <f>'D) Ecrêtage'!N119</f>
        <v>409964.00829931977</v>
      </c>
      <c r="D119" s="61">
        <v>3640940</v>
      </c>
      <c r="E119" s="18">
        <v>3456456</v>
      </c>
      <c r="F119" s="73">
        <v>91714</v>
      </c>
      <c r="G119" s="18">
        <f t="shared" si="18"/>
        <v>7189110</v>
      </c>
      <c r="H119" s="61">
        <f t="shared" si="19"/>
        <v>3279712</v>
      </c>
      <c r="I119" s="18">
        <f t="shared" si="20"/>
        <v>3909398</v>
      </c>
      <c r="J119" s="4">
        <f t="shared" si="21"/>
        <v>-2811059</v>
      </c>
      <c r="K119" s="25">
        <v>12707</v>
      </c>
      <c r="L119" s="18">
        <f t="shared" si="17"/>
        <v>409964</v>
      </c>
      <c r="M119" s="61">
        <f t="shared" si="22"/>
        <v>0</v>
      </c>
      <c r="N119" s="4">
        <f t="shared" si="23"/>
        <v>0</v>
      </c>
      <c r="O119" s="233">
        <f t="shared" si="24"/>
        <v>-2811059</v>
      </c>
      <c r="P119" s="223">
        <f t="shared" si="25"/>
        <v>-6.8568433889143048</v>
      </c>
      <c r="Q119" s="224"/>
      <c r="R119" s="224"/>
      <c r="S119" s="225"/>
      <c r="T119" s="225"/>
      <c r="U119" s="225"/>
      <c r="V119" s="225"/>
      <c r="Z119" s="23"/>
      <c r="AA119" s="23"/>
      <c r="AB119" s="23"/>
      <c r="AC119" s="23"/>
    </row>
    <row r="120" spans="1:29" x14ac:dyDescent="0.25">
      <c r="A120" s="222">
        <f>'A) Base RI'!A122</f>
        <v>5590</v>
      </c>
      <c r="B120" s="62" t="str">
        <f>'A) Base RI'!B122</f>
        <v>Pully</v>
      </c>
      <c r="C120" s="61">
        <f>'D) Ecrêtage'!N120</f>
        <v>1233855.8034109231</v>
      </c>
      <c r="D120" s="61">
        <v>4959980</v>
      </c>
      <c r="E120" s="18">
        <v>7148413</v>
      </c>
      <c r="F120" s="73">
        <v>281899</v>
      </c>
      <c r="G120" s="18">
        <f t="shared" si="18"/>
        <v>12390292</v>
      </c>
      <c r="H120" s="61">
        <f t="shared" si="19"/>
        <v>9870846</v>
      </c>
      <c r="I120" s="18">
        <f t="shared" si="20"/>
        <v>2519446</v>
      </c>
      <c r="J120" s="4">
        <f t="shared" si="21"/>
        <v>-1811612</v>
      </c>
      <c r="K120" s="25">
        <v>344611</v>
      </c>
      <c r="L120" s="18">
        <f t="shared" si="17"/>
        <v>1233856</v>
      </c>
      <c r="M120" s="61">
        <f t="shared" si="22"/>
        <v>0</v>
      </c>
      <c r="N120" s="4">
        <f t="shared" si="23"/>
        <v>0</v>
      </c>
      <c r="O120" s="233">
        <f t="shared" si="24"/>
        <v>-1811612</v>
      </c>
      <c r="P120" s="223">
        <f t="shared" si="25"/>
        <v>-1.468252606983655</v>
      </c>
      <c r="Q120" s="224"/>
      <c r="R120" s="224"/>
      <c r="S120" s="225"/>
      <c r="T120" s="225"/>
      <c r="U120" s="225"/>
      <c r="V120" s="225"/>
      <c r="Z120" s="23"/>
      <c r="AA120" s="23"/>
      <c r="AB120" s="23"/>
      <c r="AC120" s="23"/>
    </row>
    <row r="121" spans="1:29" x14ac:dyDescent="0.25">
      <c r="A121" s="222">
        <f>'A) Base RI'!A123</f>
        <v>5591</v>
      </c>
      <c r="B121" s="62" t="str">
        <f>'A) Base RI'!B123</f>
        <v>Renens</v>
      </c>
      <c r="C121" s="61">
        <f>'D) Ecrêtage'!N121</f>
        <v>507224.92132848047</v>
      </c>
      <c r="D121" s="61">
        <v>3578318</v>
      </c>
      <c r="E121" s="18">
        <v>7338584</v>
      </c>
      <c r="F121" s="73">
        <v>238183</v>
      </c>
      <c r="G121" s="18">
        <f t="shared" si="18"/>
        <v>11155085</v>
      </c>
      <c r="H121" s="61">
        <f t="shared" si="19"/>
        <v>4057799</v>
      </c>
      <c r="I121" s="18">
        <f t="shared" si="20"/>
        <v>7097286</v>
      </c>
      <c r="J121" s="4">
        <f t="shared" si="21"/>
        <v>-5103315</v>
      </c>
      <c r="K121" s="25">
        <v>58079</v>
      </c>
      <c r="L121" s="18">
        <f t="shared" si="17"/>
        <v>507225</v>
      </c>
      <c r="M121" s="61">
        <f t="shared" si="22"/>
        <v>0</v>
      </c>
      <c r="N121" s="4">
        <f t="shared" si="23"/>
        <v>0</v>
      </c>
      <c r="O121" s="233">
        <f t="shared" si="24"/>
        <v>-5103315</v>
      </c>
      <c r="P121" s="223">
        <f t="shared" si="25"/>
        <v>-10.061246570128752</v>
      </c>
      <c r="Q121" s="224"/>
      <c r="R121" s="224"/>
      <c r="S121" s="225"/>
      <c r="T121" s="225"/>
      <c r="U121" s="225"/>
      <c r="V121" s="225"/>
      <c r="Z121" s="23"/>
      <c r="AA121" s="23"/>
      <c r="AB121" s="23"/>
      <c r="AC121" s="23"/>
    </row>
    <row r="122" spans="1:29" x14ac:dyDescent="0.25">
      <c r="A122" s="222">
        <f>'A) Base RI'!A124</f>
        <v>5592</v>
      </c>
      <c r="B122" s="62" t="str">
        <f>'A) Base RI'!B124</f>
        <v>Romanel-sur-Lausanne</v>
      </c>
      <c r="C122" s="61">
        <f>'D) Ecrêtage'!N122</f>
        <v>115467.46028571429</v>
      </c>
      <c r="D122" s="61">
        <v>787449</v>
      </c>
      <c r="E122" s="18">
        <v>274562</v>
      </c>
      <c r="F122" s="73">
        <v>38028</v>
      </c>
      <c r="G122" s="18">
        <f t="shared" si="18"/>
        <v>1100039</v>
      </c>
      <c r="H122" s="61">
        <f t="shared" si="19"/>
        <v>923740</v>
      </c>
      <c r="I122" s="18">
        <f t="shared" si="20"/>
        <v>176299</v>
      </c>
      <c r="J122" s="4">
        <f t="shared" si="21"/>
        <v>-126768</v>
      </c>
      <c r="K122" s="25">
        <v>13364</v>
      </c>
      <c r="L122" s="18">
        <f t="shared" si="17"/>
        <v>115467</v>
      </c>
      <c r="M122" s="61">
        <f t="shared" si="22"/>
        <v>0</v>
      </c>
      <c r="N122" s="4">
        <f t="shared" si="23"/>
        <v>0</v>
      </c>
      <c r="O122" s="233">
        <f t="shared" si="24"/>
        <v>-126768</v>
      </c>
      <c r="P122" s="223">
        <f t="shared" si="25"/>
        <v>-1.0978677428803187</v>
      </c>
      <c r="Q122" s="224"/>
      <c r="R122" s="224"/>
      <c r="S122" s="225"/>
      <c r="T122" s="225"/>
      <c r="U122" s="225"/>
      <c r="V122" s="225"/>
      <c r="Z122" s="23"/>
      <c r="AA122" s="23"/>
      <c r="AB122" s="23"/>
      <c r="AC122" s="23"/>
    </row>
    <row r="123" spans="1:29" x14ac:dyDescent="0.25">
      <c r="A123" s="222">
        <f>'A) Base RI'!A125</f>
        <v>5601</v>
      </c>
      <c r="B123" s="62" t="str">
        <f>'A) Base RI'!B125</f>
        <v>Chexbres</v>
      </c>
      <c r="C123" s="61">
        <f>'D) Ecrêtage'!N123</f>
        <v>102004.96828125001</v>
      </c>
      <c r="D123" s="61">
        <v>734821</v>
      </c>
      <c r="E123" s="18">
        <v>153447</v>
      </c>
      <c r="F123" s="73">
        <v>148155</v>
      </c>
      <c r="G123" s="18">
        <f t="shared" si="18"/>
        <v>1036423</v>
      </c>
      <c r="H123" s="61">
        <f t="shared" si="19"/>
        <v>816040</v>
      </c>
      <c r="I123" s="18">
        <f t="shared" si="20"/>
        <v>220383</v>
      </c>
      <c r="J123" s="4">
        <f t="shared" si="21"/>
        <v>-158467</v>
      </c>
      <c r="K123" s="25">
        <v>43366</v>
      </c>
      <c r="L123" s="18">
        <f t="shared" si="17"/>
        <v>102005</v>
      </c>
      <c r="M123" s="61">
        <f t="shared" si="22"/>
        <v>0</v>
      </c>
      <c r="N123" s="4">
        <f t="shared" si="23"/>
        <v>0</v>
      </c>
      <c r="O123" s="233">
        <f t="shared" si="24"/>
        <v>-158467</v>
      </c>
      <c r="P123" s="223">
        <f t="shared" si="25"/>
        <v>-1.5535223692543272</v>
      </c>
      <c r="Q123" s="224"/>
      <c r="R123" s="224"/>
      <c r="S123" s="225"/>
      <c r="T123" s="225"/>
      <c r="U123" s="225"/>
      <c r="V123" s="225"/>
      <c r="Z123" s="23"/>
      <c r="AA123" s="23"/>
      <c r="AB123" s="23"/>
      <c r="AC123" s="23"/>
    </row>
    <row r="124" spans="1:29" x14ac:dyDescent="0.25">
      <c r="A124" s="222">
        <f>'A) Base RI'!A126</f>
        <v>5604</v>
      </c>
      <c r="B124" s="62" t="str">
        <f>'A) Base RI'!B126</f>
        <v>Forel (Lavaux)</v>
      </c>
      <c r="C124" s="61">
        <f>'D) Ecrêtage'!N124</f>
        <v>73679.184999999969</v>
      </c>
      <c r="D124" s="61">
        <v>518145</v>
      </c>
      <c r="E124" s="18">
        <v>102590</v>
      </c>
      <c r="F124" s="73">
        <v>257686</v>
      </c>
      <c r="G124" s="18">
        <f t="shared" si="18"/>
        <v>878421</v>
      </c>
      <c r="H124" s="61">
        <f t="shared" si="19"/>
        <v>589433</v>
      </c>
      <c r="I124" s="18">
        <f t="shared" si="20"/>
        <v>288988</v>
      </c>
      <c r="J124" s="4">
        <f t="shared" si="21"/>
        <v>-207797</v>
      </c>
      <c r="K124" s="25">
        <v>18956</v>
      </c>
      <c r="L124" s="18">
        <f t="shared" si="17"/>
        <v>73679</v>
      </c>
      <c r="M124" s="61">
        <f t="shared" si="22"/>
        <v>0</v>
      </c>
      <c r="N124" s="4">
        <f t="shared" si="23"/>
        <v>0</v>
      </c>
      <c r="O124" s="233">
        <f t="shared" si="24"/>
        <v>-207797</v>
      </c>
      <c r="P124" s="223">
        <f t="shared" si="25"/>
        <v>-2.8202944970143209</v>
      </c>
      <c r="Q124" s="224"/>
      <c r="R124" s="224"/>
      <c r="S124" s="225"/>
      <c r="T124" s="225"/>
      <c r="U124" s="225"/>
      <c r="V124" s="225"/>
      <c r="Z124" s="23"/>
      <c r="AA124" s="23"/>
      <c r="AB124" s="23"/>
      <c r="AC124" s="23"/>
    </row>
    <row r="125" spans="1:29" x14ac:dyDescent="0.25">
      <c r="A125" s="222">
        <f>'A) Base RI'!A127</f>
        <v>5606</v>
      </c>
      <c r="B125" s="62" t="str">
        <f>'A) Base RI'!B127</f>
        <v>Lutry</v>
      </c>
      <c r="C125" s="61">
        <f>'D) Ecrêtage'!N125</f>
        <v>696286.44029501616</v>
      </c>
      <c r="D125" s="61">
        <v>3759758</v>
      </c>
      <c r="E125" s="18">
        <v>2756853</v>
      </c>
      <c r="F125" s="73">
        <v>1106160</v>
      </c>
      <c r="G125" s="18">
        <f t="shared" si="18"/>
        <v>7622771</v>
      </c>
      <c r="H125" s="61">
        <f t="shared" si="19"/>
        <v>5570292</v>
      </c>
      <c r="I125" s="18">
        <f t="shared" si="20"/>
        <v>2052479</v>
      </c>
      <c r="J125" s="4">
        <f t="shared" si="21"/>
        <v>-1475838</v>
      </c>
      <c r="K125" s="25">
        <v>262236</v>
      </c>
      <c r="L125" s="18">
        <f t="shared" si="17"/>
        <v>696286</v>
      </c>
      <c r="M125" s="61">
        <f t="shared" si="22"/>
        <v>0</v>
      </c>
      <c r="N125" s="4">
        <f t="shared" si="23"/>
        <v>0</v>
      </c>
      <c r="O125" s="233">
        <f t="shared" si="24"/>
        <v>-1475838</v>
      </c>
      <c r="P125" s="223">
        <f t="shared" si="25"/>
        <v>-2.1195845769661812</v>
      </c>
      <c r="Q125" s="224"/>
      <c r="R125" s="224"/>
      <c r="S125" s="225"/>
      <c r="T125" s="225"/>
      <c r="U125" s="225"/>
      <c r="V125" s="225"/>
      <c r="Z125" s="23"/>
      <c r="AA125" s="23"/>
      <c r="AB125" s="23"/>
      <c r="AC125" s="23"/>
    </row>
    <row r="126" spans="1:29" x14ac:dyDescent="0.25">
      <c r="A126" s="222">
        <f>'A) Base RI'!A128</f>
        <v>5607</v>
      </c>
      <c r="B126" s="62" t="str">
        <f>'A) Base RI'!B128</f>
        <v>Puidoux</v>
      </c>
      <c r="C126" s="61">
        <f>'D) Ecrêtage'!N126</f>
        <v>102046.9552557545</v>
      </c>
      <c r="D126" s="61">
        <v>904063</v>
      </c>
      <c r="E126" s="18">
        <v>256596</v>
      </c>
      <c r="F126" s="73">
        <v>425839</v>
      </c>
      <c r="G126" s="18">
        <f t="shared" si="18"/>
        <v>1586498</v>
      </c>
      <c r="H126" s="61">
        <f t="shared" si="19"/>
        <v>816376</v>
      </c>
      <c r="I126" s="18">
        <f t="shared" si="20"/>
        <v>770122</v>
      </c>
      <c r="J126" s="4">
        <f t="shared" si="21"/>
        <v>-553757</v>
      </c>
      <c r="K126" s="25">
        <v>38015</v>
      </c>
      <c r="L126" s="18">
        <f t="shared" si="17"/>
        <v>102047</v>
      </c>
      <c r="M126" s="61">
        <f t="shared" si="22"/>
        <v>0</v>
      </c>
      <c r="N126" s="4">
        <f t="shared" si="23"/>
        <v>0</v>
      </c>
      <c r="O126" s="233">
        <f t="shared" si="24"/>
        <v>-553757</v>
      </c>
      <c r="P126" s="223">
        <f t="shared" si="25"/>
        <v>-5.4264921340587797</v>
      </c>
      <c r="Q126" s="224"/>
      <c r="R126" s="224"/>
      <c r="S126" s="225"/>
      <c r="T126" s="225"/>
      <c r="U126" s="225"/>
      <c r="V126" s="225"/>
      <c r="Z126" s="23"/>
      <c r="AA126" s="23"/>
      <c r="AB126" s="23"/>
      <c r="AC126" s="23"/>
    </row>
    <row r="127" spans="1:29" x14ac:dyDescent="0.25">
      <c r="A127" s="222">
        <f>'A) Base RI'!A129</f>
        <v>5609</v>
      </c>
      <c r="B127" s="62" t="str">
        <f>'A) Base RI'!B129</f>
        <v>Rivaz</v>
      </c>
      <c r="C127" s="61">
        <f>'D) Ecrêtage'!N127</f>
        <v>17457.580472440943</v>
      </c>
      <c r="D127" s="61">
        <v>72807</v>
      </c>
      <c r="E127" s="18">
        <v>32211</v>
      </c>
      <c r="F127" s="73">
        <v>35620</v>
      </c>
      <c r="G127" s="18">
        <f t="shared" si="18"/>
        <v>140638</v>
      </c>
      <c r="H127" s="61">
        <f t="shared" si="19"/>
        <v>139661</v>
      </c>
      <c r="I127" s="18">
        <f t="shared" si="20"/>
        <v>977</v>
      </c>
      <c r="J127" s="4">
        <f t="shared" si="21"/>
        <v>-703</v>
      </c>
      <c r="K127" s="25">
        <v>14636</v>
      </c>
      <c r="L127" s="18">
        <f t="shared" si="17"/>
        <v>17458</v>
      </c>
      <c r="M127" s="61">
        <f t="shared" si="22"/>
        <v>0</v>
      </c>
      <c r="N127" s="4">
        <f t="shared" si="23"/>
        <v>0</v>
      </c>
      <c r="O127" s="233">
        <f t="shared" si="24"/>
        <v>-703</v>
      </c>
      <c r="P127" s="223">
        <f t="shared" si="25"/>
        <v>-4.0269039636378977E-2</v>
      </c>
      <c r="Q127" s="224"/>
      <c r="R127" s="224"/>
      <c r="S127" s="225"/>
      <c r="T127" s="225"/>
      <c r="U127" s="225"/>
      <c r="V127" s="225"/>
      <c r="Z127" s="23"/>
      <c r="AA127" s="23"/>
      <c r="AB127" s="23"/>
      <c r="AC127" s="23"/>
    </row>
    <row r="128" spans="1:29" x14ac:dyDescent="0.25">
      <c r="A128" s="222">
        <f>'A) Base RI'!A130</f>
        <v>5610</v>
      </c>
      <c r="B128" s="62" t="str">
        <f>'A) Base RI'!B130</f>
        <v>St-Saphorin (Lavaux)</v>
      </c>
      <c r="C128" s="61">
        <f>'D) Ecrêtage'!N128</f>
        <v>20355.755166666662</v>
      </c>
      <c r="D128" s="61">
        <v>34219</v>
      </c>
      <c r="E128" s="18">
        <v>56217</v>
      </c>
      <c r="F128" s="73">
        <v>127845</v>
      </c>
      <c r="G128" s="18">
        <f t="shared" si="18"/>
        <v>218281</v>
      </c>
      <c r="H128" s="61">
        <f t="shared" si="19"/>
        <v>162846</v>
      </c>
      <c r="I128" s="18">
        <f t="shared" si="20"/>
        <v>55435</v>
      </c>
      <c r="J128" s="4">
        <f t="shared" si="21"/>
        <v>-39861</v>
      </c>
      <c r="K128" s="25">
        <v>4602</v>
      </c>
      <c r="L128" s="18">
        <f t="shared" si="17"/>
        <v>20356</v>
      </c>
      <c r="M128" s="61">
        <f t="shared" si="22"/>
        <v>0</v>
      </c>
      <c r="N128" s="4">
        <f t="shared" si="23"/>
        <v>0</v>
      </c>
      <c r="O128" s="233">
        <f t="shared" si="24"/>
        <v>-39861</v>
      </c>
      <c r="P128" s="223">
        <f t="shared" si="25"/>
        <v>-1.9582176968444742</v>
      </c>
      <c r="Q128" s="224"/>
      <c r="R128" s="224"/>
      <c r="S128" s="225"/>
      <c r="T128" s="225"/>
      <c r="U128" s="225"/>
      <c r="V128" s="225"/>
      <c r="Z128" s="23"/>
      <c r="AA128" s="23"/>
      <c r="AB128" s="23"/>
      <c r="AC128" s="23"/>
    </row>
    <row r="129" spans="1:29" x14ac:dyDescent="0.25">
      <c r="A129" s="222">
        <f>'A) Base RI'!A131</f>
        <v>5611</v>
      </c>
      <c r="B129" s="62" t="str">
        <f>'A) Base RI'!B131</f>
        <v>Savigny</v>
      </c>
      <c r="C129" s="61">
        <f>'D) Ecrêtage'!N129</f>
        <v>133649.01597014922</v>
      </c>
      <c r="D129" s="61">
        <v>1091611</v>
      </c>
      <c r="E129" s="18">
        <v>168656</v>
      </c>
      <c r="F129" s="73">
        <v>404444</v>
      </c>
      <c r="G129" s="18">
        <f t="shared" si="18"/>
        <v>1664711</v>
      </c>
      <c r="H129" s="61">
        <f t="shared" si="19"/>
        <v>1069192</v>
      </c>
      <c r="I129" s="18">
        <f t="shared" si="20"/>
        <v>595519</v>
      </c>
      <c r="J129" s="4">
        <f t="shared" si="21"/>
        <v>-428209</v>
      </c>
      <c r="K129" s="25">
        <v>-6411</v>
      </c>
      <c r="L129" s="18">
        <f t="shared" si="17"/>
        <v>133649</v>
      </c>
      <c r="M129" s="61">
        <f t="shared" si="22"/>
        <v>0</v>
      </c>
      <c r="N129" s="4">
        <f t="shared" si="23"/>
        <v>0</v>
      </c>
      <c r="O129" s="233">
        <f t="shared" si="24"/>
        <v>-428209</v>
      </c>
      <c r="P129" s="223">
        <f t="shared" si="25"/>
        <v>-3.2039816895894044</v>
      </c>
      <c r="Q129" s="224"/>
      <c r="R129" s="224"/>
      <c r="S129" s="225"/>
      <c r="T129" s="225"/>
      <c r="U129" s="225"/>
      <c r="V129" s="225"/>
      <c r="Z129" s="23"/>
      <c r="AA129" s="23"/>
      <c r="AB129" s="23"/>
      <c r="AC129" s="23"/>
    </row>
    <row r="130" spans="1:29" x14ac:dyDescent="0.25">
      <c r="A130" s="222">
        <f>'A) Base RI'!A132</f>
        <v>5613</v>
      </c>
      <c r="B130" s="62" t="str">
        <f>'A) Base RI'!B132</f>
        <v>Bourg-en-Lavaux</v>
      </c>
      <c r="C130" s="61">
        <f>'D) Ecrêtage'!N130</f>
        <v>307312.25466076838</v>
      </c>
      <c r="D130" s="61">
        <v>1546849</v>
      </c>
      <c r="E130" s="18">
        <v>427459</v>
      </c>
      <c r="F130" s="73">
        <v>722893</v>
      </c>
      <c r="G130" s="18">
        <f t="shared" si="18"/>
        <v>2697201</v>
      </c>
      <c r="H130" s="61">
        <f t="shared" si="19"/>
        <v>2458498</v>
      </c>
      <c r="I130" s="18">
        <f t="shared" si="20"/>
        <v>238703</v>
      </c>
      <c r="J130" s="4">
        <f t="shared" si="21"/>
        <v>-171640</v>
      </c>
      <c r="K130" s="25">
        <v>139440</v>
      </c>
      <c r="L130" s="18">
        <f t="shared" si="17"/>
        <v>307312</v>
      </c>
      <c r="M130" s="61">
        <f t="shared" si="22"/>
        <v>0</v>
      </c>
      <c r="N130" s="4">
        <f t="shared" si="23"/>
        <v>0</v>
      </c>
      <c r="O130" s="233">
        <f t="shared" si="24"/>
        <v>-171640</v>
      </c>
      <c r="P130" s="223">
        <f t="shared" si="25"/>
        <v>-0.55851986829964717</v>
      </c>
      <c r="Q130" s="224"/>
      <c r="R130" s="224"/>
      <c r="S130" s="225"/>
      <c r="T130" s="225"/>
      <c r="U130" s="225"/>
      <c r="V130" s="225"/>
      <c r="Z130" s="23"/>
      <c r="AA130" s="23"/>
      <c r="AB130" s="23"/>
      <c r="AC130" s="23"/>
    </row>
    <row r="131" spans="1:29" x14ac:dyDescent="0.25">
      <c r="A131" s="222">
        <f>'A) Base RI'!A133</f>
        <v>5621</v>
      </c>
      <c r="B131" s="62" t="str">
        <f>'A) Base RI'!B133</f>
        <v>Aclens</v>
      </c>
      <c r="C131" s="61">
        <f>'D) Ecrêtage'!N131</f>
        <v>36410.510833032451</v>
      </c>
      <c r="D131" s="61">
        <v>177991</v>
      </c>
      <c r="E131" s="18">
        <v>15209</v>
      </c>
      <c r="F131" s="73">
        <v>54153</v>
      </c>
      <c r="G131" s="18">
        <f t="shared" si="18"/>
        <v>247353</v>
      </c>
      <c r="H131" s="61">
        <f t="shared" si="19"/>
        <v>291284</v>
      </c>
      <c r="I131" s="18">
        <f t="shared" si="20"/>
        <v>0</v>
      </c>
      <c r="J131" s="4">
        <f t="shared" si="21"/>
        <v>0</v>
      </c>
      <c r="K131" s="25">
        <v>18296</v>
      </c>
      <c r="L131" s="18">
        <f t="shared" si="17"/>
        <v>36411</v>
      </c>
      <c r="M131" s="61">
        <f t="shared" si="22"/>
        <v>0</v>
      </c>
      <c r="N131" s="4">
        <f t="shared" si="23"/>
        <v>0</v>
      </c>
      <c r="O131" s="233">
        <f t="shared" si="24"/>
        <v>0</v>
      </c>
      <c r="P131" s="223">
        <f t="shared" si="25"/>
        <v>0</v>
      </c>
      <c r="Q131" s="224"/>
      <c r="R131" s="224"/>
      <c r="S131" s="225"/>
      <c r="T131" s="225"/>
      <c r="U131" s="225"/>
      <c r="V131" s="225"/>
      <c r="Z131" s="23"/>
      <c r="AA131" s="23"/>
      <c r="AB131" s="23"/>
      <c r="AC131" s="23"/>
    </row>
    <row r="132" spans="1:29" x14ac:dyDescent="0.25">
      <c r="A132" s="222">
        <f>'A) Base RI'!A134</f>
        <v>5622</v>
      </c>
      <c r="B132" s="62" t="str">
        <f>'A) Base RI'!B134</f>
        <v>Bremblens</v>
      </c>
      <c r="C132" s="61">
        <f>'D) Ecrêtage'!N132</f>
        <v>25805.300909090911</v>
      </c>
      <c r="D132" s="61">
        <v>81498</v>
      </c>
      <c r="E132" s="18">
        <v>13975</v>
      </c>
      <c r="F132" s="73">
        <v>60761</v>
      </c>
      <c r="G132" s="18">
        <f t="shared" si="18"/>
        <v>156234</v>
      </c>
      <c r="H132" s="61">
        <f t="shared" si="19"/>
        <v>206442</v>
      </c>
      <c r="I132" s="18">
        <f t="shared" si="20"/>
        <v>0</v>
      </c>
      <c r="J132" s="4">
        <f t="shared" si="21"/>
        <v>0</v>
      </c>
      <c r="K132" s="25">
        <v>16467</v>
      </c>
      <c r="L132" s="18">
        <f t="shared" si="17"/>
        <v>25805</v>
      </c>
      <c r="M132" s="61">
        <f t="shared" si="22"/>
        <v>0</v>
      </c>
      <c r="N132" s="4">
        <f t="shared" si="23"/>
        <v>0</v>
      </c>
      <c r="O132" s="233">
        <f t="shared" si="24"/>
        <v>0</v>
      </c>
      <c r="P132" s="223">
        <f t="shared" si="25"/>
        <v>0</v>
      </c>
      <c r="Q132" s="224"/>
      <c r="R132" s="224"/>
      <c r="S132" s="225"/>
      <c r="T132" s="225"/>
      <c r="U132" s="225"/>
      <c r="V132" s="225"/>
      <c r="Z132" s="23"/>
      <c r="AA132" s="23"/>
      <c r="AB132" s="23"/>
      <c r="AC132" s="23"/>
    </row>
    <row r="133" spans="1:29" x14ac:dyDescent="0.25">
      <c r="A133" s="222">
        <f>'A) Base RI'!A135</f>
        <v>5623</v>
      </c>
      <c r="B133" s="62" t="str">
        <f>'A) Base RI'!B135</f>
        <v>Buchillon</v>
      </c>
      <c r="C133" s="61">
        <f>'D) Ecrêtage'!N133</f>
        <v>61850.611171951925</v>
      </c>
      <c r="D133" s="61">
        <v>221741</v>
      </c>
      <c r="E133" s="18">
        <v>46173</v>
      </c>
      <c r="F133" s="73">
        <v>68740</v>
      </c>
      <c r="G133" s="18">
        <f t="shared" si="18"/>
        <v>336654</v>
      </c>
      <c r="H133" s="61">
        <f t="shared" si="19"/>
        <v>494805</v>
      </c>
      <c r="I133" s="18">
        <f t="shared" si="20"/>
        <v>0</v>
      </c>
      <c r="J133" s="4">
        <f t="shared" si="21"/>
        <v>0</v>
      </c>
      <c r="K133" s="25">
        <v>9784</v>
      </c>
      <c r="L133" s="18">
        <f t="shared" si="17"/>
        <v>61851</v>
      </c>
      <c r="M133" s="61">
        <f t="shared" si="22"/>
        <v>0</v>
      </c>
      <c r="N133" s="4">
        <f t="shared" si="23"/>
        <v>0</v>
      </c>
      <c r="O133" s="233">
        <f t="shared" si="24"/>
        <v>0</v>
      </c>
      <c r="P133" s="223">
        <f t="shared" si="25"/>
        <v>0</v>
      </c>
      <c r="Q133" s="224"/>
      <c r="R133" s="224"/>
      <c r="S133" s="225"/>
      <c r="T133" s="225"/>
      <c r="U133" s="225"/>
      <c r="V133" s="225"/>
      <c r="Z133" s="23"/>
      <c r="AA133" s="23"/>
      <c r="AB133" s="23"/>
      <c r="AC133" s="23"/>
    </row>
    <row r="134" spans="1:29" x14ac:dyDescent="0.25">
      <c r="A134" s="222">
        <f>'A) Base RI'!A136</f>
        <v>5624</v>
      </c>
      <c r="B134" s="62" t="str">
        <f>'A) Base RI'!B136</f>
        <v>Bussigny</v>
      </c>
      <c r="C134" s="61">
        <f>'D) Ecrêtage'!N134</f>
        <v>356632.38967741939</v>
      </c>
      <c r="D134" s="61">
        <v>1700287</v>
      </c>
      <c r="E134" s="18">
        <v>2443300</v>
      </c>
      <c r="F134" s="73">
        <v>248928</v>
      </c>
      <c r="G134" s="18">
        <f t="shared" si="18"/>
        <v>4392515</v>
      </c>
      <c r="H134" s="61">
        <f t="shared" si="19"/>
        <v>2853059</v>
      </c>
      <c r="I134" s="18">
        <f t="shared" si="20"/>
        <v>1539456</v>
      </c>
      <c r="J134" s="4">
        <f t="shared" si="21"/>
        <v>-1106948</v>
      </c>
      <c r="K134" s="25">
        <v>165003</v>
      </c>
      <c r="L134" s="18">
        <f t="shared" ref="L134:L197" si="26">ROUND(C134*M$4,0)</f>
        <v>356632</v>
      </c>
      <c r="M134" s="61">
        <f t="shared" si="22"/>
        <v>0</v>
      </c>
      <c r="N134" s="4">
        <f t="shared" si="23"/>
        <v>0</v>
      </c>
      <c r="O134" s="233">
        <f t="shared" si="24"/>
        <v>-1106948</v>
      </c>
      <c r="P134" s="223">
        <f t="shared" si="25"/>
        <v>-3.1038908187819256</v>
      </c>
      <c r="Q134" s="224"/>
      <c r="R134" s="224"/>
      <c r="S134" s="225"/>
      <c r="T134" s="225"/>
      <c r="U134" s="225"/>
      <c r="V134" s="225"/>
      <c r="Z134" s="23"/>
      <c r="AA134" s="23"/>
      <c r="AB134" s="23"/>
      <c r="AC134" s="23"/>
    </row>
    <row r="135" spans="1:29" x14ac:dyDescent="0.25">
      <c r="A135" s="222">
        <f>'A) Base RI'!A137</f>
        <v>5625</v>
      </c>
      <c r="B135" s="62" t="str">
        <f>'A) Base RI'!B137</f>
        <v>Bussy-Chardonney</v>
      </c>
      <c r="C135" s="61">
        <f>'D) Ecrêtage'!N135</f>
        <v>13870.18990740741</v>
      </c>
      <c r="D135" s="61">
        <v>72255</v>
      </c>
      <c r="E135" s="18">
        <v>27332</v>
      </c>
      <c r="F135" s="73">
        <v>55710</v>
      </c>
      <c r="G135" s="18">
        <f t="shared" si="18"/>
        <v>155297</v>
      </c>
      <c r="H135" s="61">
        <f t="shared" si="19"/>
        <v>110962</v>
      </c>
      <c r="I135" s="18">
        <f t="shared" si="20"/>
        <v>44335</v>
      </c>
      <c r="J135" s="4">
        <f t="shared" si="21"/>
        <v>-31879</v>
      </c>
      <c r="K135" s="25">
        <v>3963</v>
      </c>
      <c r="L135" s="18">
        <f t="shared" si="26"/>
        <v>13870</v>
      </c>
      <c r="M135" s="61">
        <f t="shared" si="22"/>
        <v>0</v>
      </c>
      <c r="N135" s="4">
        <f t="shared" si="23"/>
        <v>0</v>
      </c>
      <c r="O135" s="233">
        <f t="shared" si="24"/>
        <v>-31879</v>
      </c>
      <c r="P135" s="223">
        <f t="shared" si="25"/>
        <v>-2.2983823734796118</v>
      </c>
      <c r="Q135" s="224"/>
      <c r="R135" s="224"/>
      <c r="S135" s="225"/>
      <c r="T135" s="225"/>
      <c r="U135" s="225"/>
      <c r="V135" s="225"/>
      <c r="Z135" s="23"/>
      <c r="AA135" s="23"/>
      <c r="AB135" s="23"/>
      <c r="AC135" s="23"/>
    </row>
    <row r="136" spans="1:29" x14ac:dyDescent="0.25">
      <c r="A136" s="222">
        <f>'A) Base RI'!A138</f>
        <v>5627</v>
      </c>
      <c r="B136" s="62" t="str">
        <f>'A) Base RI'!B138</f>
        <v>Chavannes-près-Renens</v>
      </c>
      <c r="C136" s="61">
        <f>'D) Ecrêtage'!N136</f>
        <v>170689.33978902953</v>
      </c>
      <c r="D136" s="61">
        <v>681884</v>
      </c>
      <c r="E136" s="18">
        <v>2205401</v>
      </c>
      <c r="F136" s="73">
        <v>7156</v>
      </c>
      <c r="G136" s="18">
        <f t="shared" si="18"/>
        <v>2894441</v>
      </c>
      <c r="H136" s="61">
        <f t="shared" si="19"/>
        <v>1365515</v>
      </c>
      <c r="I136" s="18">
        <f t="shared" si="20"/>
        <v>1528926</v>
      </c>
      <c r="J136" s="4">
        <f t="shared" si="21"/>
        <v>-1099377</v>
      </c>
      <c r="K136" s="25">
        <v>8389</v>
      </c>
      <c r="L136" s="18">
        <f t="shared" si="26"/>
        <v>170689</v>
      </c>
      <c r="M136" s="61">
        <f t="shared" si="22"/>
        <v>0</v>
      </c>
      <c r="N136" s="4">
        <f t="shared" si="23"/>
        <v>0</v>
      </c>
      <c r="O136" s="233">
        <f t="shared" si="24"/>
        <v>-1099377</v>
      </c>
      <c r="P136" s="223">
        <f t="shared" si="25"/>
        <v>-6.4408064461367065</v>
      </c>
      <c r="Q136" s="224"/>
      <c r="R136" s="224"/>
      <c r="S136" s="225"/>
      <c r="T136" s="225"/>
      <c r="U136" s="225"/>
      <c r="V136" s="225"/>
      <c r="Z136" s="23"/>
      <c r="AA136" s="23"/>
      <c r="AB136" s="23"/>
      <c r="AC136" s="23"/>
    </row>
    <row r="137" spans="1:29" x14ac:dyDescent="0.25">
      <c r="A137" s="222">
        <f>'A) Base RI'!A139</f>
        <v>5628</v>
      </c>
      <c r="B137" s="62" t="str">
        <f>'A) Base RI'!B139</f>
        <v>Chigny</v>
      </c>
      <c r="C137" s="61">
        <f>'D) Ecrêtage'!N137</f>
        <v>18836.036906773894</v>
      </c>
      <c r="D137" s="61">
        <v>12024</v>
      </c>
      <c r="E137" s="18">
        <v>24176</v>
      </c>
      <c r="F137" s="73">
        <v>37226</v>
      </c>
      <c r="G137" s="18">
        <f t="shared" si="18"/>
        <v>73426</v>
      </c>
      <c r="H137" s="61">
        <f t="shared" si="19"/>
        <v>150688</v>
      </c>
      <c r="I137" s="18">
        <f t="shared" si="20"/>
        <v>0</v>
      </c>
      <c r="J137" s="4">
        <f t="shared" si="21"/>
        <v>0</v>
      </c>
      <c r="K137" s="25">
        <v>3522</v>
      </c>
      <c r="L137" s="18">
        <f t="shared" si="26"/>
        <v>18836</v>
      </c>
      <c r="M137" s="61">
        <f t="shared" si="22"/>
        <v>0</v>
      </c>
      <c r="N137" s="4">
        <f t="shared" si="23"/>
        <v>0</v>
      </c>
      <c r="O137" s="233">
        <f t="shared" si="24"/>
        <v>0</v>
      </c>
      <c r="P137" s="223">
        <f t="shared" si="25"/>
        <v>0</v>
      </c>
      <c r="Q137" s="224"/>
      <c r="R137" s="224"/>
      <c r="S137" s="225"/>
      <c r="T137" s="225"/>
      <c r="U137" s="225"/>
      <c r="V137" s="225"/>
      <c r="Z137" s="23"/>
      <c r="AA137" s="23"/>
      <c r="AB137" s="23"/>
      <c r="AC137" s="23"/>
    </row>
    <row r="138" spans="1:29" x14ac:dyDescent="0.25">
      <c r="A138" s="222">
        <f>'A) Base RI'!A140</f>
        <v>5629</v>
      </c>
      <c r="B138" s="62" t="str">
        <f>'A) Base RI'!B140</f>
        <v>Clarmont</v>
      </c>
      <c r="C138" s="61">
        <f>'D) Ecrêtage'!N138</f>
        <v>7795.3318666666655</v>
      </c>
      <c r="D138" s="61">
        <v>144769</v>
      </c>
      <c r="E138" s="18">
        <v>4190</v>
      </c>
      <c r="F138" s="73">
        <v>16354</v>
      </c>
      <c r="G138" s="18">
        <f t="shared" si="18"/>
        <v>165313</v>
      </c>
      <c r="H138" s="61">
        <f t="shared" si="19"/>
        <v>62363</v>
      </c>
      <c r="I138" s="18">
        <f t="shared" si="20"/>
        <v>102950</v>
      </c>
      <c r="J138" s="4">
        <f t="shared" si="21"/>
        <v>-74026</v>
      </c>
      <c r="K138" s="25">
        <v>1218</v>
      </c>
      <c r="L138" s="18">
        <f t="shared" si="26"/>
        <v>7795</v>
      </c>
      <c r="M138" s="61">
        <f t="shared" si="22"/>
        <v>0</v>
      </c>
      <c r="N138" s="4">
        <f t="shared" si="23"/>
        <v>0</v>
      </c>
      <c r="O138" s="233">
        <f t="shared" si="24"/>
        <v>-74026</v>
      </c>
      <c r="P138" s="223">
        <f t="shared" si="25"/>
        <v>-9.4961960909630907</v>
      </c>
      <c r="Q138" s="224"/>
      <c r="R138" s="224"/>
      <c r="S138" s="225"/>
      <c r="T138" s="225"/>
      <c r="U138" s="225"/>
      <c r="V138" s="225"/>
      <c r="Z138" s="23"/>
      <c r="AA138" s="23"/>
      <c r="AB138" s="23"/>
      <c r="AC138" s="23"/>
    </row>
    <row r="139" spans="1:29" x14ac:dyDescent="0.25">
      <c r="A139" s="222">
        <f>'A) Base RI'!A141</f>
        <v>5631</v>
      </c>
      <c r="B139" s="62" t="str">
        <f>'A) Base RI'!B141</f>
        <v>Denens</v>
      </c>
      <c r="C139" s="61">
        <f>'D) Ecrêtage'!N139</f>
        <v>35350.552500000005</v>
      </c>
      <c r="D139" s="61">
        <v>54740</v>
      </c>
      <c r="E139" s="18">
        <v>41593</v>
      </c>
      <c r="F139" s="73">
        <v>69460</v>
      </c>
      <c r="G139" s="18">
        <f t="shared" si="18"/>
        <v>165793</v>
      </c>
      <c r="H139" s="61">
        <f t="shared" si="19"/>
        <v>282804</v>
      </c>
      <c r="I139" s="18">
        <f t="shared" si="20"/>
        <v>0</v>
      </c>
      <c r="J139" s="4">
        <f t="shared" si="21"/>
        <v>0</v>
      </c>
      <c r="K139" s="25">
        <v>1452</v>
      </c>
      <c r="L139" s="18">
        <f t="shared" si="26"/>
        <v>35351</v>
      </c>
      <c r="M139" s="61">
        <f t="shared" si="22"/>
        <v>0</v>
      </c>
      <c r="N139" s="4">
        <f t="shared" si="23"/>
        <v>0</v>
      </c>
      <c r="O139" s="233">
        <f t="shared" si="24"/>
        <v>0</v>
      </c>
      <c r="P139" s="223">
        <f t="shared" si="25"/>
        <v>0</v>
      </c>
      <c r="Q139" s="224"/>
      <c r="R139" s="224"/>
      <c r="S139" s="225"/>
      <c r="T139" s="225"/>
      <c r="U139" s="225"/>
      <c r="V139" s="225"/>
      <c r="Z139" s="23"/>
      <c r="AA139" s="23"/>
      <c r="AB139" s="23"/>
      <c r="AC139" s="23"/>
    </row>
    <row r="140" spans="1:29" x14ac:dyDescent="0.25">
      <c r="A140" s="222">
        <f>'A) Base RI'!A142</f>
        <v>5632</v>
      </c>
      <c r="B140" s="62" t="str">
        <f>'A) Base RI'!B142</f>
        <v>Denges</v>
      </c>
      <c r="C140" s="61">
        <f>'D) Ecrêtage'!N140</f>
        <v>61597.331370967739</v>
      </c>
      <c r="D140" s="61">
        <v>188764</v>
      </c>
      <c r="E140" s="18">
        <v>380964</v>
      </c>
      <c r="F140" s="73">
        <v>73456</v>
      </c>
      <c r="G140" s="18">
        <f t="shared" si="18"/>
        <v>643184</v>
      </c>
      <c r="H140" s="61">
        <f t="shared" si="19"/>
        <v>492779</v>
      </c>
      <c r="I140" s="18">
        <f t="shared" si="20"/>
        <v>150405</v>
      </c>
      <c r="J140" s="4">
        <f t="shared" si="21"/>
        <v>-108149</v>
      </c>
      <c r="K140" s="25">
        <v>14592</v>
      </c>
      <c r="L140" s="18">
        <f t="shared" si="26"/>
        <v>61597</v>
      </c>
      <c r="M140" s="61">
        <f t="shared" si="22"/>
        <v>0</v>
      </c>
      <c r="N140" s="4">
        <f t="shared" si="23"/>
        <v>0</v>
      </c>
      <c r="O140" s="233">
        <f t="shared" si="24"/>
        <v>-108149</v>
      </c>
      <c r="P140" s="223">
        <f t="shared" si="25"/>
        <v>-1.7557416464793985</v>
      </c>
      <c r="Q140" s="224"/>
      <c r="R140" s="224"/>
      <c r="S140" s="225"/>
      <c r="T140" s="225"/>
      <c r="U140" s="225"/>
      <c r="V140" s="225"/>
      <c r="Z140" s="23"/>
      <c r="AA140" s="23"/>
      <c r="AB140" s="23"/>
      <c r="AC140" s="23"/>
    </row>
    <row r="141" spans="1:29" x14ac:dyDescent="0.25">
      <c r="A141" s="222">
        <f>'A) Base RI'!A143</f>
        <v>5633</v>
      </c>
      <c r="B141" s="62" t="str">
        <f>'A) Base RI'!B143</f>
        <v>Echandens</v>
      </c>
      <c r="C141" s="61">
        <f>'D) Ecrêtage'!N141</f>
        <v>124899.1516129032</v>
      </c>
      <c r="D141" s="61">
        <v>661032</v>
      </c>
      <c r="E141" s="18">
        <v>678492</v>
      </c>
      <c r="F141" s="73">
        <v>114700</v>
      </c>
      <c r="G141" s="18">
        <f t="shared" si="18"/>
        <v>1454224</v>
      </c>
      <c r="H141" s="61">
        <f t="shared" si="19"/>
        <v>999193</v>
      </c>
      <c r="I141" s="18">
        <f t="shared" si="20"/>
        <v>455031</v>
      </c>
      <c r="J141" s="4">
        <f t="shared" si="21"/>
        <v>-327191</v>
      </c>
      <c r="K141" s="25">
        <v>13894</v>
      </c>
      <c r="L141" s="18">
        <f t="shared" si="26"/>
        <v>124899</v>
      </c>
      <c r="M141" s="61">
        <f t="shared" si="22"/>
        <v>0</v>
      </c>
      <c r="N141" s="4">
        <f t="shared" si="23"/>
        <v>0</v>
      </c>
      <c r="O141" s="233">
        <f t="shared" si="24"/>
        <v>-327191</v>
      </c>
      <c r="P141" s="223">
        <f t="shared" si="25"/>
        <v>-2.619641492954691</v>
      </c>
      <c r="Q141" s="224"/>
      <c r="R141" s="224"/>
      <c r="S141" s="225"/>
      <c r="T141" s="225"/>
      <c r="U141" s="225"/>
      <c r="V141" s="225"/>
      <c r="Z141" s="23"/>
      <c r="AA141" s="23"/>
      <c r="AB141" s="23"/>
      <c r="AC141" s="23"/>
    </row>
    <row r="142" spans="1:29" x14ac:dyDescent="0.25">
      <c r="A142" s="222">
        <f>'A) Base RI'!A144</f>
        <v>5634</v>
      </c>
      <c r="B142" s="62" t="str">
        <f>'A) Base RI'!B144</f>
        <v>Echichens</v>
      </c>
      <c r="C142" s="61">
        <f>'D) Ecrêtage'!N142</f>
        <v>128757.51117647058</v>
      </c>
      <c r="D142" s="61">
        <v>214393</v>
      </c>
      <c r="E142" s="18">
        <v>439553</v>
      </c>
      <c r="F142" s="73">
        <v>189784</v>
      </c>
      <c r="G142" s="18">
        <f t="shared" si="18"/>
        <v>843730</v>
      </c>
      <c r="H142" s="61">
        <f t="shared" si="19"/>
        <v>1030060</v>
      </c>
      <c r="I142" s="18">
        <f t="shared" si="20"/>
        <v>0</v>
      </c>
      <c r="J142" s="4">
        <f t="shared" si="21"/>
        <v>0</v>
      </c>
      <c r="K142" s="25">
        <v>25554</v>
      </c>
      <c r="L142" s="18">
        <f t="shared" si="26"/>
        <v>128758</v>
      </c>
      <c r="M142" s="61">
        <f t="shared" si="22"/>
        <v>0</v>
      </c>
      <c r="N142" s="4">
        <f t="shared" si="23"/>
        <v>0</v>
      </c>
      <c r="O142" s="233">
        <f t="shared" si="24"/>
        <v>0</v>
      </c>
      <c r="P142" s="223">
        <f t="shared" si="25"/>
        <v>0</v>
      </c>
      <c r="Q142" s="224"/>
      <c r="R142" s="224"/>
      <c r="S142" s="225"/>
      <c r="T142" s="225"/>
      <c r="U142" s="225"/>
      <c r="V142" s="225"/>
      <c r="Z142" s="23"/>
      <c r="AA142" s="23"/>
      <c r="AB142" s="23"/>
      <c r="AC142" s="23"/>
    </row>
    <row r="143" spans="1:29" x14ac:dyDescent="0.25">
      <c r="A143" s="222">
        <f>'A) Base RI'!A145</f>
        <v>5635</v>
      </c>
      <c r="B143" s="62" t="str">
        <f>'A) Base RI'!B145</f>
        <v>Ecublens</v>
      </c>
      <c r="C143" s="61">
        <f>'D) Ecrêtage'!N143</f>
        <v>456934.05313242786</v>
      </c>
      <c r="D143" s="61">
        <v>2750664</v>
      </c>
      <c r="E143" s="18">
        <v>3933437</v>
      </c>
      <c r="F143" s="73">
        <v>213738</v>
      </c>
      <c r="G143" s="18">
        <f t="shared" si="18"/>
        <v>6897839</v>
      </c>
      <c r="H143" s="61">
        <f t="shared" si="19"/>
        <v>3655472</v>
      </c>
      <c r="I143" s="18">
        <f t="shared" si="20"/>
        <v>3242367</v>
      </c>
      <c r="J143" s="4">
        <f t="shared" si="21"/>
        <v>-2331429</v>
      </c>
      <c r="K143" s="25">
        <v>123190</v>
      </c>
      <c r="L143" s="18">
        <f t="shared" si="26"/>
        <v>456934</v>
      </c>
      <c r="M143" s="61">
        <f t="shared" si="22"/>
        <v>0</v>
      </c>
      <c r="N143" s="4">
        <f t="shared" si="23"/>
        <v>0</v>
      </c>
      <c r="O143" s="233">
        <f t="shared" si="24"/>
        <v>-2331429</v>
      </c>
      <c r="P143" s="223">
        <f t="shared" si="25"/>
        <v>-5.1023314721617155</v>
      </c>
      <c r="Q143" s="224"/>
      <c r="R143" s="224"/>
      <c r="S143" s="225"/>
      <c r="T143" s="225"/>
      <c r="U143" s="225"/>
      <c r="V143" s="225"/>
      <c r="Z143" s="23"/>
      <c r="AA143" s="23"/>
      <c r="AB143" s="23"/>
      <c r="AC143" s="23"/>
    </row>
    <row r="144" spans="1:29" x14ac:dyDescent="0.25">
      <c r="A144" s="222">
        <f>'A) Base RI'!A146</f>
        <v>5636</v>
      </c>
      <c r="B144" s="62" t="str">
        <f>'A) Base RI'!B146</f>
        <v>Etoy</v>
      </c>
      <c r="C144" s="61">
        <f>'D) Ecrêtage'!N144</f>
        <v>141771.26016393444</v>
      </c>
      <c r="D144" s="61">
        <v>883698</v>
      </c>
      <c r="E144" s="18">
        <v>244823</v>
      </c>
      <c r="F144" s="73">
        <v>360740</v>
      </c>
      <c r="G144" s="18">
        <f t="shared" si="18"/>
        <v>1489261</v>
      </c>
      <c r="H144" s="61">
        <f t="shared" si="19"/>
        <v>1134170</v>
      </c>
      <c r="I144" s="18">
        <f t="shared" si="20"/>
        <v>355091</v>
      </c>
      <c r="J144" s="4">
        <f t="shared" si="21"/>
        <v>-255329</v>
      </c>
      <c r="K144" s="25">
        <v>15087</v>
      </c>
      <c r="L144" s="18">
        <f t="shared" si="26"/>
        <v>141771</v>
      </c>
      <c r="M144" s="61">
        <f t="shared" si="22"/>
        <v>0</v>
      </c>
      <c r="N144" s="4">
        <f t="shared" si="23"/>
        <v>0</v>
      </c>
      <c r="O144" s="233">
        <f t="shared" si="24"/>
        <v>-255329</v>
      </c>
      <c r="P144" s="223">
        <f t="shared" si="25"/>
        <v>-1.8009926673766974</v>
      </c>
      <c r="Q144" s="224"/>
      <c r="R144" s="224"/>
      <c r="S144" s="225"/>
      <c r="T144" s="225"/>
      <c r="U144" s="225"/>
      <c r="V144" s="225"/>
      <c r="Z144" s="23"/>
      <c r="AA144" s="23"/>
      <c r="AB144" s="23"/>
      <c r="AC144" s="23"/>
    </row>
    <row r="145" spans="1:29" x14ac:dyDescent="0.25">
      <c r="A145" s="222">
        <f>'A) Base RI'!A147</f>
        <v>5637</v>
      </c>
      <c r="B145" s="62" t="str">
        <f>'A) Base RI'!B147</f>
        <v>Lavigny</v>
      </c>
      <c r="C145" s="61">
        <f>'D) Ecrêtage'!N145</f>
        <v>30305.948814317679</v>
      </c>
      <c r="D145" s="61">
        <v>110808</v>
      </c>
      <c r="E145" s="18">
        <v>61708</v>
      </c>
      <c r="F145" s="73">
        <v>119814</v>
      </c>
      <c r="G145" s="18">
        <f t="shared" si="18"/>
        <v>292330</v>
      </c>
      <c r="H145" s="61">
        <f t="shared" si="19"/>
        <v>242448</v>
      </c>
      <c r="I145" s="18">
        <f t="shared" si="20"/>
        <v>49882</v>
      </c>
      <c r="J145" s="4">
        <f t="shared" si="21"/>
        <v>-35868</v>
      </c>
      <c r="K145" s="25">
        <v>0</v>
      </c>
      <c r="L145" s="18">
        <f t="shared" si="26"/>
        <v>30306</v>
      </c>
      <c r="M145" s="61">
        <f t="shared" si="22"/>
        <v>0</v>
      </c>
      <c r="N145" s="4">
        <f t="shared" si="23"/>
        <v>0</v>
      </c>
      <c r="O145" s="233">
        <f t="shared" si="24"/>
        <v>-35868</v>
      </c>
      <c r="P145" s="223">
        <f t="shared" si="25"/>
        <v>-1.1835300131918192</v>
      </c>
      <c r="Q145" s="224"/>
      <c r="R145" s="224"/>
      <c r="S145" s="225"/>
      <c r="T145" s="225"/>
      <c r="U145" s="225"/>
      <c r="V145" s="225"/>
      <c r="Z145" s="23"/>
      <c r="AA145" s="23"/>
      <c r="AB145" s="23"/>
      <c r="AC145" s="23"/>
    </row>
    <row r="146" spans="1:29" x14ac:dyDescent="0.25">
      <c r="A146" s="222">
        <f>'A) Base RI'!A148</f>
        <v>5638</v>
      </c>
      <c r="B146" s="62" t="str">
        <f>'A) Base RI'!B148</f>
        <v>Lonay</v>
      </c>
      <c r="C146" s="61">
        <f>'D) Ecrêtage'!N146</f>
        <v>131856.2218181818</v>
      </c>
      <c r="D146" s="61">
        <v>594454</v>
      </c>
      <c r="E146" s="18">
        <v>912098</v>
      </c>
      <c r="F146" s="73">
        <v>103289</v>
      </c>
      <c r="G146" s="18">
        <f t="shared" si="18"/>
        <v>1609841</v>
      </c>
      <c r="H146" s="61">
        <f t="shared" si="19"/>
        <v>1054850</v>
      </c>
      <c r="I146" s="18">
        <f t="shared" si="20"/>
        <v>554991</v>
      </c>
      <c r="J146" s="4">
        <f t="shared" si="21"/>
        <v>-399067</v>
      </c>
      <c r="K146" s="25">
        <v>16529</v>
      </c>
      <c r="L146" s="18">
        <f t="shared" si="26"/>
        <v>131856</v>
      </c>
      <c r="M146" s="61">
        <f t="shared" si="22"/>
        <v>0</v>
      </c>
      <c r="N146" s="4">
        <f t="shared" si="23"/>
        <v>0</v>
      </c>
      <c r="O146" s="233">
        <f t="shared" si="24"/>
        <v>-399067</v>
      </c>
      <c r="P146" s="223">
        <f t="shared" si="25"/>
        <v>-3.026531433232468</v>
      </c>
      <c r="Q146" s="224"/>
      <c r="R146" s="224"/>
      <c r="S146" s="225"/>
      <c r="T146" s="225"/>
      <c r="U146" s="225"/>
      <c r="V146" s="225"/>
      <c r="Z146" s="23"/>
      <c r="AA146" s="23"/>
      <c r="AB146" s="23"/>
      <c r="AC146" s="23"/>
    </row>
    <row r="147" spans="1:29" x14ac:dyDescent="0.25">
      <c r="A147" s="222">
        <f>'A) Base RI'!A149</f>
        <v>5639</v>
      </c>
      <c r="B147" s="62" t="str">
        <f>'A) Base RI'!B149</f>
        <v>Lully</v>
      </c>
      <c r="C147" s="61">
        <f>'D) Ecrêtage'!N147</f>
        <v>41983.035245901636</v>
      </c>
      <c r="D147" s="61">
        <v>30942</v>
      </c>
      <c r="E147" s="18">
        <v>155954</v>
      </c>
      <c r="F147" s="73">
        <v>16672</v>
      </c>
      <c r="G147" s="18">
        <f t="shared" si="18"/>
        <v>203568</v>
      </c>
      <c r="H147" s="61">
        <f t="shared" si="19"/>
        <v>335864</v>
      </c>
      <c r="I147" s="18">
        <f t="shared" si="20"/>
        <v>0</v>
      </c>
      <c r="J147" s="4">
        <f t="shared" si="21"/>
        <v>0</v>
      </c>
      <c r="K147" s="25">
        <v>6948</v>
      </c>
      <c r="L147" s="18">
        <f t="shared" si="26"/>
        <v>41983</v>
      </c>
      <c r="M147" s="61">
        <f t="shared" si="22"/>
        <v>0</v>
      </c>
      <c r="N147" s="4">
        <f t="shared" si="23"/>
        <v>0</v>
      </c>
      <c r="O147" s="233">
        <f t="shared" si="24"/>
        <v>0</v>
      </c>
      <c r="P147" s="223">
        <f t="shared" si="25"/>
        <v>0</v>
      </c>
      <c r="Q147" s="224"/>
      <c r="R147" s="224"/>
      <c r="S147" s="225"/>
      <c r="T147" s="225"/>
      <c r="U147" s="225"/>
      <c r="V147" s="225"/>
      <c r="Z147" s="23"/>
      <c r="AA147" s="23"/>
      <c r="AB147" s="23"/>
      <c r="AC147" s="23"/>
    </row>
    <row r="148" spans="1:29" x14ac:dyDescent="0.25">
      <c r="A148" s="222">
        <f>'A) Base RI'!A150</f>
        <v>5640</v>
      </c>
      <c r="B148" s="62" t="str">
        <f>'A) Base RI'!B150</f>
        <v>Lussy-sur-Morges</v>
      </c>
      <c r="C148" s="61">
        <f>'D) Ecrêtage'!N148</f>
        <v>44883.005418618071</v>
      </c>
      <c r="D148" s="61">
        <v>158551</v>
      </c>
      <c r="E148" s="18">
        <v>120417</v>
      </c>
      <c r="F148" s="73">
        <v>66271</v>
      </c>
      <c r="G148" s="18">
        <f t="shared" si="18"/>
        <v>345239</v>
      </c>
      <c r="H148" s="61">
        <f t="shared" si="19"/>
        <v>359064</v>
      </c>
      <c r="I148" s="18">
        <f t="shared" si="20"/>
        <v>0</v>
      </c>
      <c r="J148" s="4">
        <f t="shared" si="21"/>
        <v>0</v>
      </c>
      <c r="K148" s="25">
        <v>5699</v>
      </c>
      <c r="L148" s="18">
        <f t="shared" si="26"/>
        <v>44883</v>
      </c>
      <c r="M148" s="61">
        <f t="shared" si="22"/>
        <v>0</v>
      </c>
      <c r="N148" s="4">
        <f t="shared" si="23"/>
        <v>0</v>
      </c>
      <c r="O148" s="233">
        <f t="shared" si="24"/>
        <v>0</v>
      </c>
      <c r="P148" s="223">
        <f t="shared" si="25"/>
        <v>0</v>
      </c>
      <c r="Q148" s="224"/>
      <c r="R148" s="224"/>
      <c r="S148" s="225"/>
      <c r="T148" s="225"/>
      <c r="U148" s="225"/>
      <c r="V148" s="225"/>
      <c r="Z148" s="23"/>
      <c r="AA148" s="23"/>
      <c r="AB148" s="23"/>
      <c r="AC148" s="23"/>
    </row>
    <row r="149" spans="1:29" x14ac:dyDescent="0.25">
      <c r="A149" s="222">
        <f>'A) Base RI'!A151</f>
        <v>5642</v>
      </c>
      <c r="B149" s="62" t="str">
        <f>'A) Base RI'!B151</f>
        <v>Morges</v>
      </c>
      <c r="C149" s="61">
        <f>'D) Ecrêtage'!N149</f>
        <v>722363.52321167884</v>
      </c>
      <c r="D149" s="61">
        <v>3404396</v>
      </c>
      <c r="E149" s="18">
        <v>3844949</v>
      </c>
      <c r="F149" s="73">
        <v>430215</v>
      </c>
      <c r="G149" s="18">
        <f t="shared" si="18"/>
        <v>7679560</v>
      </c>
      <c r="H149" s="61">
        <f t="shared" si="19"/>
        <v>5778908</v>
      </c>
      <c r="I149" s="18">
        <f t="shared" si="20"/>
        <v>1900652</v>
      </c>
      <c r="J149" s="4">
        <f t="shared" si="21"/>
        <v>-1366667</v>
      </c>
      <c r="K149" s="25">
        <v>11882</v>
      </c>
      <c r="L149" s="18">
        <f t="shared" si="26"/>
        <v>722364</v>
      </c>
      <c r="M149" s="61">
        <f t="shared" si="22"/>
        <v>0</v>
      </c>
      <c r="N149" s="4">
        <f t="shared" si="23"/>
        <v>0</v>
      </c>
      <c r="O149" s="233">
        <f t="shared" si="24"/>
        <v>-1366667</v>
      </c>
      <c r="P149" s="223">
        <f t="shared" si="25"/>
        <v>-1.891938000860983</v>
      </c>
      <c r="Q149" s="224"/>
      <c r="R149" s="224"/>
      <c r="S149" s="225"/>
      <c r="T149" s="225"/>
      <c r="U149" s="225"/>
      <c r="V149" s="225"/>
      <c r="Z149" s="23"/>
      <c r="AA149" s="23"/>
      <c r="AB149" s="23"/>
      <c r="AC149" s="23"/>
    </row>
    <row r="150" spans="1:29" x14ac:dyDescent="0.25">
      <c r="A150" s="222">
        <f>'A) Base RI'!A152</f>
        <v>5643</v>
      </c>
      <c r="B150" s="62" t="str">
        <f>'A) Base RI'!B152</f>
        <v>Préverenges</v>
      </c>
      <c r="C150" s="61">
        <f>'D) Ecrêtage'!N150</f>
        <v>265909.61515625002</v>
      </c>
      <c r="D150" s="61">
        <v>318183</v>
      </c>
      <c r="E150" s="18">
        <v>1134507</v>
      </c>
      <c r="F150" s="73">
        <v>115673</v>
      </c>
      <c r="G150" s="18">
        <f t="shared" si="18"/>
        <v>1568363</v>
      </c>
      <c r="H150" s="61">
        <f t="shared" si="19"/>
        <v>2127277</v>
      </c>
      <c r="I150" s="18">
        <f t="shared" si="20"/>
        <v>0</v>
      </c>
      <c r="J150" s="4">
        <f t="shared" si="21"/>
        <v>0</v>
      </c>
      <c r="K150" s="25">
        <v>150</v>
      </c>
      <c r="L150" s="18">
        <f t="shared" si="26"/>
        <v>265910</v>
      </c>
      <c r="M150" s="61">
        <f t="shared" si="22"/>
        <v>0</v>
      </c>
      <c r="N150" s="4">
        <f t="shared" si="23"/>
        <v>0</v>
      </c>
      <c r="O150" s="233">
        <f t="shared" si="24"/>
        <v>0</v>
      </c>
      <c r="P150" s="223">
        <f t="shared" si="25"/>
        <v>0</v>
      </c>
      <c r="Q150" s="224"/>
      <c r="R150" s="224"/>
      <c r="S150" s="225"/>
      <c r="T150" s="225"/>
      <c r="U150" s="225"/>
      <c r="V150" s="225"/>
      <c r="Z150" s="23"/>
      <c r="AA150" s="23"/>
      <c r="AB150" s="23"/>
      <c r="AC150" s="23"/>
    </row>
    <row r="151" spans="1:29" x14ac:dyDescent="0.25">
      <c r="A151" s="222">
        <f>'A) Base RI'!A153</f>
        <v>5644</v>
      </c>
      <c r="B151" s="62" t="str">
        <f>'A) Base RI'!B153</f>
        <v>Reverolle</v>
      </c>
      <c r="C151" s="61">
        <f>'D) Ecrêtage'!N151</f>
        <v>14878.554871794875</v>
      </c>
      <c r="D151" s="61">
        <v>19857</v>
      </c>
      <c r="E151" s="18">
        <v>40729</v>
      </c>
      <c r="F151" s="73">
        <v>168118</v>
      </c>
      <c r="G151" s="18">
        <f t="shared" si="18"/>
        <v>228704</v>
      </c>
      <c r="H151" s="61">
        <f t="shared" si="19"/>
        <v>119028</v>
      </c>
      <c r="I151" s="18">
        <f t="shared" si="20"/>
        <v>109676</v>
      </c>
      <c r="J151" s="4">
        <f t="shared" si="21"/>
        <v>-78863</v>
      </c>
      <c r="K151" s="25">
        <v>3224</v>
      </c>
      <c r="L151" s="18">
        <f t="shared" si="26"/>
        <v>14879</v>
      </c>
      <c r="M151" s="61">
        <f t="shared" si="22"/>
        <v>0</v>
      </c>
      <c r="N151" s="4">
        <f t="shared" si="23"/>
        <v>0</v>
      </c>
      <c r="O151" s="233">
        <f t="shared" si="24"/>
        <v>-78863</v>
      </c>
      <c r="P151" s="223">
        <f t="shared" si="25"/>
        <v>-5.3004475689705446</v>
      </c>
      <c r="Q151" s="224"/>
      <c r="R151" s="224"/>
      <c r="S151" s="225"/>
      <c r="T151" s="225"/>
      <c r="U151" s="225"/>
      <c r="V151" s="225"/>
      <c r="Z151" s="23"/>
      <c r="AA151" s="23"/>
      <c r="AB151" s="23"/>
      <c r="AC151" s="23"/>
    </row>
    <row r="152" spans="1:29" x14ac:dyDescent="0.25">
      <c r="A152" s="222">
        <f>'A) Base RI'!A154</f>
        <v>5645</v>
      </c>
      <c r="B152" s="62" t="str">
        <f>'A) Base RI'!B154</f>
        <v>Romanel-sur-Morges</v>
      </c>
      <c r="C152" s="61">
        <f>'D) Ecrêtage'!N152</f>
        <v>24679.645623864293</v>
      </c>
      <c r="D152" s="61">
        <v>77176</v>
      </c>
      <c r="E152" s="18">
        <v>13257</v>
      </c>
      <c r="F152" s="73">
        <v>51228</v>
      </c>
      <c r="G152" s="18">
        <f t="shared" si="18"/>
        <v>141661</v>
      </c>
      <c r="H152" s="61">
        <f t="shared" si="19"/>
        <v>197437</v>
      </c>
      <c r="I152" s="18">
        <f t="shared" si="20"/>
        <v>0</v>
      </c>
      <c r="J152" s="4">
        <f t="shared" si="21"/>
        <v>0</v>
      </c>
      <c r="K152" s="25">
        <v>22067</v>
      </c>
      <c r="L152" s="18">
        <f t="shared" si="26"/>
        <v>24680</v>
      </c>
      <c r="M152" s="61">
        <f t="shared" si="22"/>
        <v>0</v>
      </c>
      <c r="N152" s="4">
        <f t="shared" si="23"/>
        <v>0</v>
      </c>
      <c r="O152" s="233">
        <f t="shared" si="24"/>
        <v>0</v>
      </c>
      <c r="P152" s="223">
        <f t="shared" si="25"/>
        <v>0</v>
      </c>
      <c r="Q152" s="224"/>
      <c r="R152" s="224"/>
      <c r="S152" s="225"/>
      <c r="T152" s="225"/>
      <c r="U152" s="225"/>
      <c r="V152" s="225"/>
      <c r="Z152" s="23"/>
      <c r="AA152" s="23"/>
      <c r="AB152" s="23"/>
      <c r="AC152" s="23"/>
    </row>
    <row r="153" spans="1:29" x14ac:dyDescent="0.25">
      <c r="A153" s="222">
        <f>'A) Base RI'!A155</f>
        <v>5646</v>
      </c>
      <c r="B153" s="62" t="str">
        <f>'A) Base RI'!B155</f>
        <v>Saint-Prex</v>
      </c>
      <c r="C153" s="61">
        <f>'D) Ecrêtage'!N153</f>
        <v>348606.97222302243</v>
      </c>
      <c r="D153" s="61">
        <v>777735</v>
      </c>
      <c r="E153" s="18">
        <v>390041</v>
      </c>
      <c r="F153" s="73">
        <v>190748</v>
      </c>
      <c r="G153" s="18">
        <f t="shared" si="18"/>
        <v>1358524</v>
      </c>
      <c r="H153" s="61">
        <f t="shared" si="19"/>
        <v>2788856</v>
      </c>
      <c r="I153" s="18">
        <f t="shared" si="20"/>
        <v>0</v>
      </c>
      <c r="J153" s="4">
        <f t="shared" si="21"/>
        <v>0</v>
      </c>
      <c r="K153" s="25">
        <v>28778</v>
      </c>
      <c r="L153" s="18">
        <f t="shared" si="26"/>
        <v>348607</v>
      </c>
      <c r="M153" s="61">
        <f t="shared" si="22"/>
        <v>0</v>
      </c>
      <c r="N153" s="4">
        <f t="shared" si="23"/>
        <v>0</v>
      </c>
      <c r="O153" s="233">
        <f t="shared" si="24"/>
        <v>0</v>
      </c>
      <c r="P153" s="223">
        <f t="shared" si="25"/>
        <v>0</v>
      </c>
      <c r="Q153" s="224"/>
      <c r="R153" s="224"/>
      <c r="S153" s="225"/>
      <c r="T153" s="225"/>
      <c r="U153" s="225"/>
      <c r="V153" s="225"/>
      <c r="Z153" s="23"/>
      <c r="AA153" s="23"/>
      <c r="AB153" s="23"/>
      <c r="AC153" s="23"/>
    </row>
    <row r="154" spans="1:29" x14ac:dyDescent="0.25">
      <c r="A154" s="222">
        <f>'A) Base RI'!A156</f>
        <v>5648</v>
      </c>
      <c r="B154" s="62" t="str">
        <f>'A) Base RI'!B156</f>
        <v>Saint-Sulpice</v>
      </c>
      <c r="C154" s="61">
        <f>'D) Ecrêtage'!N154</f>
        <v>249354.37864273257</v>
      </c>
      <c r="D154" s="61">
        <v>271238</v>
      </c>
      <c r="E154" s="18">
        <v>1923795</v>
      </c>
      <c r="F154" s="73">
        <v>161388</v>
      </c>
      <c r="G154" s="18">
        <f t="shared" si="18"/>
        <v>2356421</v>
      </c>
      <c r="H154" s="61">
        <f t="shared" si="19"/>
        <v>1994835</v>
      </c>
      <c r="I154" s="18">
        <f t="shared" si="20"/>
        <v>361586</v>
      </c>
      <c r="J154" s="4">
        <f t="shared" si="21"/>
        <v>-259999</v>
      </c>
      <c r="K154" s="25">
        <v>39442</v>
      </c>
      <c r="L154" s="18">
        <f t="shared" si="26"/>
        <v>249354</v>
      </c>
      <c r="M154" s="61">
        <f t="shared" si="22"/>
        <v>0</v>
      </c>
      <c r="N154" s="4">
        <f t="shared" si="23"/>
        <v>0</v>
      </c>
      <c r="O154" s="233">
        <f t="shared" si="24"/>
        <v>-259999</v>
      </c>
      <c r="P154" s="223">
        <f t="shared" si="25"/>
        <v>-1.0426887284482729</v>
      </c>
      <c r="Q154" s="224"/>
      <c r="R154" s="224"/>
      <c r="S154" s="225"/>
      <c r="T154" s="225"/>
      <c r="U154" s="225"/>
      <c r="V154" s="225"/>
      <c r="Z154" s="23"/>
      <c r="AA154" s="23"/>
      <c r="AB154" s="23"/>
      <c r="AC154" s="23"/>
    </row>
    <row r="155" spans="1:29" x14ac:dyDescent="0.25">
      <c r="A155" s="222">
        <f>'A) Base RI'!A157</f>
        <v>5649</v>
      </c>
      <c r="B155" s="62" t="str">
        <f>'A) Base RI'!B157</f>
        <v>Tolochenaz</v>
      </c>
      <c r="C155" s="61">
        <f>'D) Ecrêtage'!N155</f>
        <v>102066.20805593611</v>
      </c>
      <c r="D155" s="61">
        <v>503314</v>
      </c>
      <c r="E155" s="18">
        <v>653901</v>
      </c>
      <c r="F155" s="73">
        <v>26970</v>
      </c>
      <c r="G155" s="18">
        <f t="shared" si="18"/>
        <v>1184185</v>
      </c>
      <c r="H155" s="61">
        <f t="shared" si="19"/>
        <v>816530</v>
      </c>
      <c r="I155" s="18">
        <f t="shared" si="20"/>
        <v>367655</v>
      </c>
      <c r="J155" s="4">
        <f t="shared" si="21"/>
        <v>-264363</v>
      </c>
      <c r="K155" s="25">
        <v>7375</v>
      </c>
      <c r="L155" s="18">
        <f t="shared" si="26"/>
        <v>102066</v>
      </c>
      <c r="M155" s="61">
        <f t="shared" si="22"/>
        <v>0</v>
      </c>
      <c r="N155" s="4">
        <f t="shared" si="23"/>
        <v>0</v>
      </c>
      <c r="O155" s="233">
        <f t="shared" si="24"/>
        <v>-264363</v>
      </c>
      <c r="P155" s="223">
        <f t="shared" si="25"/>
        <v>-2.5901128790355292</v>
      </c>
      <c r="Q155" s="224"/>
      <c r="R155" s="224"/>
      <c r="S155" s="225"/>
      <c r="T155" s="225"/>
      <c r="U155" s="225"/>
      <c r="V155" s="225"/>
      <c r="Z155" s="23"/>
      <c r="AA155" s="23"/>
      <c r="AB155" s="23"/>
      <c r="AC155" s="23"/>
    </row>
    <row r="156" spans="1:29" x14ac:dyDescent="0.25">
      <c r="A156" s="222">
        <f>'A) Base RI'!A158</f>
        <v>5650</v>
      </c>
      <c r="B156" s="62" t="str">
        <f>'A) Base RI'!B158</f>
        <v>Vaux-sur-Morges</v>
      </c>
      <c r="C156" s="61">
        <f>'D) Ecrêtage'!N156</f>
        <v>63213.556944204865</v>
      </c>
      <c r="D156" s="61">
        <v>11324</v>
      </c>
      <c r="E156" s="18">
        <v>10216</v>
      </c>
      <c r="F156" s="73">
        <v>22425</v>
      </c>
      <c r="G156" s="18">
        <f t="shared" si="18"/>
        <v>43965</v>
      </c>
      <c r="H156" s="61">
        <f t="shared" si="19"/>
        <v>505708</v>
      </c>
      <c r="I156" s="18">
        <f t="shared" si="20"/>
        <v>0</v>
      </c>
      <c r="J156" s="4">
        <f t="shared" si="21"/>
        <v>0</v>
      </c>
      <c r="K156" s="25">
        <v>-2897</v>
      </c>
      <c r="L156" s="18">
        <f t="shared" si="26"/>
        <v>63214</v>
      </c>
      <c r="M156" s="61">
        <f t="shared" si="22"/>
        <v>0</v>
      </c>
      <c r="N156" s="4">
        <f t="shared" si="23"/>
        <v>0</v>
      </c>
      <c r="O156" s="233">
        <f t="shared" si="24"/>
        <v>0</v>
      </c>
      <c r="P156" s="223">
        <f t="shared" si="25"/>
        <v>0</v>
      </c>
      <c r="Q156" s="224"/>
      <c r="R156" s="224"/>
      <c r="S156" s="225"/>
      <c r="T156" s="225"/>
      <c r="U156" s="225"/>
      <c r="V156" s="225"/>
      <c r="Z156" s="23"/>
      <c r="AA156" s="23"/>
      <c r="AB156" s="23"/>
      <c r="AC156" s="23"/>
    </row>
    <row r="157" spans="1:29" x14ac:dyDescent="0.25">
      <c r="A157" s="222">
        <f>'A) Base RI'!A159</f>
        <v>5651</v>
      </c>
      <c r="B157" s="62" t="str">
        <f>'A) Base RI'!B159</f>
        <v>Villars-Sainte-Croix</v>
      </c>
      <c r="C157" s="61">
        <f>'D) Ecrêtage'!N157</f>
        <v>43785.503891702981</v>
      </c>
      <c r="D157" s="61">
        <v>103929</v>
      </c>
      <c r="E157" s="18">
        <v>22307</v>
      </c>
      <c r="F157" s="73">
        <v>30174</v>
      </c>
      <c r="G157" s="18">
        <f t="shared" si="18"/>
        <v>156410</v>
      </c>
      <c r="H157" s="61">
        <f t="shared" si="19"/>
        <v>350284</v>
      </c>
      <c r="I157" s="18">
        <f t="shared" si="20"/>
        <v>0</v>
      </c>
      <c r="J157" s="4">
        <f t="shared" si="21"/>
        <v>0</v>
      </c>
      <c r="K157" s="25">
        <v>44795</v>
      </c>
      <c r="L157" s="18">
        <f t="shared" si="26"/>
        <v>43786</v>
      </c>
      <c r="M157" s="61">
        <f t="shared" si="22"/>
        <v>1009</v>
      </c>
      <c r="N157" s="4">
        <f t="shared" si="23"/>
        <v>-726</v>
      </c>
      <c r="O157" s="233">
        <f t="shared" si="24"/>
        <v>-726</v>
      </c>
      <c r="P157" s="223">
        <f t="shared" si="25"/>
        <v>-1.6580830080102641E-2</v>
      </c>
      <c r="Q157" s="224"/>
      <c r="R157" s="224"/>
      <c r="S157" s="225"/>
      <c r="T157" s="225"/>
      <c r="U157" s="225"/>
      <c r="V157" s="225"/>
      <c r="Z157" s="23"/>
      <c r="AA157" s="23"/>
      <c r="AB157" s="23"/>
      <c r="AC157" s="23"/>
    </row>
    <row r="158" spans="1:29" x14ac:dyDescent="0.25">
      <c r="A158" s="222">
        <f>'A) Base RI'!A160</f>
        <v>5652</v>
      </c>
      <c r="B158" s="62" t="str">
        <f>'A) Base RI'!B160</f>
        <v>Villars-sous-Yens</v>
      </c>
      <c r="C158" s="61">
        <f>'D) Ecrêtage'!N158</f>
        <v>24426.645087719295</v>
      </c>
      <c r="D158" s="61">
        <v>218778</v>
      </c>
      <c r="E158" s="18">
        <v>53914</v>
      </c>
      <c r="F158" s="73">
        <v>56157</v>
      </c>
      <c r="G158" s="18">
        <f t="shared" si="18"/>
        <v>328849</v>
      </c>
      <c r="H158" s="61">
        <f t="shared" si="19"/>
        <v>195413</v>
      </c>
      <c r="I158" s="18">
        <f t="shared" si="20"/>
        <v>133436</v>
      </c>
      <c r="J158" s="4">
        <f t="shared" si="21"/>
        <v>-95947</v>
      </c>
      <c r="K158" s="25">
        <v>7936</v>
      </c>
      <c r="L158" s="18">
        <f t="shared" si="26"/>
        <v>24427</v>
      </c>
      <c r="M158" s="61">
        <f t="shared" si="22"/>
        <v>0</v>
      </c>
      <c r="N158" s="4">
        <f t="shared" si="23"/>
        <v>0</v>
      </c>
      <c r="O158" s="233">
        <f t="shared" si="24"/>
        <v>-95947</v>
      </c>
      <c r="P158" s="223">
        <f t="shared" si="25"/>
        <v>-3.9279647145746663</v>
      </c>
      <c r="Q158" s="224"/>
      <c r="R158" s="224"/>
      <c r="S158" s="225"/>
      <c r="T158" s="225"/>
      <c r="U158" s="225"/>
      <c r="V158" s="225"/>
      <c r="Z158" s="23"/>
      <c r="AA158" s="23"/>
      <c r="AB158" s="23"/>
      <c r="AC158" s="23"/>
    </row>
    <row r="159" spans="1:29" x14ac:dyDescent="0.25">
      <c r="A159" s="222">
        <f>'A) Base RI'!A161</f>
        <v>5653</v>
      </c>
      <c r="B159" s="62" t="str">
        <f>'A) Base RI'!B161</f>
        <v>Vufflens-le-Château</v>
      </c>
      <c r="C159" s="61">
        <f>'D) Ecrêtage'!N159</f>
        <v>51090.812390571104</v>
      </c>
      <c r="D159" s="61">
        <v>133822</v>
      </c>
      <c r="E159" s="18">
        <v>59471</v>
      </c>
      <c r="F159" s="73">
        <v>9803</v>
      </c>
      <c r="G159" s="18">
        <f t="shared" si="18"/>
        <v>203096</v>
      </c>
      <c r="H159" s="61">
        <f t="shared" si="19"/>
        <v>408726</v>
      </c>
      <c r="I159" s="18">
        <f t="shared" si="20"/>
        <v>0</v>
      </c>
      <c r="J159" s="4">
        <f t="shared" si="21"/>
        <v>0</v>
      </c>
      <c r="K159" s="25">
        <v>8638</v>
      </c>
      <c r="L159" s="18">
        <f t="shared" si="26"/>
        <v>51091</v>
      </c>
      <c r="M159" s="61">
        <f t="shared" si="22"/>
        <v>0</v>
      </c>
      <c r="N159" s="4">
        <f t="shared" si="23"/>
        <v>0</v>
      </c>
      <c r="O159" s="233">
        <f t="shared" si="24"/>
        <v>0</v>
      </c>
      <c r="P159" s="223">
        <f t="shared" si="25"/>
        <v>0</v>
      </c>
      <c r="Q159" s="224"/>
      <c r="R159" s="224"/>
      <c r="S159" s="225"/>
      <c r="T159" s="225"/>
      <c r="U159" s="225"/>
      <c r="V159" s="225"/>
      <c r="Z159" s="23"/>
      <c r="AA159" s="23"/>
      <c r="AB159" s="23"/>
      <c r="AC159" s="23"/>
    </row>
    <row r="160" spans="1:29" x14ac:dyDescent="0.25">
      <c r="A160" s="222">
        <f>'A) Base RI'!A162</f>
        <v>5654</v>
      </c>
      <c r="B160" s="62" t="str">
        <f>'A) Base RI'!B162</f>
        <v>Vullierens</v>
      </c>
      <c r="C160" s="61">
        <f>'D) Ecrêtage'!N160</f>
        <v>15860.891578947369</v>
      </c>
      <c r="D160" s="61">
        <v>119741</v>
      </c>
      <c r="E160" s="18">
        <v>12769</v>
      </c>
      <c r="F160" s="73">
        <v>53303</v>
      </c>
      <c r="G160" s="18">
        <f t="shared" si="18"/>
        <v>185813</v>
      </c>
      <c r="H160" s="61">
        <f t="shared" si="19"/>
        <v>126887</v>
      </c>
      <c r="I160" s="18">
        <f t="shared" si="20"/>
        <v>58926</v>
      </c>
      <c r="J160" s="4">
        <f t="shared" si="21"/>
        <v>-42371</v>
      </c>
      <c r="K160" s="25">
        <v>4766</v>
      </c>
      <c r="L160" s="18">
        <f t="shared" si="26"/>
        <v>15861</v>
      </c>
      <c r="M160" s="61">
        <f t="shared" si="22"/>
        <v>0</v>
      </c>
      <c r="N160" s="4">
        <f t="shared" si="23"/>
        <v>0</v>
      </c>
      <c r="O160" s="233">
        <f t="shared" si="24"/>
        <v>-42371</v>
      </c>
      <c r="P160" s="223">
        <f t="shared" si="25"/>
        <v>-2.6714135071852003</v>
      </c>
      <c r="Q160" s="224"/>
      <c r="R160" s="224"/>
      <c r="S160" s="225"/>
      <c r="T160" s="225"/>
      <c r="U160" s="225"/>
      <c r="V160" s="225"/>
      <c r="Z160" s="23"/>
      <c r="AA160" s="23"/>
      <c r="AB160" s="23"/>
      <c r="AC160" s="23"/>
    </row>
    <row r="161" spans="1:29" x14ac:dyDescent="0.25">
      <c r="A161" s="222">
        <f>'A) Base RI'!A163</f>
        <v>5655</v>
      </c>
      <c r="B161" s="62" t="str">
        <f>'A) Base RI'!B163</f>
        <v>Yens</v>
      </c>
      <c r="C161" s="61">
        <f>'D) Ecrêtage'!N161</f>
        <v>73269.563430074471</v>
      </c>
      <c r="D161" s="61">
        <v>264785</v>
      </c>
      <c r="E161" s="18">
        <v>90318</v>
      </c>
      <c r="F161" s="73">
        <v>134708</v>
      </c>
      <c r="G161" s="18">
        <f t="shared" si="18"/>
        <v>489811</v>
      </c>
      <c r="H161" s="61">
        <f t="shared" si="19"/>
        <v>586157</v>
      </c>
      <c r="I161" s="18">
        <f t="shared" si="20"/>
        <v>0</v>
      </c>
      <c r="J161" s="4">
        <f t="shared" si="21"/>
        <v>0</v>
      </c>
      <c r="K161" s="25">
        <v>13526</v>
      </c>
      <c r="L161" s="18">
        <f t="shared" si="26"/>
        <v>73270</v>
      </c>
      <c r="M161" s="61">
        <f t="shared" si="22"/>
        <v>0</v>
      </c>
      <c r="N161" s="4">
        <f t="shared" si="23"/>
        <v>0</v>
      </c>
      <c r="O161" s="233">
        <f t="shared" si="24"/>
        <v>0</v>
      </c>
      <c r="P161" s="223">
        <f t="shared" si="25"/>
        <v>0</v>
      </c>
      <c r="Q161" s="224"/>
      <c r="R161" s="224"/>
      <c r="S161" s="225"/>
      <c r="T161" s="225"/>
      <c r="U161" s="225"/>
      <c r="V161" s="225"/>
      <c r="Z161" s="23"/>
      <c r="AA161" s="23"/>
      <c r="AB161" s="23"/>
      <c r="AC161" s="23"/>
    </row>
    <row r="162" spans="1:29" x14ac:dyDescent="0.25">
      <c r="A162" s="222">
        <f>'A) Base RI'!A164</f>
        <v>5661</v>
      </c>
      <c r="B162" s="62" t="str">
        <f>'A) Base RI'!B164</f>
        <v>Boulens</v>
      </c>
      <c r="C162" s="61">
        <f>'D) Ecrêtage'!N162</f>
        <v>6901.8381012658238</v>
      </c>
      <c r="D162" s="61">
        <v>23026</v>
      </c>
      <c r="E162" s="18">
        <v>6992</v>
      </c>
      <c r="F162" s="73">
        <v>27153</v>
      </c>
      <c r="G162" s="18">
        <f t="shared" si="18"/>
        <v>57171</v>
      </c>
      <c r="H162" s="61">
        <f t="shared" si="19"/>
        <v>55215</v>
      </c>
      <c r="I162" s="18">
        <f t="shared" si="20"/>
        <v>1956</v>
      </c>
      <c r="J162" s="4">
        <f t="shared" si="21"/>
        <v>-1406</v>
      </c>
      <c r="K162" s="25">
        <v>41089</v>
      </c>
      <c r="L162" s="18">
        <f t="shared" si="26"/>
        <v>6902</v>
      </c>
      <c r="M162" s="61">
        <f t="shared" si="22"/>
        <v>34187</v>
      </c>
      <c r="N162" s="4">
        <f t="shared" si="23"/>
        <v>-24582</v>
      </c>
      <c r="O162" s="233">
        <f t="shared" si="24"/>
        <v>-25988</v>
      </c>
      <c r="P162" s="223">
        <f t="shared" si="25"/>
        <v>-3.7653737480793268</v>
      </c>
      <c r="Q162" s="224"/>
      <c r="R162" s="224"/>
      <c r="S162" s="225"/>
      <c r="T162" s="225"/>
      <c r="U162" s="225"/>
      <c r="V162" s="225"/>
      <c r="Z162" s="23"/>
      <c r="AA162" s="23"/>
      <c r="AB162" s="23"/>
      <c r="AC162" s="23"/>
    </row>
    <row r="163" spans="1:29" x14ac:dyDescent="0.25">
      <c r="A163" s="222">
        <f>'A) Base RI'!A165</f>
        <v>5662</v>
      </c>
      <c r="B163" s="62" t="str">
        <f>'A) Base RI'!B165</f>
        <v>Brenles</v>
      </c>
      <c r="C163" s="61">
        <f>'D) Ecrêtage'!N163</f>
        <v>4031.2468945868945</v>
      </c>
      <c r="D163" s="61">
        <v>38737</v>
      </c>
      <c r="E163" s="18">
        <v>3152</v>
      </c>
      <c r="F163" s="73">
        <v>6997</v>
      </c>
      <c r="G163" s="18">
        <f t="shared" si="18"/>
        <v>48886</v>
      </c>
      <c r="H163" s="61">
        <f t="shared" si="19"/>
        <v>32250</v>
      </c>
      <c r="I163" s="18">
        <f t="shared" si="20"/>
        <v>16636</v>
      </c>
      <c r="J163" s="4">
        <f t="shared" si="21"/>
        <v>-11962</v>
      </c>
      <c r="K163" s="25">
        <v>1564</v>
      </c>
      <c r="L163" s="18">
        <f t="shared" si="26"/>
        <v>4031</v>
      </c>
      <c r="M163" s="61">
        <f t="shared" si="22"/>
        <v>0</v>
      </c>
      <c r="N163" s="4">
        <f t="shared" si="23"/>
        <v>0</v>
      </c>
      <c r="O163" s="233">
        <f t="shared" si="24"/>
        <v>-11962</v>
      </c>
      <c r="P163" s="223">
        <f t="shared" si="25"/>
        <v>-2.9673201152880058</v>
      </c>
      <c r="Q163" s="224"/>
      <c r="R163" s="224"/>
      <c r="S163" s="225"/>
      <c r="T163" s="225"/>
      <c r="U163" s="225"/>
      <c r="V163" s="225"/>
      <c r="Z163" s="23"/>
      <c r="AA163" s="23"/>
      <c r="AB163" s="23"/>
      <c r="AC163" s="23"/>
    </row>
    <row r="164" spans="1:29" x14ac:dyDescent="0.25">
      <c r="A164" s="222">
        <f>'A) Base RI'!A166</f>
        <v>5663</v>
      </c>
      <c r="B164" s="62" t="str">
        <f>'A) Base RI'!B166</f>
        <v>Bussy-sur-Moudon</v>
      </c>
      <c r="C164" s="61">
        <f>'D) Ecrêtage'!N164</f>
        <v>5172.1214999999993</v>
      </c>
      <c r="D164" s="61">
        <v>69282</v>
      </c>
      <c r="E164" s="18">
        <v>4084</v>
      </c>
      <c r="F164" s="73">
        <v>9750</v>
      </c>
      <c r="G164" s="18">
        <f t="shared" si="18"/>
        <v>83116</v>
      </c>
      <c r="H164" s="61">
        <f t="shared" si="19"/>
        <v>41377</v>
      </c>
      <c r="I164" s="18">
        <f t="shared" si="20"/>
        <v>41739</v>
      </c>
      <c r="J164" s="4">
        <f t="shared" si="21"/>
        <v>-30012</v>
      </c>
      <c r="K164" s="25">
        <v>10392</v>
      </c>
      <c r="L164" s="18">
        <f t="shared" si="26"/>
        <v>5172</v>
      </c>
      <c r="M164" s="61">
        <f t="shared" si="22"/>
        <v>5220</v>
      </c>
      <c r="N164" s="4">
        <f t="shared" si="23"/>
        <v>-3753</v>
      </c>
      <c r="O164" s="233">
        <f t="shared" si="24"/>
        <v>-33765</v>
      </c>
      <c r="P164" s="223">
        <f t="shared" si="25"/>
        <v>-6.5282689124762445</v>
      </c>
      <c r="Q164" s="224"/>
      <c r="R164" s="224"/>
      <c r="S164" s="225"/>
      <c r="T164" s="225"/>
      <c r="U164" s="225"/>
      <c r="V164" s="225"/>
      <c r="Z164" s="23"/>
      <c r="AA164" s="23"/>
      <c r="AB164" s="23"/>
      <c r="AC164" s="23"/>
    </row>
    <row r="165" spans="1:29" x14ac:dyDescent="0.25">
      <c r="A165" s="222">
        <f>'A) Base RI'!A167</f>
        <v>5665</v>
      </c>
      <c r="B165" s="62" t="str">
        <f>'A) Base RI'!B167</f>
        <v>Chavannes-sur-Moudon</v>
      </c>
      <c r="C165" s="61">
        <f>'D) Ecrêtage'!N165</f>
        <v>3708.5273611111106</v>
      </c>
      <c r="D165" s="61">
        <v>21285</v>
      </c>
      <c r="E165" s="18">
        <v>4994</v>
      </c>
      <c r="F165" s="73">
        <v>12652</v>
      </c>
      <c r="G165" s="18">
        <f t="shared" si="18"/>
        <v>38931</v>
      </c>
      <c r="H165" s="61">
        <f t="shared" si="19"/>
        <v>29668</v>
      </c>
      <c r="I165" s="18">
        <f t="shared" si="20"/>
        <v>9263</v>
      </c>
      <c r="J165" s="4">
        <f t="shared" si="21"/>
        <v>-6661</v>
      </c>
      <c r="K165" s="25">
        <v>0</v>
      </c>
      <c r="L165" s="18">
        <f t="shared" si="26"/>
        <v>3709</v>
      </c>
      <c r="M165" s="61">
        <f t="shared" si="22"/>
        <v>0</v>
      </c>
      <c r="N165" s="4">
        <f t="shared" si="23"/>
        <v>0</v>
      </c>
      <c r="O165" s="233">
        <f t="shared" si="24"/>
        <v>-6661</v>
      </c>
      <c r="P165" s="223">
        <f t="shared" si="25"/>
        <v>-1.7961307417735486</v>
      </c>
      <c r="Q165" s="224"/>
      <c r="R165" s="224"/>
      <c r="S165" s="225"/>
      <c r="T165" s="225"/>
      <c r="U165" s="225"/>
      <c r="V165" s="225"/>
      <c r="Z165" s="23"/>
      <c r="AA165" s="23"/>
      <c r="AB165" s="23"/>
      <c r="AC165" s="23"/>
    </row>
    <row r="166" spans="1:29" x14ac:dyDescent="0.25">
      <c r="A166" s="222">
        <f>'A) Base RI'!A168</f>
        <v>5666</v>
      </c>
      <c r="B166" s="62" t="str">
        <f>'A) Base RI'!B168</f>
        <v>Chesalles-sur-Moudon</v>
      </c>
      <c r="C166" s="61">
        <f>'D) Ecrêtage'!N166</f>
        <v>3731.231866666667</v>
      </c>
      <c r="D166" s="61">
        <v>12938</v>
      </c>
      <c r="E166" s="18">
        <v>3418</v>
      </c>
      <c r="F166" s="73">
        <v>6642</v>
      </c>
      <c r="G166" s="18">
        <f t="shared" si="18"/>
        <v>22998</v>
      </c>
      <c r="H166" s="61">
        <f t="shared" si="19"/>
        <v>29850</v>
      </c>
      <c r="I166" s="18">
        <f t="shared" si="20"/>
        <v>0</v>
      </c>
      <c r="J166" s="4">
        <f t="shared" si="21"/>
        <v>0</v>
      </c>
      <c r="K166" s="25">
        <v>336</v>
      </c>
      <c r="L166" s="18">
        <f t="shared" si="26"/>
        <v>3731</v>
      </c>
      <c r="M166" s="61">
        <f t="shared" si="22"/>
        <v>0</v>
      </c>
      <c r="N166" s="4">
        <f t="shared" si="23"/>
        <v>0</v>
      </c>
      <c r="O166" s="233">
        <f t="shared" si="24"/>
        <v>0</v>
      </c>
      <c r="P166" s="223">
        <f t="shared" si="25"/>
        <v>0</v>
      </c>
      <c r="Q166" s="224"/>
      <c r="R166" s="224"/>
      <c r="S166" s="225"/>
      <c r="T166" s="225"/>
      <c r="U166" s="225"/>
      <c r="V166" s="225"/>
      <c r="Z166" s="23"/>
      <c r="AA166" s="23"/>
      <c r="AB166" s="23"/>
      <c r="AC166" s="23"/>
    </row>
    <row r="167" spans="1:29" x14ac:dyDescent="0.25">
      <c r="A167" s="222">
        <f>'A) Base RI'!A169</f>
        <v>5668</v>
      </c>
      <c r="B167" s="62" t="str">
        <f>'A) Base RI'!B169</f>
        <v>Cremin</v>
      </c>
      <c r="C167" s="61">
        <f>'D) Ecrêtage'!N167</f>
        <v>1020.8936363636363</v>
      </c>
      <c r="D167" s="61">
        <v>3134</v>
      </c>
      <c r="E167" s="18">
        <v>1177</v>
      </c>
      <c r="F167" s="73">
        <v>2278</v>
      </c>
      <c r="G167" s="18">
        <f t="shared" si="18"/>
        <v>6589</v>
      </c>
      <c r="H167" s="61">
        <f t="shared" si="19"/>
        <v>8167</v>
      </c>
      <c r="I167" s="18">
        <f t="shared" si="20"/>
        <v>0</v>
      </c>
      <c r="J167" s="4">
        <f t="shared" si="21"/>
        <v>0</v>
      </c>
      <c r="K167" s="25">
        <v>0</v>
      </c>
      <c r="L167" s="18">
        <f t="shared" si="26"/>
        <v>1021</v>
      </c>
      <c r="M167" s="61">
        <f t="shared" si="22"/>
        <v>0</v>
      </c>
      <c r="N167" s="4">
        <f t="shared" si="23"/>
        <v>0</v>
      </c>
      <c r="O167" s="233">
        <f t="shared" si="24"/>
        <v>0</v>
      </c>
      <c r="P167" s="223">
        <f t="shared" si="25"/>
        <v>0</v>
      </c>
      <c r="Q167" s="224"/>
      <c r="R167" s="224"/>
      <c r="S167" s="225"/>
      <c r="T167" s="225"/>
      <c r="U167" s="225"/>
      <c r="V167" s="225"/>
      <c r="Z167" s="23"/>
      <c r="AA167" s="23"/>
      <c r="AB167" s="23"/>
      <c r="AC167" s="23"/>
    </row>
    <row r="168" spans="1:29" x14ac:dyDescent="0.25">
      <c r="A168" s="222">
        <f>'A) Base RI'!A170</f>
        <v>5669</v>
      </c>
      <c r="B168" s="62" t="str">
        <f>'A) Base RI'!B170</f>
        <v>Curtilles</v>
      </c>
      <c r="C168" s="61">
        <f>'D) Ecrêtage'!N168</f>
        <v>8099.7640277777791</v>
      </c>
      <c r="D168" s="61">
        <v>130355</v>
      </c>
      <c r="E168" s="18">
        <v>13585</v>
      </c>
      <c r="F168" s="73">
        <v>16385</v>
      </c>
      <c r="G168" s="18">
        <f t="shared" si="18"/>
        <v>160325</v>
      </c>
      <c r="H168" s="61">
        <f t="shared" si="19"/>
        <v>64798</v>
      </c>
      <c r="I168" s="18">
        <f t="shared" si="20"/>
        <v>95527</v>
      </c>
      <c r="J168" s="4">
        <f t="shared" si="21"/>
        <v>-68689</v>
      </c>
      <c r="K168" s="25">
        <v>93</v>
      </c>
      <c r="L168" s="18">
        <f t="shared" si="26"/>
        <v>8100</v>
      </c>
      <c r="M168" s="61">
        <f t="shared" si="22"/>
        <v>0</v>
      </c>
      <c r="N168" s="4">
        <f t="shared" si="23"/>
        <v>0</v>
      </c>
      <c r="O168" s="233">
        <f t="shared" si="24"/>
        <v>-68689</v>
      </c>
      <c r="P168" s="223">
        <f t="shared" si="25"/>
        <v>-8.4803705101079654</v>
      </c>
      <c r="Q168" s="224"/>
      <c r="R168" s="224"/>
      <c r="S168" s="225"/>
      <c r="T168" s="225"/>
      <c r="U168" s="225"/>
      <c r="V168" s="225"/>
      <c r="Z168" s="23"/>
      <c r="AA168" s="23"/>
      <c r="AB168" s="23"/>
      <c r="AC168" s="23"/>
    </row>
    <row r="169" spans="1:29" x14ac:dyDescent="0.25">
      <c r="A169" s="222">
        <f>'A) Base RI'!A171</f>
        <v>5671</v>
      </c>
      <c r="B169" s="62" t="str">
        <f>'A) Base RI'!B171</f>
        <v>Dompierre</v>
      </c>
      <c r="C169" s="61">
        <f>'D) Ecrêtage'!N169</f>
        <v>5882.5981250000004</v>
      </c>
      <c r="D169" s="61">
        <v>115032</v>
      </c>
      <c r="E169" s="18">
        <v>5461</v>
      </c>
      <c r="F169" s="73">
        <v>33710</v>
      </c>
      <c r="G169" s="18">
        <f t="shared" si="18"/>
        <v>154203</v>
      </c>
      <c r="H169" s="61">
        <f t="shared" si="19"/>
        <v>47061</v>
      </c>
      <c r="I169" s="18">
        <f t="shared" si="20"/>
        <v>107142</v>
      </c>
      <c r="J169" s="4">
        <f t="shared" si="21"/>
        <v>-77041</v>
      </c>
      <c r="K169" s="25">
        <v>3982</v>
      </c>
      <c r="L169" s="18">
        <f t="shared" si="26"/>
        <v>5883</v>
      </c>
      <c r="M169" s="61">
        <f t="shared" si="22"/>
        <v>0</v>
      </c>
      <c r="N169" s="4">
        <f t="shared" si="23"/>
        <v>0</v>
      </c>
      <c r="O169" s="233">
        <f t="shared" si="24"/>
        <v>-77041</v>
      </c>
      <c r="P169" s="223">
        <f t="shared" si="25"/>
        <v>-13.096424124671952</v>
      </c>
      <c r="Q169" s="224"/>
      <c r="R169" s="224"/>
      <c r="S169" s="225"/>
      <c r="T169" s="225"/>
      <c r="U169" s="225"/>
      <c r="V169" s="225"/>
      <c r="Z169" s="23"/>
      <c r="AA169" s="23"/>
      <c r="AB169" s="23"/>
      <c r="AC169" s="23"/>
    </row>
    <row r="170" spans="1:29" x14ac:dyDescent="0.25">
      <c r="A170" s="222">
        <f>'A) Base RI'!A172</f>
        <v>5672</v>
      </c>
      <c r="B170" s="62" t="str">
        <f>'A) Base RI'!B172</f>
        <v>Forel-sur-Lucens</v>
      </c>
      <c r="C170" s="61">
        <f>'D) Ecrêtage'!N170</f>
        <v>3859.3261000000002</v>
      </c>
      <c r="D170" s="61">
        <v>8326</v>
      </c>
      <c r="E170" s="18">
        <v>3330</v>
      </c>
      <c r="F170" s="73">
        <v>7669</v>
      </c>
      <c r="G170" s="18">
        <f t="shared" ref="G170:G225" si="27">D170+E170+F170</f>
        <v>19325</v>
      </c>
      <c r="H170" s="61">
        <f t="shared" ref="H170:H225" si="28">ROUND(C170*I$4,0)</f>
        <v>30875</v>
      </c>
      <c r="I170" s="18">
        <f t="shared" ref="I170:I225" si="29">IF(G170&gt;H170,G170-H170,0)</f>
        <v>0</v>
      </c>
      <c r="J170" s="4">
        <f t="shared" ref="J170:J225" si="30">ROUND(-I170*J$4,0)</f>
        <v>0</v>
      </c>
      <c r="K170" s="25">
        <v>675</v>
      </c>
      <c r="L170" s="18">
        <f t="shared" si="26"/>
        <v>3859</v>
      </c>
      <c r="M170" s="61">
        <f t="shared" ref="M170:M225" si="31">IF(K170&gt;L170,K170-L170,0)</f>
        <v>0</v>
      </c>
      <c r="N170" s="4">
        <f t="shared" ref="N170:N225" si="32">ROUND(-M170*N$4,0)</f>
        <v>0</v>
      </c>
      <c r="O170" s="233">
        <f t="shared" ref="O170:O225" si="33">N170+J170</f>
        <v>0</v>
      </c>
      <c r="P170" s="223">
        <f t="shared" ref="P170:P225" si="34">O170/C170</f>
        <v>0</v>
      </c>
      <c r="Q170" s="224"/>
      <c r="R170" s="224"/>
      <c r="S170" s="225"/>
      <c r="T170" s="225"/>
      <c r="U170" s="225"/>
      <c r="V170" s="225"/>
      <c r="Z170" s="23"/>
      <c r="AA170" s="23"/>
      <c r="AB170" s="23"/>
      <c r="AC170" s="23"/>
    </row>
    <row r="171" spans="1:29" x14ac:dyDescent="0.25">
      <c r="A171" s="222">
        <f>'A) Base RI'!A173</f>
        <v>5673</v>
      </c>
      <c r="B171" s="62" t="str">
        <f>'A) Base RI'!B173</f>
        <v>Hermenches</v>
      </c>
      <c r="C171" s="61">
        <f>'D) Ecrêtage'!N171</f>
        <v>9584.1538967136148</v>
      </c>
      <c r="D171" s="61">
        <v>71026</v>
      </c>
      <c r="E171" s="18">
        <v>8147</v>
      </c>
      <c r="F171" s="73">
        <v>19827</v>
      </c>
      <c r="G171" s="18">
        <f t="shared" si="27"/>
        <v>99000</v>
      </c>
      <c r="H171" s="61">
        <f t="shared" si="28"/>
        <v>76673</v>
      </c>
      <c r="I171" s="18">
        <f t="shared" si="29"/>
        <v>22327</v>
      </c>
      <c r="J171" s="4">
        <f t="shared" si="30"/>
        <v>-16054</v>
      </c>
      <c r="K171" s="25">
        <v>29006</v>
      </c>
      <c r="L171" s="18">
        <f t="shared" si="26"/>
        <v>9584</v>
      </c>
      <c r="M171" s="61">
        <f t="shared" si="31"/>
        <v>19422</v>
      </c>
      <c r="N171" s="4">
        <f t="shared" si="32"/>
        <v>-13965</v>
      </c>
      <c r="O171" s="233">
        <f t="shared" si="33"/>
        <v>-30019</v>
      </c>
      <c r="P171" s="223">
        <f t="shared" si="34"/>
        <v>-3.1321492041455476</v>
      </c>
      <c r="Q171" s="224"/>
      <c r="R171" s="224"/>
      <c r="S171" s="225"/>
      <c r="T171" s="225"/>
      <c r="U171" s="225"/>
      <c r="V171" s="225"/>
      <c r="Z171" s="23"/>
      <c r="AA171" s="23"/>
      <c r="AB171" s="23"/>
      <c r="AC171" s="23"/>
    </row>
    <row r="172" spans="1:29" x14ac:dyDescent="0.25">
      <c r="A172" s="222">
        <f>'A) Base RI'!A174</f>
        <v>5674</v>
      </c>
      <c r="B172" s="62" t="str">
        <f>'A) Base RI'!B174</f>
        <v>Lovatens</v>
      </c>
      <c r="C172" s="61">
        <f>'D) Ecrêtage'!N172</f>
        <v>5762.0609054325942</v>
      </c>
      <c r="D172" s="61">
        <v>6311</v>
      </c>
      <c r="E172" s="18">
        <v>3019</v>
      </c>
      <c r="F172" s="73">
        <v>6675</v>
      </c>
      <c r="G172" s="18">
        <f t="shared" si="27"/>
        <v>16005</v>
      </c>
      <c r="H172" s="61">
        <f t="shared" si="28"/>
        <v>46096</v>
      </c>
      <c r="I172" s="18">
        <f t="shared" si="29"/>
        <v>0</v>
      </c>
      <c r="J172" s="4">
        <f t="shared" si="30"/>
        <v>0</v>
      </c>
      <c r="K172" s="25">
        <v>2873</v>
      </c>
      <c r="L172" s="18">
        <f t="shared" si="26"/>
        <v>5762</v>
      </c>
      <c r="M172" s="61">
        <f t="shared" si="31"/>
        <v>0</v>
      </c>
      <c r="N172" s="4">
        <f t="shared" si="32"/>
        <v>0</v>
      </c>
      <c r="O172" s="233">
        <f t="shared" si="33"/>
        <v>0</v>
      </c>
      <c r="P172" s="223">
        <f t="shared" si="34"/>
        <v>0</v>
      </c>
      <c r="Q172" s="224"/>
      <c r="R172" s="224"/>
      <c r="S172" s="225"/>
      <c r="T172" s="225"/>
      <c r="U172" s="225"/>
      <c r="V172" s="225"/>
      <c r="Z172" s="23"/>
      <c r="AA172" s="23"/>
      <c r="AB172" s="23"/>
      <c r="AC172" s="23"/>
    </row>
    <row r="173" spans="1:29" x14ac:dyDescent="0.25">
      <c r="A173" s="222">
        <f>'A) Base RI'!A175</f>
        <v>5675</v>
      </c>
      <c r="B173" s="62" t="str">
        <f>'A) Base RI'!B175</f>
        <v>Lucens</v>
      </c>
      <c r="C173" s="61">
        <f>'D) Ecrêtage'!N173</f>
        <v>78725.785578512397</v>
      </c>
      <c r="D173" s="9">
        <v>592692</v>
      </c>
      <c r="E173" s="18">
        <v>173752</v>
      </c>
      <c r="F173" s="9">
        <v>183570</v>
      </c>
      <c r="G173" s="18">
        <f t="shared" si="27"/>
        <v>950014</v>
      </c>
      <c r="H173" s="61">
        <f t="shared" si="28"/>
        <v>629806</v>
      </c>
      <c r="I173" s="18">
        <f t="shared" si="29"/>
        <v>320208</v>
      </c>
      <c r="J173" s="4">
        <f t="shared" si="30"/>
        <v>-230246</v>
      </c>
      <c r="K173" s="25">
        <v>65086</v>
      </c>
      <c r="L173" s="18">
        <f t="shared" si="26"/>
        <v>78726</v>
      </c>
      <c r="M173" s="61">
        <f t="shared" si="31"/>
        <v>0</v>
      </c>
      <c r="N173" s="4">
        <f t="shared" si="32"/>
        <v>0</v>
      </c>
      <c r="O173" s="233">
        <f t="shared" si="33"/>
        <v>-230246</v>
      </c>
      <c r="P173" s="223">
        <f t="shared" si="34"/>
        <v>-2.9246580178025416</v>
      </c>
      <c r="Q173" s="224"/>
      <c r="R173" s="224"/>
      <c r="S173" s="225"/>
      <c r="T173" s="225"/>
      <c r="U173" s="225"/>
      <c r="V173" s="225"/>
      <c r="Z173" s="23"/>
      <c r="AA173" s="23"/>
      <c r="AB173" s="23"/>
      <c r="AC173" s="23"/>
    </row>
    <row r="174" spans="1:29" x14ac:dyDescent="0.25">
      <c r="A174" s="222">
        <f>'A) Base RI'!A176</f>
        <v>5678</v>
      </c>
      <c r="B174" s="62" t="str">
        <f>'A) Base RI'!B176</f>
        <v>Moudon</v>
      </c>
      <c r="C174" s="61">
        <f>'D) Ecrêtage'!N174</f>
        <v>119060.24706666666</v>
      </c>
      <c r="D174" s="61">
        <v>1497898</v>
      </c>
      <c r="E174" s="18">
        <v>304385</v>
      </c>
      <c r="F174" s="73">
        <v>336298</v>
      </c>
      <c r="G174" s="18">
        <f t="shared" si="27"/>
        <v>2138581</v>
      </c>
      <c r="H174" s="61">
        <f t="shared" si="28"/>
        <v>952482</v>
      </c>
      <c r="I174" s="18">
        <f t="shared" si="29"/>
        <v>1186099</v>
      </c>
      <c r="J174" s="4">
        <f t="shared" si="30"/>
        <v>-852866</v>
      </c>
      <c r="K174" s="25">
        <v>543503</v>
      </c>
      <c r="L174" s="18">
        <f t="shared" si="26"/>
        <v>119060</v>
      </c>
      <c r="M174" s="61">
        <f t="shared" si="31"/>
        <v>424443</v>
      </c>
      <c r="N174" s="4">
        <f t="shared" si="32"/>
        <v>-305196</v>
      </c>
      <c r="O174" s="233">
        <f t="shared" si="33"/>
        <v>-1158062</v>
      </c>
      <c r="P174" s="223">
        <f t="shared" si="34"/>
        <v>-9.7266890379586908</v>
      </c>
      <c r="Q174" s="224"/>
      <c r="R174" s="224"/>
      <c r="S174" s="225"/>
      <c r="T174" s="225"/>
      <c r="U174" s="225"/>
      <c r="V174" s="225"/>
      <c r="Z174" s="23"/>
      <c r="AA174" s="23"/>
      <c r="AB174" s="23"/>
      <c r="AC174" s="23"/>
    </row>
    <row r="175" spans="1:29" x14ac:dyDescent="0.25">
      <c r="A175" s="222">
        <f>'A) Base RI'!A177</f>
        <v>5680</v>
      </c>
      <c r="B175" s="62" t="str">
        <f>'A) Base RI'!B177</f>
        <v>Ogens</v>
      </c>
      <c r="C175" s="61">
        <f>'D) Ecrêtage'!N175</f>
        <v>6568.1873076923084</v>
      </c>
      <c r="D175" s="61">
        <v>99302</v>
      </c>
      <c r="E175" s="18">
        <v>7950</v>
      </c>
      <c r="F175" s="73">
        <v>23274</v>
      </c>
      <c r="G175" s="18">
        <f t="shared" si="27"/>
        <v>130526</v>
      </c>
      <c r="H175" s="61">
        <f t="shared" si="28"/>
        <v>52545</v>
      </c>
      <c r="I175" s="18">
        <f t="shared" si="29"/>
        <v>77981</v>
      </c>
      <c r="J175" s="4">
        <f t="shared" si="30"/>
        <v>-56072</v>
      </c>
      <c r="K175" s="25">
        <v>18736</v>
      </c>
      <c r="L175" s="18">
        <f t="shared" si="26"/>
        <v>6568</v>
      </c>
      <c r="M175" s="61">
        <f t="shared" si="31"/>
        <v>12168</v>
      </c>
      <c r="N175" s="4">
        <f t="shared" si="32"/>
        <v>-8749</v>
      </c>
      <c r="O175" s="233">
        <f t="shared" si="33"/>
        <v>-64821</v>
      </c>
      <c r="P175" s="223">
        <f t="shared" si="34"/>
        <v>-9.868932928280703</v>
      </c>
      <c r="Q175" s="224"/>
      <c r="R175" s="224"/>
      <c r="S175" s="225"/>
      <c r="T175" s="225"/>
      <c r="U175" s="225"/>
      <c r="V175" s="225"/>
      <c r="Z175" s="23"/>
      <c r="AA175" s="23"/>
      <c r="AB175" s="23"/>
      <c r="AC175" s="23"/>
    </row>
    <row r="176" spans="1:29" x14ac:dyDescent="0.25">
      <c r="A176" s="222">
        <f>'A) Base RI'!A178</f>
        <v>5683</v>
      </c>
      <c r="B176" s="62" t="str">
        <f>'A) Base RI'!B178</f>
        <v>Prévonloup</v>
      </c>
      <c r="C176" s="61">
        <f>'D) Ecrêtage'!N176</f>
        <v>3760.4979729729735</v>
      </c>
      <c r="D176" s="61">
        <v>111856</v>
      </c>
      <c r="E176" s="18">
        <v>3330</v>
      </c>
      <c r="F176" s="73">
        <v>12286</v>
      </c>
      <c r="G176" s="18">
        <f t="shared" si="27"/>
        <v>127472</v>
      </c>
      <c r="H176" s="61">
        <f t="shared" si="28"/>
        <v>30084</v>
      </c>
      <c r="I176" s="18">
        <f t="shared" si="29"/>
        <v>97388</v>
      </c>
      <c r="J176" s="4">
        <f t="shared" si="30"/>
        <v>-70027</v>
      </c>
      <c r="K176" s="25">
        <v>2341</v>
      </c>
      <c r="L176" s="18">
        <f t="shared" si="26"/>
        <v>3760</v>
      </c>
      <c r="M176" s="61">
        <f t="shared" si="31"/>
        <v>0</v>
      </c>
      <c r="N176" s="4">
        <f t="shared" si="32"/>
        <v>0</v>
      </c>
      <c r="O176" s="233">
        <f t="shared" si="33"/>
        <v>-70027</v>
      </c>
      <c r="P176" s="223">
        <f t="shared" si="34"/>
        <v>-18.621735872028161</v>
      </c>
      <c r="Q176" s="224"/>
      <c r="R176" s="224"/>
      <c r="S176" s="225"/>
      <c r="T176" s="225"/>
      <c r="U176" s="225"/>
      <c r="V176" s="225"/>
      <c r="Z176" s="23"/>
      <c r="AA176" s="23"/>
      <c r="AB176" s="23"/>
      <c r="AC176" s="23"/>
    </row>
    <row r="177" spans="1:29" x14ac:dyDescent="0.25">
      <c r="A177" s="222">
        <f>'A) Base RI'!A179</f>
        <v>5684</v>
      </c>
      <c r="B177" s="62" t="str">
        <f>'A) Base RI'!B179</f>
        <v>Rossenges</v>
      </c>
      <c r="C177" s="61">
        <f>'D) Ecrêtage'!N177</f>
        <v>1257.3034166666666</v>
      </c>
      <c r="D177" s="61">
        <v>7284</v>
      </c>
      <c r="E177" s="18">
        <v>1332</v>
      </c>
      <c r="F177" s="73">
        <v>3584</v>
      </c>
      <c r="G177" s="18">
        <f t="shared" si="27"/>
        <v>12200</v>
      </c>
      <c r="H177" s="61">
        <f t="shared" si="28"/>
        <v>10058</v>
      </c>
      <c r="I177" s="18">
        <f t="shared" si="29"/>
        <v>2142</v>
      </c>
      <c r="J177" s="4">
        <f t="shared" si="30"/>
        <v>-1540</v>
      </c>
      <c r="K177" s="25">
        <v>145</v>
      </c>
      <c r="L177" s="18">
        <f t="shared" si="26"/>
        <v>1257</v>
      </c>
      <c r="M177" s="61">
        <f t="shared" si="31"/>
        <v>0</v>
      </c>
      <c r="N177" s="4">
        <f t="shared" si="32"/>
        <v>0</v>
      </c>
      <c r="O177" s="233">
        <f t="shared" si="33"/>
        <v>-1540</v>
      </c>
      <c r="P177" s="223">
        <f t="shared" si="34"/>
        <v>-1.2248435656707368</v>
      </c>
      <c r="Q177" s="224"/>
      <c r="R177" s="224"/>
      <c r="S177" s="225"/>
      <c r="T177" s="225"/>
      <c r="U177" s="225"/>
      <c r="V177" s="225"/>
      <c r="Z177" s="23"/>
      <c r="AA177" s="23"/>
      <c r="AB177" s="23"/>
      <c r="AC177" s="23"/>
    </row>
    <row r="178" spans="1:29" x14ac:dyDescent="0.25">
      <c r="A178" s="222">
        <f>'A) Base RI'!A180</f>
        <v>5686</v>
      </c>
      <c r="B178" s="62" t="str">
        <f>'A) Base RI'!B180</f>
        <v>Sarzens</v>
      </c>
      <c r="C178" s="61">
        <f>'D) Ecrêtage'!N178</f>
        <v>1531.7207894736844</v>
      </c>
      <c r="D178" s="61">
        <v>741</v>
      </c>
      <c r="E178" s="18">
        <v>1842</v>
      </c>
      <c r="F178" s="73">
        <v>5177</v>
      </c>
      <c r="G178" s="18">
        <f t="shared" si="27"/>
        <v>7760</v>
      </c>
      <c r="H178" s="61">
        <f t="shared" si="28"/>
        <v>12254</v>
      </c>
      <c r="I178" s="18">
        <f t="shared" si="29"/>
        <v>0</v>
      </c>
      <c r="J178" s="4">
        <f t="shared" si="30"/>
        <v>0</v>
      </c>
      <c r="K178" s="25">
        <v>144</v>
      </c>
      <c r="L178" s="18">
        <f t="shared" si="26"/>
        <v>1532</v>
      </c>
      <c r="M178" s="61">
        <f t="shared" si="31"/>
        <v>0</v>
      </c>
      <c r="N178" s="4">
        <f t="shared" si="32"/>
        <v>0</v>
      </c>
      <c r="O178" s="233">
        <f t="shared" si="33"/>
        <v>0</v>
      </c>
      <c r="P178" s="223">
        <f t="shared" si="34"/>
        <v>0</v>
      </c>
      <c r="Q178" s="224"/>
      <c r="R178" s="224"/>
      <c r="S178" s="225"/>
      <c r="T178" s="225"/>
      <c r="U178" s="225"/>
      <c r="V178" s="225"/>
      <c r="Z178" s="23"/>
      <c r="AA178" s="23"/>
      <c r="AB178" s="23"/>
      <c r="AC178" s="23"/>
    </row>
    <row r="179" spans="1:29" x14ac:dyDescent="0.25">
      <c r="A179" s="222">
        <f>'A) Base RI'!A181</f>
        <v>5688</v>
      </c>
      <c r="B179" s="62" t="str">
        <f>'A) Base RI'!B181</f>
        <v>Syens</v>
      </c>
      <c r="C179" s="61">
        <f>'D) Ecrêtage'!N179</f>
        <v>4602.8089947089957</v>
      </c>
      <c r="D179" s="61">
        <v>13331</v>
      </c>
      <c r="E179" s="18">
        <v>4595</v>
      </c>
      <c r="F179" s="73">
        <v>6488</v>
      </c>
      <c r="G179" s="18">
        <f t="shared" si="27"/>
        <v>24414</v>
      </c>
      <c r="H179" s="61">
        <f t="shared" si="28"/>
        <v>36822</v>
      </c>
      <c r="I179" s="18">
        <f t="shared" si="29"/>
        <v>0</v>
      </c>
      <c r="J179" s="4">
        <f t="shared" si="30"/>
        <v>0</v>
      </c>
      <c r="K179" s="25">
        <v>3388</v>
      </c>
      <c r="L179" s="18">
        <f t="shared" si="26"/>
        <v>4603</v>
      </c>
      <c r="M179" s="61">
        <f t="shared" si="31"/>
        <v>0</v>
      </c>
      <c r="N179" s="4">
        <f t="shared" si="32"/>
        <v>0</v>
      </c>
      <c r="O179" s="233">
        <f t="shared" si="33"/>
        <v>0</v>
      </c>
      <c r="P179" s="223">
        <f t="shared" si="34"/>
        <v>0</v>
      </c>
      <c r="Q179" s="224"/>
      <c r="R179" s="224"/>
      <c r="S179" s="225"/>
      <c r="T179" s="225"/>
      <c r="U179" s="225"/>
      <c r="V179" s="225"/>
      <c r="Z179" s="23"/>
      <c r="AA179" s="23"/>
      <c r="AB179" s="23"/>
      <c r="AC179" s="23"/>
    </row>
    <row r="180" spans="1:29" x14ac:dyDescent="0.25">
      <c r="A180" s="222">
        <f>'A) Base RI'!A182</f>
        <v>5690</v>
      </c>
      <c r="B180" s="62" t="str">
        <f>'A) Base RI'!B182</f>
        <v>Villars-le-Comte</v>
      </c>
      <c r="C180" s="61">
        <f>'D) Ecrêtage'!N180</f>
        <v>3143.0732894736843</v>
      </c>
      <c r="D180" s="61">
        <v>8069</v>
      </c>
      <c r="E180" s="18">
        <v>3463</v>
      </c>
      <c r="F180" s="73">
        <v>8088</v>
      </c>
      <c r="G180" s="18">
        <f t="shared" si="27"/>
        <v>19620</v>
      </c>
      <c r="H180" s="61">
        <f t="shared" si="28"/>
        <v>25145</v>
      </c>
      <c r="I180" s="18">
        <f t="shared" si="29"/>
        <v>0</v>
      </c>
      <c r="J180" s="4">
        <f t="shared" si="30"/>
        <v>0</v>
      </c>
      <c r="K180" s="25">
        <v>4050</v>
      </c>
      <c r="L180" s="18">
        <f t="shared" si="26"/>
        <v>3143</v>
      </c>
      <c r="M180" s="61">
        <f t="shared" si="31"/>
        <v>907</v>
      </c>
      <c r="N180" s="4">
        <f t="shared" si="32"/>
        <v>-652</v>
      </c>
      <c r="O180" s="233">
        <f t="shared" si="33"/>
        <v>-652</v>
      </c>
      <c r="P180" s="223">
        <f t="shared" si="34"/>
        <v>-0.20744027897267997</v>
      </c>
      <c r="Q180" s="224"/>
      <c r="R180" s="224"/>
      <c r="S180" s="225"/>
      <c r="T180" s="225"/>
      <c r="U180" s="225"/>
      <c r="V180" s="225"/>
      <c r="Z180" s="23"/>
      <c r="AA180" s="23"/>
      <c r="AB180" s="23"/>
      <c r="AC180" s="23"/>
    </row>
    <row r="181" spans="1:29" x14ac:dyDescent="0.25">
      <c r="A181" s="222">
        <f>'A) Base RI'!A183</f>
        <v>5692</v>
      </c>
      <c r="B181" s="62" t="str">
        <f>'A) Base RI'!B183</f>
        <v>Vucherens</v>
      </c>
      <c r="C181" s="61">
        <f>'D) Ecrêtage'!N181</f>
        <v>15992.362531645569</v>
      </c>
      <c r="D181" s="61">
        <v>50679</v>
      </c>
      <c r="E181" s="18">
        <v>16848</v>
      </c>
      <c r="F181" s="73">
        <v>58587</v>
      </c>
      <c r="G181" s="18">
        <f t="shared" si="27"/>
        <v>126114</v>
      </c>
      <c r="H181" s="61">
        <f t="shared" si="28"/>
        <v>127939</v>
      </c>
      <c r="I181" s="18">
        <f t="shared" si="29"/>
        <v>0</v>
      </c>
      <c r="J181" s="4">
        <f t="shared" si="30"/>
        <v>0</v>
      </c>
      <c r="K181" s="25">
        <v>-20791</v>
      </c>
      <c r="L181" s="18">
        <f t="shared" si="26"/>
        <v>15992</v>
      </c>
      <c r="M181" s="61">
        <f t="shared" si="31"/>
        <v>0</v>
      </c>
      <c r="N181" s="4">
        <f t="shared" si="32"/>
        <v>0</v>
      </c>
      <c r="O181" s="233">
        <f t="shared" si="33"/>
        <v>0</v>
      </c>
      <c r="P181" s="223">
        <f t="shared" si="34"/>
        <v>0</v>
      </c>
      <c r="Q181" s="224"/>
      <c r="R181" s="224"/>
      <c r="S181" s="225"/>
      <c r="T181" s="225"/>
      <c r="U181" s="225"/>
      <c r="V181" s="225"/>
      <c r="Z181" s="23"/>
      <c r="AA181" s="23"/>
      <c r="AB181" s="23"/>
      <c r="AC181" s="23"/>
    </row>
    <row r="182" spans="1:29" x14ac:dyDescent="0.25">
      <c r="A182" s="222">
        <f>'A) Base RI'!A184</f>
        <v>5693</v>
      </c>
      <c r="B182" s="62" t="str">
        <f>'A) Base RI'!B184</f>
        <v>Montanaire</v>
      </c>
      <c r="C182" s="61">
        <f>'D) Ecrêtage'!N182</f>
        <v>59073.542638888895</v>
      </c>
      <c r="D182" s="61">
        <v>376665</v>
      </c>
      <c r="E182" s="18">
        <v>53030</v>
      </c>
      <c r="F182" s="73">
        <v>205932</v>
      </c>
      <c r="G182" s="18">
        <f t="shared" si="27"/>
        <v>635627</v>
      </c>
      <c r="H182" s="61">
        <f>ROUND(C182*I$4,0)</f>
        <v>472588</v>
      </c>
      <c r="I182" s="18">
        <f>IF(G182&gt;H182,G182-H182,0)</f>
        <v>163039</v>
      </c>
      <c r="J182" s="4">
        <f t="shared" si="30"/>
        <v>-117233</v>
      </c>
      <c r="K182" s="25">
        <v>116937</v>
      </c>
      <c r="L182" s="18">
        <f t="shared" si="26"/>
        <v>59074</v>
      </c>
      <c r="M182" s="61">
        <f>IF(K182&gt;L182,K182-L182,0)</f>
        <v>57863</v>
      </c>
      <c r="N182" s="4">
        <f t="shared" si="32"/>
        <v>-41606</v>
      </c>
      <c r="O182" s="233">
        <f>N182+J182</f>
        <v>-158839</v>
      </c>
      <c r="P182" s="223">
        <f>O182/C182</f>
        <v>-2.6888348472846486</v>
      </c>
      <c r="Q182" s="224"/>
      <c r="R182" s="224"/>
      <c r="S182" s="225"/>
      <c r="T182" s="225"/>
      <c r="U182" s="225"/>
      <c r="V182" s="225"/>
      <c r="Z182" s="23"/>
      <c r="AA182" s="23"/>
      <c r="AB182" s="23"/>
      <c r="AC182" s="23"/>
    </row>
    <row r="183" spans="1:29" x14ac:dyDescent="0.25">
      <c r="A183" s="222">
        <f>'A) Base RI'!A185</f>
        <v>5701</v>
      </c>
      <c r="B183" s="62" t="str">
        <f>'A) Base RI'!B185</f>
        <v>Arnex-sur-Nyon</v>
      </c>
      <c r="C183" s="61">
        <f>'D) Ecrêtage'!N183</f>
        <v>12877.220634577323</v>
      </c>
      <c r="D183" s="61">
        <v>2808</v>
      </c>
      <c r="E183" s="18">
        <v>6473</v>
      </c>
      <c r="F183" s="73">
        <v>34502</v>
      </c>
      <c r="G183" s="18">
        <f t="shared" si="27"/>
        <v>43783</v>
      </c>
      <c r="H183" s="61">
        <f>ROUND(C183*I$4,0)</f>
        <v>103018</v>
      </c>
      <c r="I183" s="18">
        <f>IF(G183&gt;H183,G183-H183,0)</f>
        <v>0</v>
      </c>
      <c r="J183" s="4">
        <f t="shared" si="30"/>
        <v>0</v>
      </c>
      <c r="K183" s="25">
        <v>-100</v>
      </c>
      <c r="L183" s="18">
        <f t="shared" si="26"/>
        <v>12877</v>
      </c>
      <c r="M183" s="61">
        <f t="shared" si="31"/>
        <v>0</v>
      </c>
      <c r="N183" s="4">
        <f t="shared" si="32"/>
        <v>0</v>
      </c>
      <c r="O183" s="233">
        <f t="shared" si="33"/>
        <v>0</v>
      </c>
      <c r="P183" s="223">
        <f t="shared" si="34"/>
        <v>0</v>
      </c>
      <c r="Q183" s="224"/>
      <c r="R183" s="224"/>
      <c r="S183" s="225"/>
      <c r="T183" s="225"/>
      <c r="U183" s="225"/>
      <c r="V183" s="225"/>
      <c r="Z183" s="23"/>
      <c r="AA183" s="23"/>
      <c r="AB183" s="23"/>
      <c r="AC183" s="23"/>
    </row>
    <row r="184" spans="1:29" x14ac:dyDescent="0.25">
      <c r="A184" s="222">
        <f>'A) Base RI'!A186</f>
        <v>5702</v>
      </c>
      <c r="B184" s="62" t="str">
        <f>'A) Base RI'!B186</f>
        <v>Arzier-Le Muids</v>
      </c>
      <c r="C184" s="61">
        <f>'D) Ecrêtage'!N184</f>
        <v>123913.10833333334</v>
      </c>
      <c r="D184" s="61">
        <v>689891</v>
      </c>
      <c r="E184" s="18">
        <v>211174</v>
      </c>
      <c r="F184" s="73">
        <v>106595</v>
      </c>
      <c r="G184" s="18">
        <f t="shared" si="27"/>
        <v>1007660</v>
      </c>
      <c r="H184" s="61">
        <f t="shared" si="28"/>
        <v>991305</v>
      </c>
      <c r="I184" s="18">
        <f t="shared" si="29"/>
        <v>16355</v>
      </c>
      <c r="J184" s="4">
        <f t="shared" si="30"/>
        <v>-11760</v>
      </c>
      <c r="K184" s="25">
        <v>570302</v>
      </c>
      <c r="L184" s="18">
        <f t="shared" si="26"/>
        <v>123913</v>
      </c>
      <c r="M184" s="61">
        <f t="shared" si="31"/>
        <v>446389</v>
      </c>
      <c r="N184" s="4">
        <f t="shared" si="32"/>
        <v>-320977</v>
      </c>
      <c r="O184" s="233">
        <f t="shared" si="33"/>
        <v>-332737</v>
      </c>
      <c r="P184" s="223">
        <f t="shared" si="34"/>
        <v>-2.6852445594772627</v>
      </c>
      <c r="Q184" s="224"/>
      <c r="R184" s="224"/>
      <c r="S184" s="225"/>
      <c r="T184" s="225"/>
      <c r="U184" s="225"/>
      <c r="V184" s="225"/>
      <c r="Z184" s="23"/>
      <c r="AA184" s="23"/>
      <c r="AB184" s="23"/>
      <c r="AC184" s="23"/>
    </row>
    <row r="185" spans="1:29" x14ac:dyDescent="0.25">
      <c r="A185" s="222">
        <f>'A) Base RI'!A187</f>
        <v>5703</v>
      </c>
      <c r="B185" s="62" t="str">
        <f>'A) Base RI'!B187</f>
        <v>Bassins</v>
      </c>
      <c r="C185" s="61">
        <f>'D) Ecrêtage'!N185</f>
        <v>52680.758714285716</v>
      </c>
      <c r="D185" s="61">
        <v>244852</v>
      </c>
      <c r="E185" s="18">
        <v>154290</v>
      </c>
      <c r="F185" s="73">
        <v>162999</v>
      </c>
      <c r="G185" s="18">
        <f t="shared" si="27"/>
        <v>562141</v>
      </c>
      <c r="H185" s="61">
        <f t="shared" si="28"/>
        <v>421446</v>
      </c>
      <c r="I185" s="18">
        <f t="shared" si="29"/>
        <v>140695</v>
      </c>
      <c r="J185" s="4">
        <f t="shared" si="30"/>
        <v>-101167</v>
      </c>
      <c r="K185" s="25">
        <v>280789</v>
      </c>
      <c r="L185" s="18">
        <f t="shared" si="26"/>
        <v>52681</v>
      </c>
      <c r="M185" s="61">
        <f t="shared" si="31"/>
        <v>228108</v>
      </c>
      <c r="N185" s="4">
        <f t="shared" si="32"/>
        <v>-164021</v>
      </c>
      <c r="O185" s="233">
        <f t="shared" si="33"/>
        <v>-265188</v>
      </c>
      <c r="P185" s="223">
        <f t="shared" si="34"/>
        <v>-5.033868275099227</v>
      </c>
      <c r="Q185" s="224"/>
      <c r="R185" s="224"/>
      <c r="S185" s="225"/>
      <c r="T185" s="225"/>
      <c r="U185" s="225"/>
      <c r="V185" s="225"/>
      <c r="Z185" s="23"/>
      <c r="AA185" s="23"/>
      <c r="AB185" s="23"/>
      <c r="AC185" s="23"/>
    </row>
    <row r="186" spans="1:29" x14ac:dyDescent="0.25">
      <c r="A186" s="222">
        <f>'A) Base RI'!A188</f>
        <v>5704</v>
      </c>
      <c r="B186" s="62" t="str">
        <f>'A) Base RI'!B188</f>
        <v>Begnins</v>
      </c>
      <c r="C186" s="61">
        <f>'D) Ecrêtage'!N186</f>
        <v>96844.377238102184</v>
      </c>
      <c r="D186" s="61">
        <v>496314</v>
      </c>
      <c r="E186" s="18">
        <v>55796</v>
      </c>
      <c r="F186" s="73">
        <v>174263</v>
      </c>
      <c r="G186" s="18">
        <f t="shared" si="27"/>
        <v>726373</v>
      </c>
      <c r="H186" s="61">
        <f t="shared" si="28"/>
        <v>774755</v>
      </c>
      <c r="I186" s="18">
        <f t="shared" si="29"/>
        <v>0</v>
      </c>
      <c r="J186" s="4">
        <f t="shared" si="30"/>
        <v>0</v>
      </c>
      <c r="K186" s="25">
        <v>42261</v>
      </c>
      <c r="L186" s="18">
        <f t="shared" si="26"/>
        <v>96844</v>
      </c>
      <c r="M186" s="61">
        <f t="shared" si="31"/>
        <v>0</v>
      </c>
      <c r="N186" s="4">
        <f t="shared" si="32"/>
        <v>0</v>
      </c>
      <c r="O186" s="233">
        <f t="shared" si="33"/>
        <v>0</v>
      </c>
      <c r="P186" s="223">
        <f t="shared" si="34"/>
        <v>0</v>
      </c>
      <c r="Q186" s="224"/>
      <c r="R186" s="224"/>
      <c r="S186" s="225"/>
      <c r="T186" s="225"/>
      <c r="U186" s="225"/>
      <c r="V186" s="225"/>
      <c r="Z186" s="23"/>
      <c r="AA186" s="23"/>
      <c r="AB186" s="23"/>
      <c r="AC186" s="23"/>
    </row>
    <row r="187" spans="1:29" x14ac:dyDescent="0.25">
      <c r="A187" s="222">
        <f>'A) Base RI'!A189</f>
        <v>5705</v>
      </c>
      <c r="B187" s="62" t="str">
        <f>'A) Base RI'!B189</f>
        <v>Bogis-Bossey</v>
      </c>
      <c r="C187" s="61">
        <f>'D) Ecrêtage'!N187</f>
        <v>43467.757968750004</v>
      </c>
      <c r="D187" s="61">
        <v>111417</v>
      </c>
      <c r="E187" s="18">
        <v>29852</v>
      </c>
      <c r="F187" s="73">
        <v>63868</v>
      </c>
      <c r="G187" s="18">
        <f t="shared" si="27"/>
        <v>205137</v>
      </c>
      <c r="H187" s="61">
        <f t="shared" si="28"/>
        <v>347742</v>
      </c>
      <c r="I187" s="18">
        <f t="shared" si="29"/>
        <v>0</v>
      </c>
      <c r="J187" s="4">
        <f t="shared" si="30"/>
        <v>0</v>
      </c>
      <c r="K187" s="25">
        <v>3280</v>
      </c>
      <c r="L187" s="18">
        <f t="shared" si="26"/>
        <v>43468</v>
      </c>
      <c r="M187" s="61">
        <f t="shared" si="31"/>
        <v>0</v>
      </c>
      <c r="N187" s="4">
        <f t="shared" si="32"/>
        <v>0</v>
      </c>
      <c r="O187" s="233">
        <f t="shared" si="33"/>
        <v>0</v>
      </c>
      <c r="P187" s="223">
        <f t="shared" si="34"/>
        <v>0</v>
      </c>
      <c r="Q187" s="224"/>
      <c r="R187" s="224"/>
      <c r="S187" s="225"/>
      <c r="T187" s="225"/>
      <c r="U187" s="225"/>
      <c r="V187" s="225"/>
      <c r="Z187" s="23"/>
      <c r="AA187" s="23"/>
      <c r="AB187" s="23"/>
      <c r="AC187" s="23"/>
    </row>
    <row r="188" spans="1:29" x14ac:dyDescent="0.25">
      <c r="A188" s="222">
        <f>'A) Base RI'!A190</f>
        <v>5706</v>
      </c>
      <c r="B188" s="62" t="str">
        <f>'A) Base RI'!B190</f>
        <v>Borex</v>
      </c>
      <c r="C188" s="61">
        <f>'D) Ecrêtage'!N188</f>
        <v>73959.517893209413</v>
      </c>
      <c r="D188" s="61">
        <v>529206</v>
      </c>
      <c r="E188" s="18">
        <v>30626</v>
      </c>
      <c r="F188" s="73">
        <v>135898</v>
      </c>
      <c r="G188" s="18">
        <f t="shared" si="27"/>
        <v>695730</v>
      </c>
      <c r="H188" s="61">
        <f t="shared" si="28"/>
        <v>591676</v>
      </c>
      <c r="I188" s="18">
        <f t="shared" si="29"/>
        <v>104054</v>
      </c>
      <c r="J188" s="4">
        <f t="shared" si="30"/>
        <v>-74820</v>
      </c>
      <c r="K188" s="25">
        <v>0</v>
      </c>
      <c r="L188" s="18">
        <f t="shared" si="26"/>
        <v>73960</v>
      </c>
      <c r="M188" s="61">
        <f t="shared" si="31"/>
        <v>0</v>
      </c>
      <c r="N188" s="4">
        <f t="shared" si="32"/>
        <v>0</v>
      </c>
      <c r="O188" s="233">
        <f t="shared" si="33"/>
        <v>-74820</v>
      </c>
      <c r="P188" s="223">
        <f t="shared" si="34"/>
        <v>-1.0116345012961421</v>
      </c>
      <c r="Q188" s="224"/>
      <c r="R188" s="224"/>
      <c r="S188" s="225"/>
      <c r="T188" s="225"/>
      <c r="U188" s="225"/>
      <c r="V188" s="225"/>
      <c r="Z188" s="23"/>
      <c r="AA188" s="23"/>
      <c r="AB188" s="23"/>
      <c r="AC188" s="23"/>
    </row>
    <row r="189" spans="1:29" x14ac:dyDescent="0.25">
      <c r="A189" s="222">
        <f>'A) Base RI'!A191</f>
        <v>5707</v>
      </c>
      <c r="B189" s="62" t="str">
        <f>'A) Base RI'!B191</f>
        <v>Chavannes-de-Bogis</v>
      </c>
      <c r="C189" s="61">
        <f>'D) Ecrêtage'!N189</f>
        <v>83046.071989492659</v>
      </c>
      <c r="D189" s="61">
        <v>287752</v>
      </c>
      <c r="E189" s="18">
        <v>39850</v>
      </c>
      <c r="F189" s="73">
        <v>74262</v>
      </c>
      <c r="G189" s="18">
        <f t="shared" si="27"/>
        <v>401864</v>
      </c>
      <c r="H189" s="61">
        <f t="shared" si="28"/>
        <v>664369</v>
      </c>
      <c r="I189" s="18">
        <f t="shared" si="29"/>
        <v>0</v>
      </c>
      <c r="J189" s="4">
        <f t="shared" si="30"/>
        <v>0</v>
      </c>
      <c r="K189" s="25">
        <v>6870</v>
      </c>
      <c r="L189" s="18">
        <f t="shared" si="26"/>
        <v>83046</v>
      </c>
      <c r="M189" s="61">
        <f t="shared" si="31"/>
        <v>0</v>
      </c>
      <c r="N189" s="4">
        <f t="shared" si="32"/>
        <v>0</v>
      </c>
      <c r="O189" s="233">
        <f t="shared" si="33"/>
        <v>0</v>
      </c>
      <c r="P189" s="223">
        <f t="shared" si="34"/>
        <v>0</v>
      </c>
      <c r="Q189" s="224"/>
      <c r="R189" s="224"/>
      <c r="S189" s="225"/>
      <c r="T189" s="225"/>
      <c r="U189" s="225"/>
      <c r="V189" s="225"/>
      <c r="Z189" s="23"/>
      <c r="AA189" s="23"/>
      <c r="AB189" s="23"/>
      <c r="AC189" s="23"/>
    </row>
    <row r="190" spans="1:29" x14ac:dyDescent="0.25">
      <c r="A190" s="222">
        <f>'A) Base RI'!A192</f>
        <v>5708</v>
      </c>
      <c r="B190" s="62" t="str">
        <f>'A) Base RI'!B192</f>
        <v>Chavannes-des-Bois</v>
      </c>
      <c r="C190" s="61">
        <f>'D) Ecrêtage'!N190</f>
        <v>53850.357898268448</v>
      </c>
      <c r="D190" s="61">
        <v>91339</v>
      </c>
      <c r="E190" s="18">
        <v>17510</v>
      </c>
      <c r="F190" s="73">
        <v>104162</v>
      </c>
      <c r="G190" s="18">
        <f t="shared" si="27"/>
        <v>213011</v>
      </c>
      <c r="H190" s="61">
        <f t="shared" si="28"/>
        <v>430803</v>
      </c>
      <c r="I190" s="18">
        <f t="shared" si="29"/>
        <v>0</v>
      </c>
      <c r="J190" s="4">
        <f t="shared" si="30"/>
        <v>0</v>
      </c>
      <c r="K190" s="25">
        <v>0</v>
      </c>
      <c r="L190" s="18">
        <f t="shared" si="26"/>
        <v>53850</v>
      </c>
      <c r="M190" s="61">
        <f t="shared" si="31"/>
        <v>0</v>
      </c>
      <c r="N190" s="4">
        <f t="shared" si="32"/>
        <v>0</v>
      </c>
      <c r="O190" s="233">
        <f t="shared" si="33"/>
        <v>0</v>
      </c>
      <c r="P190" s="223">
        <f t="shared" si="34"/>
        <v>0</v>
      </c>
      <c r="Q190" s="224"/>
      <c r="R190" s="224"/>
      <c r="S190" s="225"/>
      <c r="T190" s="225"/>
      <c r="U190" s="225"/>
      <c r="V190" s="225"/>
      <c r="Z190" s="23"/>
      <c r="AA190" s="23"/>
      <c r="AB190" s="23"/>
      <c r="AC190" s="23"/>
    </row>
    <row r="191" spans="1:29" x14ac:dyDescent="0.25">
      <c r="A191" s="222">
        <f>'A) Base RI'!A193</f>
        <v>5709</v>
      </c>
      <c r="B191" s="62" t="str">
        <f>'A) Base RI'!B193</f>
        <v>Chéserex</v>
      </c>
      <c r="C191" s="61">
        <f>'D) Ecrêtage'!N191</f>
        <v>108302.70031303026</v>
      </c>
      <c r="D191" s="61">
        <v>360178</v>
      </c>
      <c r="E191" s="18">
        <v>41493</v>
      </c>
      <c r="F191" s="73">
        <v>195297</v>
      </c>
      <c r="G191" s="18">
        <f t="shared" si="27"/>
        <v>596968</v>
      </c>
      <c r="H191" s="61">
        <f t="shared" si="28"/>
        <v>866422</v>
      </c>
      <c r="I191" s="18">
        <f t="shared" si="29"/>
        <v>0</v>
      </c>
      <c r="J191" s="4">
        <f t="shared" si="30"/>
        <v>0</v>
      </c>
      <c r="K191" s="25">
        <v>69275</v>
      </c>
      <c r="L191" s="18">
        <f t="shared" si="26"/>
        <v>108303</v>
      </c>
      <c r="M191" s="61">
        <f t="shared" si="31"/>
        <v>0</v>
      </c>
      <c r="N191" s="4">
        <f t="shared" si="32"/>
        <v>0</v>
      </c>
      <c r="O191" s="233">
        <f t="shared" si="33"/>
        <v>0</v>
      </c>
      <c r="P191" s="223">
        <f t="shared" si="34"/>
        <v>0</v>
      </c>
      <c r="Q191" s="224"/>
      <c r="R191" s="224"/>
      <c r="S191" s="225"/>
      <c r="T191" s="225"/>
      <c r="U191" s="225"/>
      <c r="V191" s="225"/>
      <c r="Z191" s="23"/>
      <c r="AA191" s="23"/>
      <c r="AB191" s="23"/>
      <c r="AC191" s="23"/>
    </row>
    <row r="192" spans="1:29" x14ac:dyDescent="0.25">
      <c r="A192" s="222">
        <f>'A) Base RI'!A194</f>
        <v>5710</v>
      </c>
      <c r="B192" s="62" t="str">
        <f>'A) Base RI'!B194</f>
        <v>Coinsins</v>
      </c>
      <c r="C192" s="61">
        <f>'D) Ecrêtage'!N192</f>
        <v>56105.937023684404</v>
      </c>
      <c r="D192" s="61">
        <v>125041</v>
      </c>
      <c r="E192" s="18">
        <v>13422</v>
      </c>
      <c r="F192" s="73">
        <v>44218</v>
      </c>
      <c r="G192" s="18">
        <f t="shared" si="27"/>
        <v>182681</v>
      </c>
      <c r="H192" s="61">
        <f t="shared" si="28"/>
        <v>448847</v>
      </c>
      <c r="I192" s="18">
        <f t="shared" si="29"/>
        <v>0</v>
      </c>
      <c r="J192" s="4">
        <f t="shared" si="30"/>
        <v>0</v>
      </c>
      <c r="K192" s="25">
        <v>6202</v>
      </c>
      <c r="L192" s="18">
        <f t="shared" si="26"/>
        <v>56106</v>
      </c>
      <c r="M192" s="61">
        <f t="shared" si="31"/>
        <v>0</v>
      </c>
      <c r="N192" s="4">
        <f t="shared" si="32"/>
        <v>0</v>
      </c>
      <c r="O192" s="233">
        <f t="shared" si="33"/>
        <v>0</v>
      </c>
      <c r="P192" s="223">
        <f t="shared" si="34"/>
        <v>0</v>
      </c>
      <c r="Q192" s="224"/>
      <c r="R192" s="224"/>
      <c r="S192" s="225"/>
      <c r="T192" s="225"/>
      <c r="U192" s="225"/>
      <c r="V192" s="225"/>
      <c r="Z192" s="23"/>
      <c r="AA192" s="23"/>
      <c r="AB192" s="23"/>
      <c r="AC192" s="23"/>
    </row>
    <row r="193" spans="1:29" x14ac:dyDescent="0.25">
      <c r="A193" s="222">
        <f>'A) Base RI'!A195</f>
        <v>5711</v>
      </c>
      <c r="B193" s="62" t="str">
        <f>'A) Base RI'!B195</f>
        <v>Commugny</v>
      </c>
      <c r="C193" s="61">
        <f>'D) Ecrêtage'!N193</f>
        <v>194635.01689141191</v>
      </c>
      <c r="D193" s="61">
        <v>511177</v>
      </c>
      <c r="E193" s="18">
        <v>115571</v>
      </c>
      <c r="F193" s="73">
        <v>185712</v>
      </c>
      <c r="G193" s="18">
        <f t="shared" si="27"/>
        <v>812460</v>
      </c>
      <c r="H193" s="61">
        <f t="shared" si="28"/>
        <v>1557080</v>
      </c>
      <c r="I193" s="18">
        <f t="shared" si="29"/>
        <v>0</v>
      </c>
      <c r="J193" s="4">
        <f t="shared" si="30"/>
        <v>0</v>
      </c>
      <c r="K193" s="25">
        <v>0</v>
      </c>
      <c r="L193" s="18">
        <f t="shared" si="26"/>
        <v>194635</v>
      </c>
      <c r="M193" s="61">
        <f t="shared" si="31"/>
        <v>0</v>
      </c>
      <c r="N193" s="4">
        <f t="shared" si="32"/>
        <v>0</v>
      </c>
      <c r="O193" s="233">
        <f t="shared" si="33"/>
        <v>0</v>
      </c>
      <c r="P193" s="223">
        <f t="shared" si="34"/>
        <v>0</v>
      </c>
      <c r="Q193" s="224"/>
      <c r="R193" s="224"/>
      <c r="S193" s="225"/>
      <c r="T193" s="225"/>
      <c r="U193" s="225"/>
      <c r="V193" s="225"/>
      <c r="Z193" s="23"/>
      <c r="AA193" s="23"/>
      <c r="AB193" s="23"/>
      <c r="AC193" s="23"/>
    </row>
    <row r="194" spans="1:29" x14ac:dyDescent="0.25">
      <c r="A194" s="222">
        <f>'A) Base RI'!A196</f>
        <v>5712</v>
      </c>
      <c r="B194" s="62" t="str">
        <f>'A) Base RI'!B196</f>
        <v>Coppet</v>
      </c>
      <c r="C194" s="61">
        <f>'D) Ecrêtage'!N194</f>
        <v>232817.25798164154</v>
      </c>
      <c r="D194" s="61">
        <v>451844</v>
      </c>
      <c r="E194" s="18">
        <v>261023</v>
      </c>
      <c r="F194" s="73">
        <v>199892</v>
      </c>
      <c r="G194" s="18">
        <f t="shared" si="27"/>
        <v>912759</v>
      </c>
      <c r="H194" s="61">
        <f t="shared" si="28"/>
        <v>1862538</v>
      </c>
      <c r="I194" s="18">
        <f t="shared" si="29"/>
        <v>0</v>
      </c>
      <c r="J194" s="4">
        <f t="shared" si="30"/>
        <v>0</v>
      </c>
      <c r="K194" s="25">
        <v>0</v>
      </c>
      <c r="L194" s="18">
        <f t="shared" si="26"/>
        <v>232817</v>
      </c>
      <c r="M194" s="61">
        <f t="shared" si="31"/>
        <v>0</v>
      </c>
      <c r="N194" s="4">
        <f t="shared" si="32"/>
        <v>0</v>
      </c>
      <c r="O194" s="233">
        <f t="shared" si="33"/>
        <v>0</v>
      </c>
      <c r="P194" s="223">
        <f t="shared" si="34"/>
        <v>0</v>
      </c>
      <c r="Q194" s="224"/>
      <c r="R194" s="224"/>
      <c r="S194" s="225"/>
      <c r="T194" s="225"/>
      <c r="U194" s="225"/>
      <c r="V194" s="225"/>
      <c r="Z194" s="23"/>
      <c r="AA194" s="23"/>
      <c r="AB194" s="23"/>
      <c r="AC194" s="23"/>
    </row>
    <row r="195" spans="1:29" x14ac:dyDescent="0.25">
      <c r="A195" s="222">
        <f>'A) Base RI'!A197</f>
        <v>5713</v>
      </c>
      <c r="B195" s="62" t="str">
        <f>'A) Base RI'!B197</f>
        <v>Crans-près-Céligny</v>
      </c>
      <c r="C195" s="61">
        <f>'D) Ecrêtage'!N195</f>
        <v>216191.68457830031</v>
      </c>
      <c r="D195" s="61">
        <v>1091939</v>
      </c>
      <c r="E195" s="18">
        <v>139772</v>
      </c>
      <c r="F195" s="73">
        <v>147152</v>
      </c>
      <c r="G195" s="18">
        <f>D195+E195+F195</f>
        <v>1378863</v>
      </c>
      <c r="H195" s="61">
        <f t="shared" si="28"/>
        <v>1729533</v>
      </c>
      <c r="I195" s="18">
        <f t="shared" si="29"/>
        <v>0</v>
      </c>
      <c r="J195" s="4">
        <f t="shared" si="30"/>
        <v>0</v>
      </c>
      <c r="K195" s="25">
        <v>18191</v>
      </c>
      <c r="L195" s="18">
        <f t="shared" si="26"/>
        <v>216192</v>
      </c>
      <c r="M195" s="61">
        <f t="shared" si="31"/>
        <v>0</v>
      </c>
      <c r="N195" s="4">
        <f t="shared" si="32"/>
        <v>0</v>
      </c>
      <c r="O195" s="233">
        <f t="shared" si="33"/>
        <v>0</v>
      </c>
      <c r="P195" s="223">
        <f t="shared" si="34"/>
        <v>0</v>
      </c>
      <c r="Q195" s="224"/>
      <c r="R195" s="224"/>
      <c r="S195" s="225"/>
      <c r="T195" s="225"/>
      <c r="U195" s="225"/>
      <c r="V195" s="225"/>
      <c r="Z195" s="23"/>
      <c r="AA195" s="23"/>
      <c r="AB195" s="23"/>
      <c r="AC195" s="23"/>
    </row>
    <row r="196" spans="1:29" x14ac:dyDescent="0.25">
      <c r="A196" s="222">
        <f>'A) Base RI'!A198</f>
        <v>5714</v>
      </c>
      <c r="B196" s="62" t="str">
        <f>'A) Base RI'!B198</f>
        <v>Crassier</v>
      </c>
      <c r="C196" s="61">
        <f>'D) Ecrêtage'!N196</f>
        <v>63355.554014382178</v>
      </c>
      <c r="D196" s="61">
        <v>181061</v>
      </c>
      <c r="E196" s="18">
        <v>36758</v>
      </c>
      <c r="F196" s="73">
        <v>205552</v>
      </c>
      <c r="G196" s="18">
        <f t="shared" si="27"/>
        <v>423371</v>
      </c>
      <c r="H196" s="61">
        <f t="shared" si="28"/>
        <v>506844</v>
      </c>
      <c r="I196" s="18">
        <f t="shared" si="29"/>
        <v>0</v>
      </c>
      <c r="J196" s="4">
        <f t="shared" si="30"/>
        <v>0</v>
      </c>
      <c r="K196" s="25">
        <v>-1041</v>
      </c>
      <c r="L196" s="18">
        <f t="shared" si="26"/>
        <v>63356</v>
      </c>
      <c r="M196" s="61">
        <f t="shared" si="31"/>
        <v>0</v>
      </c>
      <c r="N196" s="4">
        <f t="shared" si="32"/>
        <v>0</v>
      </c>
      <c r="O196" s="233">
        <f t="shared" si="33"/>
        <v>0</v>
      </c>
      <c r="P196" s="223">
        <f t="shared" si="34"/>
        <v>0</v>
      </c>
      <c r="Q196" s="224"/>
      <c r="R196" s="224"/>
      <c r="S196" s="225"/>
      <c r="T196" s="225"/>
      <c r="U196" s="225"/>
      <c r="V196" s="225"/>
      <c r="Z196" s="23"/>
      <c r="AA196" s="23"/>
      <c r="AB196" s="23"/>
      <c r="AC196" s="23"/>
    </row>
    <row r="197" spans="1:29" x14ac:dyDescent="0.25">
      <c r="A197" s="222">
        <f>'A) Base RI'!A199</f>
        <v>5715</v>
      </c>
      <c r="B197" s="62" t="str">
        <f>'A) Base RI'!B199</f>
        <v>Duillier</v>
      </c>
      <c r="C197" s="61">
        <f>'D) Ecrêtage'!N197</f>
        <v>58830.820609299182</v>
      </c>
      <c r="D197" s="61">
        <v>195275</v>
      </c>
      <c r="E197" s="18">
        <v>34339</v>
      </c>
      <c r="F197" s="73">
        <v>111541</v>
      </c>
      <c r="G197" s="18">
        <f t="shared" si="27"/>
        <v>341155</v>
      </c>
      <c r="H197" s="61">
        <f t="shared" si="28"/>
        <v>470647</v>
      </c>
      <c r="I197" s="18">
        <f t="shared" si="29"/>
        <v>0</v>
      </c>
      <c r="J197" s="4">
        <f t="shared" si="30"/>
        <v>0</v>
      </c>
      <c r="K197" s="25">
        <v>-1849</v>
      </c>
      <c r="L197" s="18">
        <f t="shared" si="26"/>
        <v>58831</v>
      </c>
      <c r="M197" s="61">
        <f t="shared" si="31"/>
        <v>0</v>
      </c>
      <c r="N197" s="4">
        <f t="shared" si="32"/>
        <v>0</v>
      </c>
      <c r="O197" s="233">
        <f t="shared" si="33"/>
        <v>0</v>
      </c>
      <c r="P197" s="223">
        <f t="shared" si="34"/>
        <v>0</v>
      </c>
      <c r="Q197" s="224"/>
      <c r="R197" s="224"/>
      <c r="S197" s="225"/>
      <c r="T197" s="225"/>
      <c r="U197" s="225"/>
      <c r="V197" s="225"/>
      <c r="Z197" s="23"/>
      <c r="AA197" s="23"/>
      <c r="AB197" s="23"/>
      <c r="AC197" s="23"/>
    </row>
    <row r="198" spans="1:29" x14ac:dyDescent="0.25">
      <c r="A198" s="222">
        <f>'A) Base RI'!A200</f>
        <v>5716</v>
      </c>
      <c r="B198" s="62" t="str">
        <f>'A) Base RI'!B200</f>
        <v>Eysins</v>
      </c>
      <c r="C198" s="61">
        <f>'D) Ecrêtage'!N198</f>
        <v>113150.03286801104</v>
      </c>
      <c r="D198" s="61">
        <v>92594</v>
      </c>
      <c r="E198" s="18">
        <v>46433</v>
      </c>
      <c r="F198" s="73">
        <v>244809</v>
      </c>
      <c r="G198" s="18">
        <f t="shared" si="27"/>
        <v>383836</v>
      </c>
      <c r="H198" s="61">
        <f t="shared" si="28"/>
        <v>905200</v>
      </c>
      <c r="I198" s="18">
        <f t="shared" si="29"/>
        <v>0</v>
      </c>
      <c r="J198" s="4">
        <f t="shared" si="30"/>
        <v>0</v>
      </c>
      <c r="K198" s="25">
        <v>2714</v>
      </c>
      <c r="L198" s="18">
        <f t="shared" ref="L198:L261" si="35">ROUND(C198*M$4,0)</f>
        <v>113150</v>
      </c>
      <c r="M198" s="61">
        <f t="shared" si="31"/>
        <v>0</v>
      </c>
      <c r="N198" s="4">
        <f t="shared" si="32"/>
        <v>0</v>
      </c>
      <c r="O198" s="233">
        <f t="shared" si="33"/>
        <v>0</v>
      </c>
      <c r="P198" s="223">
        <f t="shared" si="34"/>
        <v>0</v>
      </c>
      <c r="Q198" s="224"/>
      <c r="R198" s="224"/>
      <c r="S198" s="225"/>
      <c r="T198" s="225"/>
      <c r="U198" s="225"/>
      <c r="V198" s="225"/>
      <c r="Z198" s="23"/>
      <c r="AA198" s="23"/>
      <c r="AB198" s="23"/>
      <c r="AC198" s="23"/>
    </row>
    <row r="199" spans="1:29" x14ac:dyDescent="0.25">
      <c r="A199" s="222">
        <f>'A) Base RI'!A201</f>
        <v>5717</v>
      </c>
      <c r="B199" s="62" t="str">
        <f>'A) Base RI'!B201</f>
        <v>Founex</v>
      </c>
      <c r="C199" s="61">
        <f>'D) Ecrêtage'!N199</f>
        <v>263834.45529888675</v>
      </c>
      <c r="D199" s="61">
        <v>801461</v>
      </c>
      <c r="E199" s="18">
        <v>109354</v>
      </c>
      <c r="F199" s="73">
        <v>228939</v>
      </c>
      <c r="G199" s="18">
        <f t="shared" si="27"/>
        <v>1139754</v>
      </c>
      <c r="H199" s="61">
        <f t="shared" si="28"/>
        <v>2110676</v>
      </c>
      <c r="I199" s="18">
        <f t="shared" si="29"/>
        <v>0</v>
      </c>
      <c r="J199" s="4">
        <f t="shared" si="30"/>
        <v>0</v>
      </c>
      <c r="K199" s="25">
        <v>6963</v>
      </c>
      <c r="L199" s="18">
        <f t="shared" si="35"/>
        <v>263834</v>
      </c>
      <c r="M199" s="61">
        <f t="shared" si="31"/>
        <v>0</v>
      </c>
      <c r="N199" s="4">
        <f t="shared" si="32"/>
        <v>0</v>
      </c>
      <c r="O199" s="233">
        <f t="shared" si="33"/>
        <v>0</v>
      </c>
      <c r="P199" s="223">
        <f t="shared" si="34"/>
        <v>0</v>
      </c>
      <c r="Q199" s="224"/>
      <c r="R199" s="224"/>
      <c r="S199" s="225"/>
      <c r="T199" s="225"/>
      <c r="U199" s="225"/>
      <c r="V199" s="225"/>
      <c r="Z199" s="23"/>
      <c r="AA199" s="23"/>
      <c r="AB199" s="23"/>
      <c r="AC199" s="23"/>
    </row>
    <row r="200" spans="1:29" x14ac:dyDescent="0.25">
      <c r="A200" s="222">
        <f>'A) Base RI'!A202</f>
        <v>5718</v>
      </c>
      <c r="B200" s="62" t="str">
        <f>'A) Base RI'!B202</f>
        <v>Genolier</v>
      </c>
      <c r="C200" s="61">
        <f>'D) Ecrêtage'!N200</f>
        <v>146074.76258704002</v>
      </c>
      <c r="D200" s="61">
        <v>354172</v>
      </c>
      <c r="E200" s="18">
        <v>159580</v>
      </c>
      <c r="F200" s="73">
        <v>116310</v>
      </c>
      <c r="G200" s="18">
        <f t="shared" si="27"/>
        <v>630062</v>
      </c>
      <c r="H200" s="61">
        <f t="shared" si="28"/>
        <v>1168598</v>
      </c>
      <c r="I200" s="18">
        <f t="shared" si="29"/>
        <v>0</v>
      </c>
      <c r="J200" s="4">
        <f t="shared" si="30"/>
        <v>0</v>
      </c>
      <c r="K200" s="25">
        <v>90451</v>
      </c>
      <c r="L200" s="18">
        <f t="shared" si="35"/>
        <v>146075</v>
      </c>
      <c r="M200" s="61">
        <f t="shared" si="31"/>
        <v>0</v>
      </c>
      <c r="N200" s="4">
        <f t="shared" si="32"/>
        <v>0</v>
      </c>
      <c r="O200" s="233">
        <f t="shared" si="33"/>
        <v>0</v>
      </c>
      <c r="P200" s="223">
        <f t="shared" si="34"/>
        <v>0</v>
      </c>
      <c r="Q200" s="224"/>
      <c r="R200" s="224"/>
      <c r="S200" s="225"/>
      <c r="T200" s="225"/>
      <c r="U200" s="225"/>
      <c r="V200" s="225"/>
      <c r="Z200" s="23"/>
      <c r="AA200" s="23"/>
      <c r="AB200" s="23"/>
      <c r="AC200" s="23"/>
    </row>
    <row r="201" spans="1:29" x14ac:dyDescent="0.25">
      <c r="A201" s="222">
        <f>'A) Base RI'!A203</f>
        <v>5719</v>
      </c>
      <c r="B201" s="62" t="str">
        <f>'A) Base RI'!B203</f>
        <v>Gingins</v>
      </c>
      <c r="C201" s="61">
        <f>'D) Ecrêtage'!N201</f>
        <v>84481.2208721801</v>
      </c>
      <c r="D201" s="61">
        <v>250554</v>
      </c>
      <c r="E201" s="18">
        <v>40233</v>
      </c>
      <c r="F201" s="73">
        <v>203666</v>
      </c>
      <c r="G201" s="18">
        <f t="shared" si="27"/>
        <v>494453</v>
      </c>
      <c r="H201" s="61">
        <f t="shared" si="28"/>
        <v>675850</v>
      </c>
      <c r="I201" s="18">
        <f t="shared" si="29"/>
        <v>0</v>
      </c>
      <c r="J201" s="4">
        <f t="shared" si="30"/>
        <v>0</v>
      </c>
      <c r="K201" s="25">
        <v>0</v>
      </c>
      <c r="L201" s="18">
        <f t="shared" si="35"/>
        <v>84481</v>
      </c>
      <c r="M201" s="61">
        <f t="shared" si="31"/>
        <v>0</v>
      </c>
      <c r="N201" s="4">
        <f t="shared" si="32"/>
        <v>0</v>
      </c>
      <c r="O201" s="233">
        <f t="shared" si="33"/>
        <v>0</v>
      </c>
      <c r="P201" s="223">
        <f t="shared" si="34"/>
        <v>0</v>
      </c>
      <c r="Q201" s="224"/>
      <c r="R201" s="224"/>
      <c r="S201" s="225"/>
      <c r="T201" s="225"/>
      <c r="U201" s="225"/>
      <c r="V201" s="225"/>
      <c r="Z201" s="23"/>
      <c r="AA201" s="23"/>
      <c r="AB201" s="23"/>
      <c r="AC201" s="23"/>
    </row>
    <row r="202" spans="1:29" x14ac:dyDescent="0.25">
      <c r="A202" s="222">
        <f>'A) Base RI'!A204</f>
        <v>5720</v>
      </c>
      <c r="B202" s="62" t="str">
        <f>'A) Base RI'!B204</f>
        <v>Givrins</v>
      </c>
      <c r="C202" s="61">
        <f>'D) Ecrêtage'!N202</f>
        <v>65818.893879817115</v>
      </c>
      <c r="D202" s="61">
        <v>313058</v>
      </c>
      <c r="E202" s="18">
        <v>83611</v>
      </c>
      <c r="F202" s="73">
        <v>58207</v>
      </c>
      <c r="G202" s="18">
        <f t="shared" si="27"/>
        <v>454876</v>
      </c>
      <c r="H202" s="61">
        <f t="shared" si="28"/>
        <v>526551</v>
      </c>
      <c r="I202" s="18">
        <f t="shared" si="29"/>
        <v>0</v>
      </c>
      <c r="J202" s="4">
        <f t="shared" si="30"/>
        <v>0</v>
      </c>
      <c r="K202" s="25">
        <v>113360</v>
      </c>
      <c r="L202" s="18">
        <f t="shared" si="35"/>
        <v>65819</v>
      </c>
      <c r="M202" s="61">
        <f t="shared" si="31"/>
        <v>47541</v>
      </c>
      <c r="N202" s="4">
        <f t="shared" si="32"/>
        <v>-34184</v>
      </c>
      <c r="O202" s="233">
        <f t="shared" si="33"/>
        <v>-34184</v>
      </c>
      <c r="P202" s="223">
        <f t="shared" si="34"/>
        <v>-0.51936454694025591</v>
      </c>
      <c r="Q202" s="224"/>
      <c r="R202" s="224"/>
      <c r="S202" s="225"/>
      <c r="T202" s="225"/>
      <c r="U202" s="225"/>
      <c r="V202" s="225"/>
      <c r="Z202" s="23"/>
      <c r="AA202" s="23"/>
      <c r="AB202" s="23"/>
      <c r="AC202" s="23"/>
    </row>
    <row r="203" spans="1:29" x14ac:dyDescent="0.25">
      <c r="A203" s="222">
        <f>'A) Base RI'!A205</f>
        <v>5721</v>
      </c>
      <c r="B203" s="62" t="str">
        <f>'A) Base RI'!B205</f>
        <v>Gland</v>
      </c>
      <c r="C203" s="61">
        <f>'D) Ecrêtage'!N203</f>
        <v>545180.59375999996</v>
      </c>
      <c r="D203" s="61">
        <v>1570342</v>
      </c>
      <c r="E203" s="18">
        <v>1146871</v>
      </c>
      <c r="F203" s="73">
        <v>48323</v>
      </c>
      <c r="G203" s="18">
        <f t="shared" si="27"/>
        <v>2765536</v>
      </c>
      <c r="H203" s="61">
        <f t="shared" si="28"/>
        <v>4361445</v>
      </c>
      <c r="I203" s="18">
        <f t="shared" si="29"/>
        <v>0</v>
      </c>
      <c r="J203" s="4">
        <f t="shared" si="30"/>
        <v>0</v>
      </c>
      <c r="K203" s="25">
        <v>-3788</v>
      </c>
      <c r="L203" s="18">
        <f t="shared" si="35"/>
        <v>545181</v>
      </c>
      <c r="M203" s="61">
        <f t="shared" si="31"/>
        <v>0</v>
      </c>
      <c r="N203" s="4">
        <f t="shared" si="32"/>
        <v>0</v>
      </c>
      <c r="O203" s="233">
        <f t="shared" si="33"/>
        <v>0</v>
      </c>
      <c r="P203" s="223">
        <f t="shared" si="34"/>
        <v>0</v>
      </c>
      <c r="Q203" s="224"/>
      <c r="R203" s="224"/>
      <c r="S203" s="225"/>
      <c r="T203" s="225"/>
      <c r="U203" s="225"/>
      <c r="V203" s="225"/>
      <c r="Z203" s="23"/>
      <c r="AA203" s="23"/>
      <c r="AB203" s="23"/>
      <c r="AC203" s="23"/>
    </row>
    <row r="204" spans="1:29" x14ac:dyDescent="0.25">
      <c r="A204" s="222">
        <f>'A) Base RI'!A206</f>
        <v>5722</v>
      </c>
      <c r="B204" s="62" t="str">
        <f>'A) Base RI'!B206</f>
        <v>Grens</v>
      </c>
      <c r="C204" s="61">
        <f>'D) Ecrêtage'!N204</f>
        <v>17973.033684210524</v>
      </c>
      <c r="D204" s="61">
        <v>55268</v>
      </c>
      <c r="E204" s="18">
        <v>12434</v>
      </c>
      <c r="F204" s="73">
        <v>66454</v>
      </c>
      <c r="G204" s="18">
        <f t="shared" si="27"/>
        <v>134156</v>
      </c>
      <c r="H204" s="61">
        <f t="shared" si="28"/>
        <v>143784</v>
      </c>
      <c r="I204" s="18">
        <f t="shared" si="29"/>
        <v>0</v>
      </c>
      <c r="J204" s="4">
        <f t="shared" si="30"/>
        <v>0</v>
      </c>
      <c r="K204" s="25">
        <v>6728</v>
      </c>
      <c r="L204" s="18">
        <f t="shared" si="35"/>
        <v>17973</v>
      </c>
      <c r="M204" s="61">
        <f t="shared" si="31"/>
        <v>0</v>
      </c>
      <c r="N204" s="4">
        <f t="shared" si="32"/>
        <v>0</v>
      </c>
      <c r="O204" s="233">
        <f t="shared" si="33"/>
        <v>0</v>
      </c>
      <c r="P204" s="223">
        <f t="shared" si="34"/>
        <v>0</v>
      </c>
      <c r="Q204" s="224"/>
      <c r="R204" s="224"/>
      <c r="S204" s="225"/>
      <c r="T204" s="225"/>
      <c r="U204" s="225"/>
      <c r="V204" s="225"/>
      <c r="Z204" s="23"/>
      <c r="AA204" s="23"/>
      <c r="AB204" s="23"/>
      <c r="AC204" s="23"/>
    </row>
    <row r="205" spans="1:29" x14ac:dyDescent="0.25">
      <c r="A205" s="222">
        <f>'A) Base RI'!A207</f>
        <v>5723</v>
      </c>
      <c r="B205" s="62" t="str">
        <f>'A) Base RI'!B207</f>
        <v>Mies</v>
      </c>
      <c r="C205" s="61">
        <f>'D) Ecrêtage'!N205</f>
        <v>149527.37004038764</v>
      </c>
      <c r="D205" s="61">
        <v>223985</v>
      </c>
      <c r="E205" s="18">
        <v>104684</v>
      </c>
      <c r="F205" s="73">
        <v>137744</v>
      </c>
      <c r="G205" s="18">
        <f t="shared" si="27"/>
        <v>466413</v>
      </c>
      <c r="H205" s="61">
        <f t="shared" si="28"/>
        <v>1196219</v>
      </c>
      <c r="I205" s="18">
        <f t="shared" si="29"/>
        <v>0</v>
      </c>
      <c r="J205" s="4">
        <f t="shared" si="30"/>
        <v>0</v>
      </c>
      <c r="K205" s="25">
        <v>0</v>
      </c>
      <c r="L205" s="18">
        <f t="shared" si="35"/>
        <v>149527</v>
      </c>
      <c r="M205" s="61">
        <f t="shared" si="31"/>
        <v>0</v>
      </c>
      <c r="N205" s="4">
        <f t="shared" si="32"/>
        <v>0</v>
      </c>
      <c r="O205" s="233">
        <f t="shared" si="33"/>
        <v>0</v>
      </c>
      <c r="P205" s="223">
        <f t="shared" si="34"/>
        <v>0</v>
      </c>
      <c r="Q205" s="224"/>
      <c r="R205" s="224"/>
      <c r="S205" s="225"/>
      <c r="T205" s="225"/>
      <c r="U205" s="225"/>
      <c r="V205" s="225"/>
      <c r="Z205" s="23"/>
      <c r="AA205" s="23"/>
      <c r="AB205" s="23"/>
      <c r="AC205" s="23"/>
    </row>
    <row r="206" spans="1:29" x14ac:dyDescent="0.25">
      <c r="A206" s="222">
        <f>'A) Base RI'!A208</f>
        <v>5724</v>
      </c>
      <c r="B206" s="62" t="str">
        <f>'A) Base RI'!B208</f>
        <v>Nyon</v>
      </c>
      <c r="C206" s="61">
        <f>'D) Ecrêtage'!N206</f>
        <v>1208176.5686258627</v>
      </c>
      <c r="D206" s="61">
        <v>6585602</v>
      </c>
      <c r="E206" s="18">
        <v>2295509</v>
      </c>
      <c r="F206" s="73">
        <v>88108</v>
      </c>
      <c r="G206" s="18">
        <f t="shared" si="27"/>
        <v>8969219</v>
      </c>
      <c r="H206" s="61">
        <f t="shared" si="28"/>
        <v>9665413</v>
      </c>
      <c r="I206" s="18">
        <f t="shared" si="29"/>
        <v>0</v>
      </c>
      <c r="J206" s="4">
        <f t="shared" si="30"/>
        <v>0</v>
      </c>
      <c r="K206" s="25">
        <v>327087</v>
      </c>
      <c r="L206" s="18">
        <f t="shared" si="35"/>
        <v>1208177</v>
      </c>
      <c r="M206" s="61">
        <f t="shared" si="31"/>
        <v>0</v>
      </c>
      <c r="N206" s="4">
        <f t="shared" si="32"/>
        <v>0</v>
      </c>
      <c r="O206" s="233">
        <f t="shared" si="33"/>
        <v>0</v>
      </c>
      <c r="P206" s="223">
        <f t="shared" si="34"/>
        <v>0</v>
      </c>
      <c r="Q206" s="224"/>
      <c r="R206" s="224"/>
      <c r="S206" s="225"/>
      <c r="T206" s="225"/>
      <c r="U206" s="225"/>
      <c r="V206" s="225"/>
      <c r="Z206" s="23"/>
      <c r="AA206" s="23"/>
      <c r="AB206" s="23"/>
      <c r="AC206" s="23"/>
    </row>
    <row r="207" spans="1:29" x14ac:dyDescent="0.25">
      <c r="A207" s="222">
        <f>'A) Base RI'!A209</f>
        <v>5725</v>
      </c>
      <c r="B207" s="62" t="str">
        <f>'A) Base RI'!B209</f>
        <v>Prangins</v>
      </c>
      <c r="C207" s="61">
        <f>'D) Ecrêtage'!N207</f>
        <v>283931.1838937492</v>
      </c>
      <c r="D207" s="61">
        <v>469062</v>
      </c>
      <c r="E207" s="18">
        <v>587217</v>
      </c>
      <c r="F207" s="73">
        <v>75008</v>
      </c>
      <c r="G207" s="18">
        <f t="shared" si="27"/>
        <v>1131287</v>
      </c>
      <c r="H207" s="61">
        <f t="shared" si="28"/>
        <v>2271449</v>
      </c>
      <c r="I207" s="18">
        <f t="shared" si="29"/>
        <v>0</v>
      </c>
      <c r="J207" s="4">
        <f t="shared" si="30"/>
        <v>0</v>
      </c>
      <c r="K207" s="25">
        <v>23663</v>
      </c>
      <c r="L207" s="18">
        <f t="shared" si="35"/>
        <v>283931</v>
      </c>
      <c r="M207" s="61">
        <f t="shared" si="31"/>
        <v>0</v>
      </c>
      <c r="N207" s="4">
        <f t="shared" si="32"/>
        <v>0</v>
      </c>
      <c r="O207" s="233">
        <f t="shared" si="33"/>
        <v>0</v>
      </c>
      <c r="P207" s="223">
        <f t="shared" si="34"/>
        <v>0</v>
      </c>
      <c r="Q207" s="224"/>
      <c r="R207" s="224"/>
      <c r="S207" s="225"/>
      <c r="T207" s="225"/>
      <c r="U207" s="225"/>
      <c r="V207" s="225"/>
      <c r="Z207" s="23"/>
      <c r="AA207" s="23"/>
      <c r="AB207" s="23"/>
      <c r="AC207" s="23"/>
    </row>
    <row r="208" spans="1:29" x14ac:dyDescent="0.25">
      <c r="A208" s="222">
        <f>'A) Base RI'!A210</f>
        <v>5726</v>
      </c>
      <c r="B208" s="62" t="str">
        <f>'A) Base RI'!B210</f>
        <v>La Rippe</v>
      </c>
      <c r="C208" s="61">
        <f>'D) Ecrêtage'!N208</f>
        <v>52407.476615384607</v>
      </c>
      <c r="D208" s="61">
        <v>126876</v>
      </c>
      <c r="E208" s="18">
        <v>35191</v>
      </c>
      <c r="F208" s="73">
        <v>173734</v>
      </c>
      <c r="G208" s="18">
        <f t="shared" si="27"/>
        <v>335801</v>
      </c>
      <c r="H208" s="61">
        <f t="shared" si="28"/>
        <v>419260</v>
      </c>
      <c r="I208" s="18">
        <f t="shared" si="29"/>
        <v>0</v>
      </c>
      <c r="J208" s="4">
        <f t="shared" si="30"/>
        <v>0</v>
      </c>
      <c r="K208" s="25">
        <v>159749</v>
      </c>
      <c r="L208" s="18">
        <f t="shared" si="35"/>
        <v>52407</v>
      </c>
      <c r="M208" s="61">
        <f t="shared" si="31"/>
        <v>107342</v>
      </c>
      <c r="N208" s="4">
        <f t="shared" si="32"/>
        <v>-77184</v>
      </c>
      <c r="O208" s="233">
        <f t="shared" si="33"/>
        <v>-77184</v>
      </c>
      <c r="P208" s="223">
        <f t="shared" si="34"/>
        <v>-1.4727669596925805</v>
      </c>
      <c r="Q208" s="224"/>
      <c r="R208" s="224"/>
      <c r="S208" s="225"/>
      <c r="T208" s="225"/>
      <c r="U208" s="225"/>
      <c r="V208" s="225"/>
      <c r="Z208" s="23"/>
      <c r="AA208" s="23"/>
      <c r="AB208" s="23"/>
      <c r="AC208" s="23"/>
    </row>
    <row r="209" spans="1:29" x14ac:dyDescent="0.25">
      <c r="A209" s="222">
        <f>'A) Base RI'!A211</f>
        <v>5727</v>
      </c>
      <c r="B209" s="62" t="str">
        <f>'A) Base RI'!B211</f>
        <v>Saint-Cergue</v>
      </c>
      <c r="C209" s="61">
        <f>'D) Ecrêtage'!N209</f>
        <v>86282.692626262622</v>
      </c>
      <c r="D209" s="61">
        <v>556559</v>
      </c>
      <c r="E209" s="18">
        <v>188737</v>
      </c>
      <c r="F209" s="73">
        <v>72212</v>
      </c>
      <c r="G209" s="18">
        <f t="shared" si="27"/>
        <v>817508</v>
      </c>
      <c r="H209" s="61">
        <f t="shared" si="28"/>
        <v>690262</v>
      </c>
      <c r="I209" s="18">
        <f t="shared" si="29"/>
        <v>127246</v>
      </c>
      <c r="J209" s="4">
        <f t="shared" si="30"/>
        <v>-91496</v>
      </c>
      <c r="K209" s="25">
        <v>91083</v>
      </c>
      <c r="L209" s="18">
        <f t="shared" si="35"/>
        <v>86283</v>
      </c>
      <c r="M209" s="61">
        <f t="shared" si="31"/>
        <v>4800</v>
      </c>
      <c r="N209" s="4">
        <f t="shared" si="32"/>
        <v>-3451</v>
      </c>
      <c r="O209" s="233">
        <f t="shared" si="33"/>
        <v>-94947</v>
      </c>
      <c r="P209" s="223">
        <f t="shared" si="34"/>
        <v>-1.1004176748547616</v>
      </c>
      <c r="Q209" s="224"/>
      <c r="R209" s="224"/>
      <c r="S209" s="225"/>
      <c r="T209" s="225"/>
      <c r="U209" s="225"/>
      <c r="V209" s="225"/>
      <c r="Z209" s="23"/>
      <c r="AA209" s="23"/>
      <c r="AB209" s="23"/>
      <c r="AC209" s="23"/>
    </row>
    <row r="210" spans="1:29" x14ac:dyDescent="0.25">
      <c r="A210" s="222">
        <f>'A) Base RI'!A212</f>
        <v>5728</v>
      </c>
      <c r="B210" s="62" t="str">
        <f>'A) Base RI'!B212</f>
        <v>Signy-Avenex</v>
      </c>
      <c r="C210" s="61">
        <f>'D) Ecrêtage'!N210</f>
        <v>33340.745546475831</v>
      </c>
      <c r="D210" s="61">
        <v>81210</v>
      </c>
      <c r="E210" s="18">
        <v>16432</v>
      </c>
      <c r="F210" s="73">
        <v>67047</v>
      </c>
      <c r="G210" s="18">
        <f t="shared" si="27"/>
        <v>164689</v>
      </c>
      <c r="H210" s="61">
        <f t="shared" si="28"/>
        <v>266726</v>
      </c>
      <c r="I210" s="18">
        <f t="shared" si="29"/>
        <v>0</v>
      </c>
      <c r="J210" s="4">
        <f t="shared" si="30"/>
        <v>0</v>
      </c>
      <c r="K210" s="25">
        <v>0</v>
      </c>
      <c r="L210" s="18">
        <f t="shared" si="35"/>
        <v>33341</v>
      </c>
      <c r="M210" s="61">
        <f t="shared" si="31"/>
        <v>0</v>
      </c>
      <c r="N210" s="4">
        <f t="shared" si="32"/>
        <v>0</v>
      </c>
      <c r="O210" s="233">
        <f t="shared" si="33"/>
        <v>0</v>
      </c>
      <c r="P210" s="223">
        <f t="shared" si="34"/>
        <v>0</v>
      </c>
      <c r="Q210" s="224"/>
      <c r="R210" s="224"/>
      <c r="S210" s="225"/>
      <c r="T210" s="225"/>
      <c r="U210" s="225"/>
      <c r="V210" s="225"/>
      <c r="Z210" s="23"/>
      <c r="AA210" s="23"/>
      <c r="AB210" s="23"/>
      <c r="AC210" s="23"/>
    </row>
    <row r="211" spans="1:29" x14ac:dyDescent="0.25">
      <c r="A211" s="222">
        <f>'A) Base RI'!A213</f>
        <v>5729</v>
      </c>
      <c r="B211" s="62" t="str">
        <f>'A) Base RI'!B213</f>
        <v>Tannay</v>
      </c>
      <c r="C211" s="61">
        <f>'D) Ecrêtage'!N211</f>
        <v>121313.50849358818</v>
      </c>
      <c r="D211" s="61">
        <v>157143</v>
      </c>
      <c r="E211" s="18">
        <v>132860</v>
      </c>
      <c r="F211" s="73">
        <v>91547</v>
      </c>
      <c r="G211" s="18">
        <f t="shared" si="27"/>
        <v>381550</v>
      </c>
      <c r="H211" s="61">
        <f t="shared" si="28"/>
        <v>970508</v>
      </c>
      <c r="I211" s="18">
        <f t="shared" si="29"/>
        <v>0</v>
      </c>
      <c r="J211" s="4">
        <f t="shared" si="30"/>
        <v>0</v>
      </c>
      <c r="K211" s="25">
        <v>0</v>
      </c>
      <c r="L211" s="18">
        <f t="shared" si="35"/>
        <v>121314</v>
      </c>
      <c r="M211" s="61">
        <f t="shared" si="31"/>
        <v>0</v>
      </c>
      <c r="N211" s="4">
        <f t="shared" si="32"/>
        <v>0</v>
      </c>
      <c r="O211" s="233">
        <f t="shared" si="33"/>
        <v>0</v>
      </c>
      <c r="P211" s="223">
        <f t="shared" si="34"/>
        <v>0</v>
      </c>
      <c r="Q211" s="224"/>
      <c r="R211" s="224"/>
      <c r="S211" s="225"/>
      <c r="T211" s="225"/>
      <c r="U211" s="225"/>
      <c r="V211" s="225"/>
      <c r="Z211" s="23"/>
      <c r="AA211" s="23"/>
      <c r="AB211" s="23"/>
      <c r="AC211" s="23"/>
    </row>
    <row r="212" spans="1:29" x14ac:dyDescent="0.25">
      <c r="A212" s="222">
        <f>'A) Base RI'!A214</f>
        <v>5730</v>
      </c>
      <c r="B212" s="62" t="str">
        <f>'A) Base RI'!B214</f>
        <v>Trélex</v>
      </c>
      <c r="C212" s="61">
        <f>'D) Ecrêtage'!N212</f>
        <v>112983.75749674175</v>
      </c>
      <c r="D212" s="61">
        <v>291006</v>
      </c>
      <c r="E212" s="18">
        <v>78921</v>
      </c>
      <c r="F212" s="73">
        <v>64581</v>
      </c>
      <c r="G212" s="18">
        <f t="shared" si="27"/>
        <v>434508</v>
      </c>
      <c r="H212" s="61">
        <f t="shared" si="28"/>
        <v>903870</v>
      </c>
      <c r="I212" s="18">
        <f t="shared" si="29"/>
        <v>0</v>
      </c>
      <c r="J212" s="4">
        <f t="shared" si="30"/>
        <v>0</v>
      </c>
      <c r="K212" s="25">
        <v>39730</v>
      </c>
      <c r="L212" s="18">
        <f t="shared" si="35"/>
        <v>112984</v>
      </c>
      <c r="M212" s="61">
        <f t="shared" si="31"/>
        <v>0</v>
      </c>
      <c r="N212" s="4">
        <f t="shared" si="32"/>
        <v>0</v>
      </c>
      <c r="O212" s="233">
        <f t="shared" si="33"/>
        <v>0</v>
      </c>
      <c r="P212" s="223">
        <f t="shared" si="34"/>
        <v>0</v>
      </c>
      <c r="Q212" s="224"/>
      <c r="R212" s="224"/>
      <c r="S212" s="225"/>
      <c r="T212" s="225"/>
      <c r="U212" s="225"/>
      <c r="V212" s="225"/>
      <c r="Z212" s="23"/>
      <c r="AA212" s="23"/>
      <c r="AB212" s="23"/>
      <c r="AC212" s="23"/>
    </row>
    <row r="213" spans="1:29" x14ac:dyDescent="0.25">
      <c r="A213" s="222">
        <f>'A) Base RI'!A215</f>
        <v>5731</v>
      </c>
      <c r="B213" s="62" t="str">
        <f>'A) Base RI'!B215</f>
        <v>Le Vaud</v>
      </c>
      <c r="C213" s="61">
        <f>'D) Ecrêtage'!N213</f>
        <v>44154.497155555553</v>
      </c>
      <c r="D213" s="61">
        <v>351926</v>
      </c>
      <c r="E213" s="18">
        <v>41595</v>
      </c>
      <c r="F213" s="73">
        <v>159539</v>
      </c>
      <c r="G213" s="18">
        <f t="shared" si="27"/>
        <v>553060</v>
      </c>
      <c r="H213" s="61">
        <f t="shared" si="28"/>
        <v>353236</v>
      </c>
      <c r="I213" s="18">
        <f t="shared" si="29"/>
        <v>199824</v>
      </c>
      <c r="J213" s="4">
        <f t="shared" si="30"/>
        <v>-143684</v>
      </c>
      <c r="K213" s="25">
        <v>58254</v>
      </c>
      <c r="L213" s="18">
        <f t="shared" si="35"/>
        <v>44154</v>
      </c>
      <c r="M213" s="61">
        <f t="shared" si="31"/>
        <v>14100</v>
      </c>
      <c r="N213" s="4">
        <f t="shared" si="32"/>
        <v>-10139</v>
      </c>
      <c r="O213" s="233">
        <f t="shared" si="33"/>
        <v>-153823</v>
      </c>
      <c r="P213" s="223">
        <f t="shared" si="34"/>
        <v>-3.4837448031190155</v>
      </c>
      <c r="Q213" s="224"/>
      <c r="R213" s="224"/>
      <c r="S213" s="225"/>
      <c r="T213" s="225"/>
      <c r="U213" s="225"/>
      <c r="V213" s="225"/>
      <c r="Z213" s="23"/>
      <c r="AA213" s="23"/>
      <c r="AB213" s="23"/>
      <c r="AC213" s="23"/>
    </row>
    <row r="214" spans="1:29" x14ac:dyDescent="0.25">
      <c r="A214" s="222">
        <f>'A) Base RI'!A216</f>
        <v>5732</v>
      </c>
      <c r="B214" s="62" t="str">
        <f>'A) Base RI'!B216</f>
        <v>Vich</v>
      </c>
      <c r="C214" s="61">
        <f>'D) Ecrêtage'!N214</f>
        <v>40390.161857142848</v>
      </c>
      <c r="D214" s="61">
        <v>131461</v>
      </c>
      <c r="E214" s="18">
        <v>27675</v>
      </c>
      <c r="F214" s="73">
        <v>72067</v>
      </c>
      <c r="G214" s="18">
        <f t="shared" si="27"/>
        <v>231203</v>
      </c>
      <c r="H214" s="61">
        <f t="shared" si="28"/>
        <v>323121</v>
      </c>
      <c r="I214" s="18">
        <f t="shared" si="29"/>
        <v>0</v>
      </c>
      <c r="J214" s="4">
        <f t="shared" si="30"/>
        <v>0</v>
      </c>
      <c r="K214" s="25">
        <v>0</v>
      </c>
      <c r="L214" s="18">
        <f t="shared" si="35"/>
        <v>40390</v>
      </c>
      <c r="M214" s="61">
        <f t="shared" si="31"/>
        <v>0</v>
      </c>
      <c r="N214" s="4">
        <f t="shared" si="32"/>
        <v>0</v>
      </c>
      <c r="O214" s="233">
        <f t="shared" si="33"/>
        <v>0</v>
      </c>
      <c r="P214" s="223">
        <f t="shared" si="34"/>
        <v>0</v>
      </c>
      <c r="Q214" s="224"/>
      <c r="R214" s="224"/>
      <c r="S214" s="225"/>
      <c r="T214" s="225"/>
      <c r="U214" s="225"/>
      <c r="V214" s="225"/>
      <c r="Z214" s="23"/>
      <c r="AA214" s="23"/>
      <c r="AB214" s="23"/>
      <c r="AC214" s="23"/>
    </row>
    <row r="215" spans="1:29" x14ac:dyDescent="0.25">
      <c r="A215" s="222">
        <f>'A) Base RI'!A217</f>
        <v>5741</v>
      </c>
      <c r="B215" s="62" t="str">
        <f>'A) Base RI'!B217</f>
        <v>L'Abergement</v>
      </c>
      <c r="C215" s="61">
        <f>'D) Ecrêtage'!N215</f>
        <v>5658.7408436213982</v>
      </c>
      <c r="D215" s="61">
        <v>104532</v>
      </c>
      <c r="E215" s="18">
        <v>7146</v>
      </c>
      <c r="F215" s="73">
        <v>31644</v>
      </c>
      <c r="G215" s="18">
        <f t="shared" si="27"/>
        <v>143322</v>
      </c>
      <c r="H215" s="61">
        <f t="shared" si="28"/>
        <v>45270</v>
      </c>
      <c r="I215" s="18">
        <f t="shared" si="29"/>
        <v>98052</v>
      </c>
      <c r="J215" s="4">
        <f t="shared" si="30"/>
        <v>-70504</v>
      </c>
      <c r="K215" s="25">
        <v>26023</v>
      </c>
      <c r="L215" s="18">
        <f t="shared" si="35"/>
        <v>5659</v>
      </c>
      <c r="M215" s="61">
        <f t="shared" si="31"/>
        <v>20364</v>
      </c>
      <c r="N215" s="4">
        <f t="shared" si="32"/>
        <v>-14643</v>
      </c>
      <c r="O215" s="233">
        <f t="shared" si="33"/>
        <v>-85147</v>
      </c>
      <c r="P215" s="223">
        <f t="shared" si="34"/>
        <v>-15.046987015844477</v>
      </c>
      <c r="Q215" s="224"/>
      <c r="R215" s="224"/>
      <c r="S215" s="225"/>
      <c r="T215" s="225"/>
      <c r="U215" s="225"/>
      <c r="V215" s="225"/>
      <c r="Z215" s="23"/>
      <c r="AA215" s="23"/>
      <c r="AB215" s="23"/>
      <c r="AC215" s="23"/>
    </row>
    <row r="216" spans="1:29" x14ac:dyDescent="0.25">
      <c r="A216" s="222">
        <f>'A) Base RI'!A218</f>
        <v>5742</v>
      </c>
      <c r="B216" s="62" t="str">
        <f>'A) Base RI'!B218</f>
        <v>Agiez</v>
      </c>
      <c r="C216" s="61">
        <f>'D) Ecrêtage'!N216</f>
        <v>8497.199342105263</v>
      </c>
      <c r="D216" s="61">
        <v>56566</v>
      </c>
      <c r="E216" s="18">
        <v>8605</v>
      </c>
      <c r="F216" s="73">
        <v>33721</v>
      </c>
      <c r="G216" s="18">
        <f t="shared" si="27"/>
        <v>98892</v>
      </c>
      <c r="H216" s="61">
        <f t="shared" si="28"/>
        <v>67978</v>
      </c>
      <c r="I216" s="18">
        <f t="shared" si="29"/>
        <v>30914</v>
      </c>
      <c r="J216" s="4">
        <f t="shared" si="30"/>
        <v>-22229</v>
      </c>
      <c r="K216" s="25">
        <v>22376</v>
      </c>
      <c r="L216" s="18">
        <f t="shared" si="35"/>
        <v>8497</v>
      </c>
      <c r="M216" s="61">
        <f t="shared" si="31"/>
        <v>13879</v>
      </c>
      <c r="N216" s="4">
        <f t="shared" si="32"/>
        <v>-9980</v>
      </c>
      <c r="O216" s="233">
        <f t="shared" si="33"/>
        <v>-32209</v>
      </c>
      <c r="P216" s="223">
        <f t="shared" si="34"/>
        <v>-3.7905430605115016</v>
      </c>
      <c r="Q216" s="224"/>
      <c r="R216" s="224"/>
      <c r="S216" s="225"/>
      <c r="T216" s="225"/>
      <c r="U216" s="225"/>
      <c r="V216" s="225"/>
      <c r="Z216" s="23"/>
      <c r="AA216" s="23"/>
      <c r="AB216" s="23"/>
      <c r="AC216" s="23"/>
    </row>
    <row r="217" spans="1:29" x14ac:dyDescent="0.25">
      <c r="A217" s="222">
        <f>'A) Base RI'!A219</f>
        <v>5743</v>
      </c>
      <c r="B217" s="62" t="str">
        <f>'A) Base RI'!B219</f>
        <v>Arnex-sur-Orbe</v>
      </c>
      <c r="C217" s="61">
        <f>'D) Ecrêtage'!N217</f>
        <v>14235.259246575342</v>
      </c>
      <c r="D217" s="61">
        <v>120057</v>
      </c>
      <c r="E217" s="18">
        <v>35731</v>
      </c>
      <c r="F217" s="73">
        <v>60795</v>
      </c>
      <c r="G217" s="18">
        <f t="shared" si="27"/>
        <v>216583</v>
      </c>
      <c r="H217" s="61">
        <f t="shared" si="28"/>
        <v>113882</v>
      </c>
      <c r="I217" s="18">
        <f t="shared" si="29"/>
        <v>102701</v>
      </c>
      <c r="J217" s="4">
        <f t="shared" si="30"/>
        <v>-73847</v>
      </c>
      <c r="K217" s="25">
        <v>-131929</v>
      </c>
      <c r="L217" s="18">
        <f t="shared" si="35"/>
        <v>14235</v>
      </c>
      <c r="M217" s="61">
        <f t="shared" si="31"/>
        <v>0</v>
      </c>
      <c r="N217" s="4">
        <f t="shared" si="32"/>
        <v>0</v>
      </c>
      <c r="O217" s="233">
        <f t="shared" si="33"/>
        <v>-73847</v>
      </c>
      <c r="P217" s="223">
        <f t="shared" si="34"/>
        <v>-5.1876118812353766</v>
      </c>
      <c r="Q217" s="224"/>
      <c r="R217" s="224"/>
      <c r="S217" s="225"/>
      <c r="T217" s="225"/>
      <c r="U217" s="225"/>
      <c r="V217" s="225"/>
      <c r="Z217" s="23"/>
      <c r="AA217" s="23"/>
      <c r="AB217" s="23"/>
      <c r="AC217" s="23"/>
    </row>
    <row r="218" spans="1:29" x14ac:dyDescent="0.25">
      <c r="A218" s="222">
        <f>'A) Base RI'!A220</f>
        <v>5744</v>
      </c>
      <c r="B218" s="62" t="str">
        <f>'A) Base RI'!B220</f>
        <v>Ballaigues</v>
      </c>
      <c r="C218" s="61">
        <f>'D) Ecrêtage'!N218</f>
        <v>81224.419263744261</v>
      </c>
      <c r="D218" s="61">
        <v>610674</v>
      </c>
      <c r="E218" s="18">
        <v>29002</v>
      </c>
      <c r="F218" s="73">
        <v>109992</v>
      </c>
      <c r="G218" s="18">
        <f t="shared" si="27"/>
        <v>749668</v>
      </c>
      <c r="H218" s="61">
        <f t="shared" si="28"/>
        <v>649795</v>
      </c>
      <c r="I218" s="18">
        <f t="shared" si="29"/>
        <v>99873</v>
      </c>
      <c r="J218" s="4">
        <f t="shared" si="30"/>
        <v>-71814</v>
      </c>
      <c r="K218" s="25">
        <v>107056</v>
      </c>
      <c r="L218" s="18">
        <f t="shared" si="35"/>
        <v>81224</v>
      </c>
      <c r="M218" s="61">
        <f t="shared" si="31"/>
        <v>25832</v>
      </c>
      <c r="N218" s="4">
        <f t="shared" si="32"/>
        <v>-18575</v>
      </c>
      <c r="O218" s="233">
        <f t="shared" si="33"/>
        <v>-90389</v>
      </c>
      <c r="P218" s="223">
        <f t="shared" si="34"/>
        <v>-1.1128303633233423</v>
      </c>
      <c r="Q218" s="224"/>
      <c r="R218" s="224"/>
      <c r="S218" s="225"/>
      <c r="T218" s="225"/>
      <c r="U218" s="225"/>
      <c r="V218" s="225"/>
      <c r="Z218" s="23"/>
      <c r="AA218" s="23"/>
      <c r="AB218" s="23"/>
      <c r="AC218" s="23"/>
    </row>
    <row r="219" spans="1:29" x14ac:dyDescent="0.25">
      <c r="A219" s="222">
        <f>'A) Base RI'!A221</f>
        <v>5745</v>
      </c>
      <c r="B219" s="62" t="str">
        <f>'A) Base RI'!B221</f>
        <v>Baulmes</v>
      </c>
      <c r="C219" s="61">
        <f>'D) Ecrêtage'!N219</f>
        <v>27286.676794871797</v>
      </c>
      <c r="D219" s="61">
        <v>252398</v>
      </c>
      <c r="E219" s="18">
        <v>75557</v>
      </c>
      <c r="F219" s="73">
        <v>105643</v>
      </c>
      <c r="G219" s="18">
        <f t="shared" si="27"/>
        <v>433598</v>
      </c>
      <c r="H219" s="61">
        <f t="shared" si="28"/>
        <v>218293</v>
      </c>
      <c r="I219" s="18">
        <f t="shared" si="29"/>
        <v>215305</v>
      </c>
      <c r="J219" s="4">
        <f t="shared" si="30"/>
        <v>-154815</v>
      </c>
      <c r="K219" s="25">
        <v>93888</v>
      </c>
      <c r="L219" s="18">
        <f t="shared" si="35"/>
        <v>27287</v>
      </c>
      <c r="M219" s="61">
        <f t="shared" si="31"/>
        <v>66601</v>
      </c>
      <c r="N219" s="4">
        <f t="shared" si="32"/>
        <v>-47890</v>
      </c>
      <c r="O219" s="233">
        <f t="shared" si="33"/>
        <v>-202705</v>
      </c>
      <c r="P219" s="223">
        <f t="shared" si="34"/>
        <v>-7.4287170080783147</v>
      </c>
      <c r="Q219" s="224"/>
      <c r="R219" s="224"/>
      <c r="S219" s="225"/>
      <c r="T219" s="225"/>
      <c r="U219" s="225"/>
      <c r="V219" s="225"/>
      <c r="Z219" s="23"/>
      <c r="AA219" s="23"/>
      <c r="AB219" s="23"/>
      <c r="AC219" s="23"/>
    </row>
    <row r="220" spans="1:29" x14ac:dyDescent="0.25">
      <c r="A220" s="222">
        <f>'A) Base RI'!A222</f>
        <v>5746</v>
      </c>
      <c r="B220" s="62" t="str">
        <f>'A) Base RI'!B222</f>
        <v>Bavois</v>
      </c>
      <c r="C220" s="61">
        <f>'D) Ecrêtage'!N220</f>
        <v>24960.640433789951</v>
      </c>
      <c r="D220" s="61">
        <v>252722</v>
      </c>
      <c r="E220" s="18">
        <v>65370</v>
      </c>
      <c r="F220" s="73">
        <v>89902</v>
      </c>
      <c r="G220" s="18">
        <f t="shared" si="27"/>
        <v>407994</v>
      </c>
      <c r="H220" s="61">
        <f t="shared" si="28"/>
        <v>199685</v>
      </c>
      <c r="I220" s="18">
        <f t="shared" si="29"/>
        <v>208309</v>
      </c>
      <c r="J220" s="4">
        <f t="shared" si="30"/>
        <v>-149785</v>
      </c>
      <c r="K220" s="25">
        <v>64561</v>
      </c>
      <c r="L220" s="18">
        <f t="shared" si="35"/>
        <v>24961</v>
      </c>
      <c r="M220" s="61">
        <f t="shared" si="31"/>
        <v>39600</v>
      </c>
      <c r="N220" s="4">
        <f t="shared" si="32"/>
        <v>-28474</v>
      </c>
      <c r="O220" s="233">
        <f t="shared" si="33"/>
        <v>-178259</v>
      </c>
      <c r="P220" s="223">
        <f t="shared" si="34"/>
        <v>-7.1416036168160799</v>
      </c>
      <c r="Q220" s="224"/>
      <c r="R220" s="224"/>
      <c r="S220" s="225"/>
      <c r="T220" s="225"/>
      <c r="U220" s="225"/>
      <c r="V220" s="225"/>
      <c r="Z220" s="23"/>
      <c r="AA220" s="23"/>
      <c r="AB220" s="23"/>
      <c r="AC220" s="23"/>
    </row>
    <row r="221" spans="1:29" x14ac:dyDescent="0.25">
      <c r="A221" s="222">
        <f>'A) Base RI'!A223</f>
        <v>5747</v>
      </c>
      <c r="B221" s="62" t="str">
        <f>'A) Base RI'!B223</f>
        <v>Bofflens</v>
      </c>
      <c r="C221" s="61">
        <f>'D) Ecrêtage'!N221</f>
        <v>5444.2446376811595</v>
      </c>
      <c r="D221" s="61">
        <v>8267</v>
      </c>
      <c r="E221" s="18">
        <v>5509</v>
      </c>
      <c r="F221" s="73">
        <v>18829</v>
      </c>
      <c r="G221" s="18">
        <f t="shared" si="27"/>
        <v>32605</v>
      </c>
      <c r="H221" s="61">
        <f t="shared" si="28"/>
        <v>43554</v>
      </c>
      <c r="I221" s="18">
        <f t="shared" si="29"/>
        <v>0</v>
      </c>
      <c r="J221" s="4">
        <f t="shared" si="30"/>
        <v>0</v>
      </c>
      <c r="K221" s="25">
        <v>-19003</v>
      </c>
      <c r="L221" s="18">
        <f t="shared" si="35"/>
        <v>5444</v>
      </c>
      <c r="M221" s="61">
        <f t="shared" si="31"/>
        <v>0</v>
      </c>
      <c r="N221" s="4">
        <f t="shared" si="32"/>
        <v>0</v>
      </c>
      <c r="O221" s="233">
        <f t="shared" si="33"/>
        <v>0</v>
      </c>
      <c r="P221" s="223">
        <f t="shared" si="34"/>
        <v>0</v>
      </c>
      <c r="Q221" s="224"/>
      <c r="R221" s="224"/>
      <c r="S221" s="225"/>
      <c r="T221" s="225"/>
      <c r="U221" s="225"/>
      <c r="V221" s="225"/>
      <c r="Z221" s="23"/>
      <c r="AA221" s="23"/>
      <c r="AB221" s="23"/>
      <c r="AC221" s="23"/>
    </row>
    <row r="222" spans="1:29" x14ac:dyDescent="0.25">
      <c r="A222" s="222">
        <f>'A) Base RI'!A224</f>
        <v>5748</v>
      </c>
      <c r="B222" s="62" t="str">
        <f>'A) Base RI'!B224</f>
        <v>Bretonnières</v>
      </c>
      <c r="C222" s="61">
        <f>'D) Ecrêtage'!N222</f>
        <v>4853.6245714285715</v>
      </c>
      <c r="D222" s="61">
        <v>56274</v>
      </c>
      <c r="E222" s="18">
        <v>13697</v>
      </c>
      <c r="F222" s="73">
        <v>21955</v>
      </c>
      <c r="G222" s="18">
        <f t="shared" si="27"/>
        <v>91926</v>
      </c>
      <c r="H222" s="61">
        <f t="shared" si="28"/>
        <v>38829</v>
      </c>
      <c r="I222" s="18">
        <f t="shared" si="29"/>
        <v>53097</v>
      </c>
      <c r="J222" s="4">
        <f t="shared" si="30"/>
        <v>-38179</v>
      </c>
      <c r="K222" s="25">
        <v>21817</v>
      </c>
      <c r="L222" s="18">
        <f t="shared" si="35"/>
        <v>4854</v>
      </c>
      <c r="M222" s="61">
        <f t="shared" si="31"/>
        <v>16963</v>
      </c>
      <c r="N222" s="4">
        <f t="shared" si="32"/>
        <v>-12197</v>
      </c>
      <c r="O222" s="233">
        <f t="shared" si="33"/>
        <v>-50376</v>
      </c>
      <c r="P222" s="223">
        <f t="shared" si="34"/>
        <v>-10.379047505351817</v>
      </c>
      <c r="Q222" s="224"/>
      <c r="R222" s="224"/>
      <c r="S222" s="225"/>
      <c r="T222" s="225"/>
      <c r="U222" s="225"/>
      <c r="V222" s="225"/>
      <c r="Z222" s="23"/>
      <c r="AA222" s="23"/>
      <c r="AB222" s="23"/>
      <c r="AC222" s="23"/>
    </row>
    <row r="223" spans="1:29" x14ac:dyDescent="0.25">
      <c r="A223" s="222">
        <f>'A) Base RI'!A225</f>
        <v>5749</v>
      </c>
      <c r="B223" s="62" t="str">
        <f>'A) Base RI'!B225</f>
        <v>Chavornay</v>
      </c>
      <c r="C223" s="61">
        <f>'D) Ecrêtage'!N223</f>
        <v>122489.22791666667</v>
      </c>
      <c r="D223" s="61">
        <v>509616</v>
      </c>
      <c r="E223" s="18">
        <v>293741</v>
      </c>
      <c r="F223" s="73">
        <v>449127</v>
      </c>
      <c r="G223" s="18">
        <f t="shared" si="27"/>
        <v>1252484</v>
      </c>
      <c r="H223" s="61">
        <f t="shared" si="28"/>
        <v>979914</v>
      </c>
      <c r="I223" s="18">
        <f t="shared" si="29"/>
        <v>272570</v>
      </c>
      <c r="J223" s="4">
        <f t="shared" si="30"/>
        <v>-195992</v>
      </c>
      <c r="K223" s="25">
        <v>96765</v>
      </c>
      <c r="L223" s="18">
        <f t="shared" si="35"/>
        <v>122489</v>
      </c>
      <c r="M223" s="61">
        <f t="shared" si="31"/>
        <v>0</v>
      </c>
      <c r="N223" s="4">
        <f t="shared" si="32"/>
        <v>0</v>
      </c>
      <c r="O223" s="233">
        <f t="shared" si="33"/>
        <v>-195992</v>
      </c>
      <c r="P223" s="223">
        <f t="shared" si="34"/>
        <v>-1.6000753971062631</v>
      </c>
      <c r="Q223" s="224"/>
      <c r="R223" s="224"/>
      <c r="S223" s="225"/>
      <c r="T223" s="225"/>
      <c r="U223" s="225"/>
      <c r="V223" s="225"/>
      <c r="Z223" s="23"/>
      <c r="AA223" s="23"/>
      <c r="AB223" s="23"/>
      <c r="AC223" s="23"/>
    </row>
    <row r="224" spans="1:29" x14ac:dyDescent="0.25">
      <c r="A224" s="222">
        <f>'A) Base RI'!A226</f>
        <v>5750</v>
      </c>
      <c r="B224" s="62" t="str">
        <f>'A) Base RI'!B226</f>
        <v>Les Clées</v>
      </c>
      <c r="C224" s="61">
        <f>'D) Ecrêtage'!N224</f>
        <v>4745.5921666666673</v>
      </c>
      <c r="D224" s="61">
        <v>29165</v>
      </c>
      <c r="E224" s="18">
        <v>0</v>
      </c>
      <c r="F224" s="73">
        <v>16531</v>
      </c>
      <c r="G224" s="18">
        <f t="shared" si="27"/>
        <v>45696</v>
      </c>
      <c r="H224" s="61">
        <f t="shared" si="28"/>
        <v>37965</v>
      </c>
      <c r="I224" s="18">
        <f t="shared" si="29"/>
        <v>7731</v>
      </c>
      <c r="J224" s="4">
        <f t="shared" si="30"/>
        <v>-5559</v>
      </c>
      <c r="K224" s="25">
        <v>31411</v>
      </c>
      <c r="L224" s="18">
        <f t="shared" si="35"/>
        <v>4746</v>
      </c>
      <c r="M224" s="61">
        <f t="shared" si="31"/>
        <v>26665</v>
      </c>
      <c r="N224" s="4">
        <f t="shared" si="32"/>
        <v>-19174</v>
      </c>
      <c r="O224" s="233">
        <f t="shared" si="33"/>
        <v>-24733</v>
      </c>
      <c r="P224" s="223">
        <f t="shared" si="34"/>
        <v>-5.2117837208443909</v>
      </c>
      <c r="Q224" s="224"/>
      <c r="R224" s="224"/>
      <c r="S224" s="225"/>
      <c r="T224" s="225"/>
      <c r="U224" s="225"/>
      <c r="V224" s="225"/>
      <c r="Z224" s="23"/>
      <c r="AA224" s="23"/>
      <c r="AB224" s="23"/>
      <c r="AC224" s="23"/>
    </row>
    <row r="225" spans="1:29" x14ac:dyDescent="0.25">
      <c r="A225" s="222">
        <f>'A) Base RI'!A227</f>
        <v>5751</v>
      </c>
      <c r="B225" s="62" t="str">
        <f>'A) Base RI'!B227</f>
        <v>Corcelles-sur-Chavornay</v>
      </c>
      <c r="C225" s="61">
        <f>'D) Ecrêtage'!N225</f>
        <v>8378.5938157894743</v>
      </c>
      <c r="D225" s="61">
        <v>50129</v>
      </c>
      <c r="E225" s="18">
        <v>10035</v>
      </c>
      <c r="F225" s="73">
        <v>35676</v>
      </c>
      <c r="G225" s="18">
        <f t="shared" si="27"/>
        <v>95840</v>
      </c>
      <c r="H225" s="61">
        <f t="shared" si="28"/>
        <v>67029</v>
      </c>
      <c r="I225" s="18">
        <f t="shared" si="29"/>
        <v>28811</v>
      </c>
      <c r="J225" s="4">
        <f t="shared" si="30"/>
        <v>-20717</v>
      </c>
      <c r="K225" s="25">
        <v>48157</v>
      </c>
      <c r="L225" s="18">
        <f t="shared" si="35"/>
        <v>8379</v>
      </c>
      <c r="M225" s="61">
        <f t="shared" si="31"/>
        <v>39778</v>
      </c>
      <c r="N225" s="4">
        <f t="shared" si="32"/>
        <v>-28602</v>
      </c>
      <c r="O225" s="233">
        <f t="shared" si="33"/>
        <v>-49319</v>
      </c>
      <c r="P225" s="223">
        <f t="shared" si="34"/>
        <v>-5.8863099327071158</v>
      </c>
      <c r="Q225" s="224"/>
      <c r="R225" s="224"/>
      <c r="S225" s="225"/>
      <c r="T225" s="225"/>
      <c r="U225" s="225"/>
      <c r="V225" s="225"/>
      <c r="Z225" s="23"/>
      <c r="AA225" s="23"/>
      <c r="AB225" s="23"/>
      <c r="AC225" s="23"/>
    </row>
    <row r="226" spans="1:29" x14ac:dyDescent="0.25">
      <c r="A226" s="222">
        <f>'A) Base RI'!A228</f>
        <v>5752</v>
      </c>
      <c r="B226" s="62" t="str">
        <f>'A) Base RI'!B228</f>
        <v>Croy</v>
      </c>
      <c r="C226" s="61">
        <f>'D) Ecrêtage'!N226</f>
        <v>8127.3322007722018</v>
      </c>
      <c r="D226" s="61">
        <v>73119</v>
      </c>
      <c r="E226" s="18">
        <v>23523</v>
      </c>
      <c r="F226" s="73">
        <v>30698</v>
      </c>
      <c r="G226" s="18">
        <f t="shared" ref="G226:G272" si="36">D226+E226+F226</f>
        <v>127340</v>
      </c>
      <c r="H226" s="61">
        <f t="shared" ref="H226:H272" si="37">ROUND(C226*I$4,0)</f>
        <v>65019</v>
      </c>
      <c r="I226" s="18">
        <f t="shared" ref="I226:I272" si="38">IF(G226&gt;H226,G226-H226,0)</f>
        <v>62321</v>
      </c>
      <c r="J226" s="4">
        <f t="shared" ref="J226:J272" si="39">ROUND(-I226*J$4,0)</f>
        <v>-44812</v>
      </c>
      <c r="K226" s="25">
        <v>3253</v>
      </c>
      <c r="L226" s="18">
        <f t="shared" si="35"/>
        <v>8127</v>
      </c>
      <c r="M226" s="61">
        <f t="shared" ref="M226:M272" si="40">IF(K226&gt;L226,K226-L226,0)</f>
        <v>0</v>
      </c>
      <c r="N226" s="4">
        <f t="shared" ref="N226:N272" si="41">ROUND(-M226*N$4,0)</f>
        <v>0</v>
      </c>
      <c r="O226" s="233">
        <f t="shared" ref="O226:O272" si="42">N226+J226</f>
        <v>-44812</v>
      </c>
      <c r="P226" s="223">
        <f t="shared" ref="P226:P272" si="43">O226/C226</f>
        <v>-5.5137404123510887</v>
      </c>
      <c r="Q226" s="224"/>
      <c r="R226" s="224"/>
      <c r="S226" s="225"/>
      <c r="T226" s="225"/>
      <c r="U226" s="225"/>
      <c r="V226" s="225"/>
      <c r="Z226" s="23"/>
      <c r="AA226" s="23"/>
      <c r="AB226" s="23"/>
      <c r="AC226" s="23"/>
    </row>
    <row r="227" spans="1:29" x14ac:dyDescent="0.25">
      <c r="A227" s="222">
        <f>'A) Base RI'!A229</f>
        <v>5754</v>
      </c>
      <c r="B227" s="62" t="str">
        <f>'A) Base RI'!B229</f>
        <v>Juriens</v>
      </c>
      <c r="C227" s="61">
        <f>'D) Ecrêtage'!N227</f>
        <v>6779.1981012658243</v>
      </c>
      <c r="D227" s="61">
        <v>94882</v>
      </c>
      <c r="E227" s="18">
        <v>8695</v>
      </c>
      <c r="F227" s="73">
        <v>24159</v>
      </c>
      <c r="G227" s="18">
        <f t="shared" si="36"/>
        <v>127736</v>
      </c>
      <c r="H227" s="61">
        <f t="shared" si="37"/>
        <v>54234</v>
      </c>
      <c r="I227" s="18">
        <f t="shared" si="38"/>
        <v>73502</v>
      </c>
      <c r="J227" s="4">
        <f t="shared" si="39"/>
        <v>-52852</v>
      </c>
      <c r="K227" s="25">
        <v>2470</v>
      </c>
      <c r="L227" s="18">
        <f t="shared" si="35"/>
        <v>6779</v>
      </c>
      <c r="M227" s="61">
        <f t="shared" si="40"/>
        <v>0</v>
      </c>
      <c r="N227" s="4">
        <f t="shared" si="41"/>
        <v>0</v>
      </c>
      <c r="O227" s="233">
        <f t="shared" si="42"/>
        <v>-52852</v>
      </c>
      <c r="P227" s="223">
        <f t="shared" si="43"/>
        <v>-7.7962023251881929</v>
      </c>
      <c r="Q227" s="224"/>
      <c r="R227" s="224"/>
      <c r="S227" s="225"/>
      <c r="T227" s="225"/>
      <c r="U227" s="225"/>
      <c r="V227" s="225"/>
      <c r="Z227" s="23"/>
      <c r="AA227" s="23"/>
      <c r="AB227" s="23"/>
      <c r="AC227" s="23"/>
    </row>
    <row r="228" spans="1:29" x14ac:dyDescent="0.25">
      <c r="A228" s="222">
        <f>'A) Base RI'!A230</f>
        <v>5755</v>
      </c>
      <c r="B228" s="62" t="str">
        <f>'A) Base RI'!B230</f>
        <v>Lignerolle</v>
      </c>
      <c r="C228" s="61">
        <f>'D) Ecrêtage'!N228</f>
        <v>8994.3248324514989</v>
      </c>
      <c r="D228" s="61">
        <v>80878</v>
      </c>
      <c r="E228" s="18">
        <v>11315</v>
      </c>
      <c r="F228" s="73">
        <v>35312</v>
      </c>
      <c r="G228" s="18">
        <f t="shared" si="36"/>
        <v>127505</v>
      </c>
      <c r="H228" s="61">
        <f t="shared" si="37"/>
        <v>71955</v>
      </c>
      <c r="I228" s="18">
        <f t="shared" si="38"/>
        <v>55550</v>
      </c>
      <c r="J228" s="4">
        <f t="shared" si="39"/>
        <v>-39943</v>
      </c>
      <c r="K228" s="25">
        <v>84138</v>
      </c>
      <c r="L228" s="18">
        <f t="shared" si="35"/>
        <v>8994</v>
      </c>
      <c r="M228" s="61">
        <f t="shared" si="40"/>
        <v>75144</v>
      </c>
      <c r="N228" s="4">
        <f t="shared" si="41"/>
        <v>-54032</v>
      </c>
      <c r="O228" s="233">
        <f t="shared" si="42"/>
        <v>-93975</v>
      </c>
      <c r="P228" s="223">
        <f t="shared" si="43"/>
        <v>-10.448255066454623</v>
      </c>
      <c r="Q228" s="224"/>
      <c r="R228" s="224"/>
      <c r="S228" s="225"/>
      <c r="T228" s="225"/>
      <c r="U228" s="225"/>
      <c r="V228" s="225"/>
      <c r="Z228" s="23"/>
      <c r="AA228" s="23"/>
      <c r="AB228" s="23"/>
      <c r="AC228" s="23"/>
    </row>
    <row r="229" spans="1:29" x14ac:dyDescent="0.25">
      <c r="A229" s="222">
        <f>'A) Base RI'!A231</f>
        <v>5756</v>
      </c>
      <c r="B229" s="62" t="str">
        <f>'A) Base RI'!B231</f>
        <v>Montcherand</v>
      </c>
      <c r="C229" s="61">
        <f>'D) Ecrêtage'!N229</f>
        <v>15693.326135265701</v>
      </c>
      <c r="D229" s="61">
        <v>104057</v>
      </c>
      <c r="E229" s="18">
        <v>21037</v>
      </c>
      <c r="F229" s="73">
        <v>51499</v>
      </c>
      <c r="G229" s="18">
        <f t="shared" si="36"/>
        <v>176593</v>
      </c>
      <c r="H229" s="61">
        <f t="shared" si="37"/>
        <v>125547</v>
      </c>
      <c r="I229" s="18">
        <f t="shared" si="38"/>
        <v>51046</v>
      </c>
      <c r="J229" s="4">
        <f t="shared" si="39"/>
        <v>-36705</v>
      </c>
      <c r="K229" s="25">
        <v>10596</v>
      </c>
      <c r="L229" s="18">
        <f t="shared" si="35"/>
        <v>15693</v>
      </c>
      <c r="M229" s="61">
        <f t="shared" si="40"/>
        <v>0</v>
      </c>
      <c r="N229" s="4">
        <f t="shared" si="41"/>
        <v>0</v>
      </c>
      <c r="O229" s="233">
        <f t="shared" si="42"/>
        <v>-36705</v>
      </c>
      <c r="P229" s="223">
        <f t="shared" si="43"/>
        <v>-2.3388923217186779</v>
      </c>
      <c r="Q229" s="224"/>
      <c r="R229" s="224"/>
      <c r="S229" s="225"/>
      <c r="T229" s="225"/>
      <c r="U229" s="225"/>
      <c r="V229" s="225"/>
      <c r="Z229" s="23"/>
      <c r="AA229" s="23"/>
      <c r="AB229" s="23"/>
      <c r="AC229" s="23"/>
    </row>
    <row r="230" spans="1:29" x14ac:dyDescent="0.25">
      <c r="A230" s="222">
        <f>'A) Base RI'!A232</f>
        <v>5757</v>
      </c>
      <c r="B230" s="62" t="str">
        <f>'A) Base RI'!B232</f>
        <v>Orbe</v>
      </c>
      <c r="C230" s="61">
        <f>'D) Ecrêtage'!N230</f>
        <v>203617.2094202899</v>
      </c>
      <c r="D230" s="61">
        <v>1835141</v>
      </c>
      <c r="E230" s="18">
        <v>817461</v>
      </c>
      <c r="F230" s="73">
        <v>705326</v>
      </c>
      <c r="G230" s="18">
        <f t="shared" si="36"/>
        <v>3357928</v>
      </c>
      <c r="H230" s="61">
        <f t="shared" si="37"/>
        <v>1628938</v>
      </c>
      <c r="I230" s="18">
        <f t="shared" si="38"/>
        <v>1728990</v>
      </c>
      <c r="J230" s="4">
        <f t="shared" si="39"/>
        <v>-1243233</v>
      </c>
      <c r="K230" s="25">
        <v>0</v>
      </c>
      <c r="L230" s="18">
        <f t="shared" si="35"/>
        <v>203617</v>
      </c>
      <c r="M230" s="61">
        <f t="shared" si="40"/>
        <v>0</v>
      </c>
      <c r="N230" s="4">
        <f t="shared" si="41"/>
        <v>0</v>
      </c>
      <c r="O230" s="233">
        <f t="shared" si="42"/>
        <v>-1243233</v>
      </c>
      <c r="P230" s="223">
        <f t="shared" si="43"/>
        <v>-6.105736364522218</v>
      </c>
      <c r="Q230" s="224"/>
      <c r="R230" s="224"/>
      <c r="S230" s="225"/>
      <c r="T230" s="225"/>
      <c r="U230" s="225"/>
      <c r="V230" s="225"/>
      <c r="Z230" s="23"/>
      <c r="AA230" s="23"/>
      <c r="AB230" s="23"/>
      <c r="AC230" s="23"/>
    </row>
    <row r="231" spans="1:29" x14ac:dyDescent="0.25">
      <c r="A231" s="222">
        <f>'A) Base RI'!A233</f>
        <v>5758</v>
      </c>
      <c r="B231" s="62" t="str">
        <f>'A) Base RI'!B233</f>
        <v>La Praz</v>
      </c>
      <c r="C231" s="61">
        <f>'D) Ecrêtage'!N231</f>
        <v>3854.1398125836677</v>
      </c>
      <c r="D231" s="61">
        <v>31178</v>
      </c>
      <c r="E231" s="18">
        <v>4675</v>
      </c>
      <c r="F231" s="73">
        <v>13940</v>
      </c>
      <c r="G231" s="18">
        <f t="shared" si="36"/>
        <v>49793</v>
      </c>
      <c r="H231" s="61">
        <f t="shared" si="37"/>
        <v>30833</v>
      </c>
      <c r="I231" s="18">
        <f t="shared" si="38"/>
        <v>18960</v>
      </c>
      <c r="J231" s="4">
        <f t="shared" si="39"/>
        <v>-13633</v>
      </c>
      <c r="K231" s="25">
        <v>-3791</v>
      </c>
      <c r="L231" s="18">
        <f t="shared" si="35"/>
        <v>3854</v>
      </c>
      <c r="M231" s="61">
        <f t="shared" si="40"/>
        <v>0</v>
      </c>
      <c r="N231" s="4">
        <f t="shared" si="41"/>
        <v>0</v>
      </c>
      <c r="O231" s="233">
        <f t="shared" si="42"/>
        <v>-13633</v>
      </c>
      <c r="P231" s="223">
        <f t="shared" si="43"/>
        <v>-3.5372354566610698</v>
      </c>
      <c r="Q231" s="224"/>
      <c r="R231" s="224"/>
      <c r="S231" s="225"/>
      <c r="T231" s="225"/>
      <c r="U231" s="225"/>
      <c r="V231" s="225"/>
      <c r="Z231" s="23"/>
      <c r="AA231" s="23"/>
      <c r="AB231" s="23"/>
      <c r="AC231" s="23"/>
    </row>
    <row r="232" spans="1:29" x14ac:dyDescent="0.25">
      <c r="A232" s="222">
        <f>'A) Base RI'!A234</f>
        <v>5759</v>
      </c>
      <c r="B232" s="62" t="str">
        <f>'A) Base RI'!B234</f>
        <v>Premier</v>
      </c>
      <c r="C232" s="61">
        <f>'D) Ecrêtage'!N232</f>
        <v>3885.6082716049386</v>
      </c>
      <c r="D232" s="61">
        <v>19371</v>
      </c>
      <c r="E232" s="18">
        <v>5747</v>
      </c>
      <c r="F232" s="73">
        <v>12631</v>
      </c>
      <c r="G232" s="18">
        <f t="shared" si="36"/>
        <v>37749</v>
      </c>
      <c r="H232" s="61">
        <f t="shared" si="37"/>
        <v>31085</v>
      </c>
      <c r="I232" s="18">
        <f t="shared" si="38"/>
        <v>6664</v>
      </c>
      <c r="J232" s="4">
        <f t="shared" si="39"/>
        <v>-4792</v>
      </c>
      <c r="K232" s="25">
        <v>43072</v>
      </c>
      <c r="L232" s="18">
        <f t="shared" si="35"/>
        <v>3886</v>
      </c>
      <c r="M232" s="61">
        <f t="shared" si="40"/>
        <v>39186</v>
      </c>
      <c r="N232" s="4">
        <f t="shared" si="41"/>
        <v>-28177</v>
      </c>
      <c r="O232" s="233">
        <f t="shared" si="42"/>
        <v>-32969</v>
      </c>
      <c r="P232" s="223">
        <f t="shared" si="43"/>
        <v>-8.4849006115539929</v>
      </c>
      <c r="Q232" s="224"/>
      <c r="R232" s="224"/>
      <c r="S232" s="225"/>
      <c r="T232" s="225"/>
      <c r="U232" s="225"/>
      <c r="V232" s="225"/>
      <c r="Z232" s="23"/>
      <c r="AA232" s="23"/>
      <c r="AB232" s="23"/>
      <c r="AC232" s="23"/>
    </row>
    <row r="233" spans="1:29" x14ac:dyDescent="0.25">
      <c r="A233" s="222">
        <f>'A) Base RI'!A235</f>
        <v>5760</v>
      </c>
      <c r="B233" s="62" t="str">
        <f>'A) Base RI'!B235</f>
        <v>Rances</v>
      </c>
      <c r="C233" s="61">
        <f>'D) Ecrêtage'!N233</f>
        <v>11324.841153846155</v>
      </c>
      <c r="D233" s="61">
        <v>69869</v>
      </c>
      <c r="E233" s="18">
        <v>19072</v>
      </c>
      <c r="F233" s="73">
        <v>48469</v>
      </c>
      <c r="G233" s="18">
        <f t="shared" si="36"/>
        <v>137410</v>
      </c>
      <c r="H233" s="61">
        <f t="shared" si="37"/>
        <v>90599</v>
      </c>
      <c r="I233" s="18">
        <f t="shared" si="38"/>
        <v>46811</v>
      </c>
      <c r="J233" s="4">
        <f t="shared" si="39"/>
        <v>-33660</v>
      </c>
      <c r="K233" s="25">
        <v>82230</v>
      </c>
      <c r="L233" s="18">
        <f t="shared" si="35"/>
        <v>11325</v>
      </c>
      <c r="M233" s="61">
        <f t="shared" si="40"/>
        <v>70905</v>
      </c>
      <c r="N233" s="4">
        <f t="shared" si="41"/>
        <v>-50984</v>
      </c>
      <c r="O233" s="233">
        <f t="shared" si="42"/>
        <v>-84644</v>
      </c>
      <c r="P233" s="223">
        <f t="shared" si="43"/>
        <v>-7.4741887193051806</v>
      </c>
      <c r="Q233" s="224"/>
      <c r="R233" s="224"/>
      <c r="S233" s="225"/>
      <c r="T233" s="225"/>
      <c r="U233" s="225"/>
      <c r="V233" s="225"/>
      <c r="Z233" s="23"/>
      <c r="AA233" s="23"/>
      <c r="AB233" s="23"/>
      <c r="AC233" s="23"/>
    </row>
    <row r="234" spans="1:29" x14ac:dyDescent="0.25">
      <c r="A234" s="222">
        <f>'A) Base RI'!A236</f>
        <v>5761</v>
      </c>
      <c r="B234" s="62" t="str">
        <f>'A) Base RI'!B236</f>
        <v>Romainmôtier-Envy</v>
      </c>
      <c r="C234" s="61">
        <f>'D) Ecrêtage'!N234</f>
        <v>12066.350855263157</v>
      </c>
      <c r="D234" s="61">
        <v>84617</v>
      </c>
      <c r="E234" s="18">
        <v>29955</v>
      </c>
      <c r="F234" s="73">
        <v>52865</v>
      </c>
      <c r="G234" s="18">
        <f t="shared" si="36"/>
        <v>167437</v>
      </c>
      <c r="H234" s="61">
        <f t="shared" si="37"/>
        <v>96531</v>
      </c>
      <c r="I234" s="18">
        <f t="shared" si="38"/>
        <v>70906</v>
      </c>
      <c r="J234" s="4">
        <f t="shared" si="39"/>
        <v>-50985</v>
      </c>
      <c r="K234" s="25">
        <v>-14388</v>
      </c>
      <c r="L234" s="18">
        <f t="shared" si="35"/>
        <v>12066</v>
      </c>
      <c r="M234" s="61">
        <f t="shared" si="40"/>
        <v>0</v>
      </c>
      <c r="N234" s="4">
        <f t="shared" si="41"/>
        <v>0</v>
      </c>
      <c r="O234" s="233">
        <f t="shared" si="42"/>
        <v>-50985</v>
      </c>
      <c r="P234" s="223">
        <f t="shared" si="43"/>
        <v>-4.2253868308297307</v>
      </c>
      <c r="Q234" s="224"/>
      <c r="R234" s="224"/>
      <c r="S234" s="225"/>
      <c r="T234" s="225"/>
      <c r="U234" s="225"/>
      <c r="V234" s="225"/>
      <c r="Z234" s="23"/>
      <c r="AA234" s="23"/>
      <c r="AB234" s="23"/>
      <c r="AC234" s="23"/>
    </row>
    <row r="235" spans="1:29" x14ac:dyDescent="0.25">
      <c r="A235" s="222">
        <f>'A) Base RI'!A237</f>
        <v>5762</v>
      </c>
      <c r="B235" s="62" t="str">
        <f>'A) Base RI'!B237</f>
        <v>Sergey</v>
      </c>
      <c r="C235" s="61">
        <f>'D) Ecrêtage'!N235</f>
        <v>4226.1104938271601</v>
      </c>
      <c r="D235" s="61">
        <v>42689</v>
      </c>
      <c r="E235" s="18">
        <v>4347</v>
      </c>
      <c r="F235" s="73">
        <v>18521</v>
      </c>
      <c r="G235" s="18">
        <f t="shared" si="36"/>
        <v>65557</v>
      </c>
      <c r="H235" s="61">
        <f t="shared" si="37"/>
        <v>33809</v>
      </c>
      <c r="I235" s="18">
        <f t="shared" si="38"/>
        <v>31748</v>
      </c>
      <c r="J235" s="4">
        <f t="shared" si="39"/>
        <v>-22828</v>
      </c>
      <c r="K235" s="25">
        <v>5880</v>
      </c>
      <c r="L235" s="18">
        <f t="shared" si="35"/>
        <v>4226</v>
      </c>
      <c r="M235" s="61">
        <f t="shared" si="40"/>
        <v>1654</v>
      </c>
      <c r="N235" s="4">
        <f t="shared" si="41"/>
        <v>-1189</v>
      </c>
      <c r="O235" s="233">
        <f t="shared" si="42"/>
        <v>-24017</v>
      </c>
      <c r="P235" s="223">
        <f t="shared" si="43"/>
        <v>-5.6830033277833767</v>
      </c>
      <c r="Q235" s="224"/>
      <c r="R235" s="224"/>
      <c r="S235" s="225"/>
      <c r="T235" s="225"/>
      <c r="U235" s="225"/>
      <c r="V235" s="225"/>
      <c r="Z235" s="23"/>
      <c r="AA235" s="23"/>
      <c r="AB235" s="23"/>
      <c r="AC235" s="23"/>
    </row>
    <row r="236" spans="1:29" x14ac:dyDescent="0.25">
      <c r="A236" s="222">
        <f>'A) Base RI'!A238</f>
        <v>5763</v>
      </c>
      <c r="B236" s="62" t="str">
        <f>'A) Base RI'!B238</f>
        <v>Valeyres-sous-Rances</v>
      </c>
      <c r="C236" s="61">
        <f>'D) Ecrêtage'!N236</f>
        <v>15753.099264705883</v>
      </c>
      <c r="D236" s="61">
        <v>153298</v>
      </c>
      <c r="E236" s="18">
        <v>25816</v>
      </c>
      <c r="F236" s="73">
        <v>59532</v>
      </c>
      <c r="G236" s="18">
        <f t="shared" si="36"/>
        <v>238646</v>
      </c>
      <c r="H236" s="61">
        <f t="shared" si="37"/>
        <v>126025</v>
      </c>
      <c r="I236" s="18">
        <f t="shared" si="38"/>
        <v>112621</v>
      </c>
      <c r="J236" s="4">
        <f t="shared" si="39"/>
        <v>-80980</v>
      </c>
      <c r="K236" s="25">
        <v>38245</v>
      </c>
      <c r="L236" s="18">
        <f t="shared" si="35"/>
        <v>15753</v>
      </c>
      <c r="M236" s="61">
        <f t="shared" si="40"/>
        <v>22492</v>
      </c>
      <c r="N236" s="4">
        <f t="shared" si="41"/>
        <v>-16173</v>
      </c>
      <c r="O236" s="233">
        <f t="shared" si="42"/>
        <v>-97153</v>
      </c>
      <c r="P236" s="223">
        <f t="shared" si="43"/>
        <v>-6.1672308647014606</v>
      </c>
      <c r="Q236" s="224"/>
      <c r="R236" s="224"/>
      <c r="S236" s="225"/>
      <c r="T236" s="225"/>
      <c r="U236" s="225"/>
      <c r="V236" s="225"/>
      <c r="Z236" s="23"/>
      <c r="AA236" s="23"/>
      <c r="AB236" s="23"/>
      <c r="AC236" s="23"/>
    </row>
    <row r="237" spans="1:29" x14ac:dyDescent="0.25">
      <c r="A237" s="222">
        <f>'A) Base RI'!A239</f>
        <v>5764</v>
      </c>
      <c r="B237" s="62" t="str">
        <f>'A) Base RI'!B239</f>
        <v>Vallorbe</v>
      </c>
      <c r="C237" s="61">
        <f>'D) Ecrêtage'!N237</f>
        <v>79459.361216216217</v>
      </c>
      <c r="D237" s="61">
        <v>1467143</v>
      </c>
      <c r="E237" s="18">
        <v>263444</v>
      </c>
      <c r="F237" s="73">
        <v>354166</v>
      </c>
      <c r="G237" s="18">
        <f t="shared" si="36"/>
        <v>2084753</v>
      </c>
      <c r="H237" s="61">
        <f t="shared" si="37"/>
        <v>635675</v>
      </c>
      <c r="I237" s="18">
        <f t="shared" si="38"/>
        <v>1449078</v>
      </c>
      <c r="J237" s="4">
        <f t="shared" si="39"/>
        <v>-1041962</v>
      </c>
      <c r="K237" s="25">
        <v>646658</v>
      </c>
      <c r="L237" s="18">
        <f t="shared" si="35"/>
        <v>79459</v>
      </c>
      <c r="M237" s="61">
        <f t="shared" si="40"/>
        <v>567199</v>
      </c>
      <c r="N237" s="4">
        <f t="shared" si="41"/>
        <v>-407845</v>
      </c>
      <c r="O237" s="233">
        <f t="shared" si="42"/>
        <v>-1449807</v>
      </c>
      <c r="P237" s="223">
        <f t="shared" si="43"/>
        <v>-18.245892967286032</v>
      </c>
      <c r="Q237" s="224"/>
      <c r="R237" s="224"/>
      <c r="S237" s="225"/>
      <c r="T237" s="225"/>
      <c r="U237" s="225"/>
      <c r="V237" s="225"/>
      <c r="Z237" s="23"/>
      <c r="AA237" s="23"/>
      <c r="AB237" s="23"/>
      <c r="AC237" s="23"/>
    </row>
    <row r="238" spans="1:29" x14ac:dyDescent="0.25">
      <c r="A238" s="222">
        <f>'A) Base RI'!A240</f>
        <v>5765</v>
      </c>
      <c r="B238" s="62" t="str">
        <f>'A) Base RI'!B240</f>
        <v>Vaulion</v>
      </c>
      <c r="C238" s="61">
        <f>'D) Ecrêtage'!N238</f>
        <v>10213.279999999997</v>
      </c>
      <c r="D238" s="61">
        <v>163656</v>
      </c>
      <c r="E238" s="18">
        <v>13846</v>
      </c>
      <c r="F238" s="73">
        <v>44446</v>
      </c>
      <c r="G238" s="18">
        <f t="shared" si="36"/>
        <v>221948</v>
      </c>
      <c r="H238" s="61">
        <f t="shared" si="37"/>
        <v>81706</v>
      </c>
      <c r="I238" s="18">
        <f t="shared" si="38"/>
        <v>140242</v>
      </c>
      <c r="J238" s="4">
        <f t="shared" si="39"/>
        <v>-100841</v>
      </c>
      <c r="K238" s="25">
        <v>120836</v>
      </c>
      <c r="L238" s="18">
        <f t="shared" si="35"/>
        <v>10213</v>
      </c>
      <c r="M238" s="61">
        <f t="shared" si="40"/>
        <v>110623</v>
      </c>
      <c r="N238" s="4">
        <f t="shared" si="41"/>
        <v>-79544</v>
      </c>
      <c r="O238" s="233">
        <f t="shared" si="42"/>
        <v>-180385</v>
      </c>
      <c r="P238" s="223">
        <f t="shared" si="43"/>
        <v>-17.661808938950077</v>
      </c>
      <c r="Q238" s="224"/>
      <c r="R238" s="224"/>
      <c r="S238" s="225"/>
      <c r="T238" s="225"/>
      <c r="U238" s="225"/>
      <c r="V238" s="225"/>
      <c r="Z238" s="23"/>
      <c r="AA238" s="23"/>
      <c r="AB238" s="23"/>
      <c r="AC238" s="23"/>
    </row>
    <row r="239" spans="1:29" x14ac:dyDescent="0.25">
      <c r="A239" s="222">
        <f>'A) Base RI'!A241</f>
        <v>5766</v>
      </c>
      <c r="B239" s="62" t="str">
        <f>'A) Base RI'!B241</f>
        <v>Vuiteboeuf</v>
      </c>
      <c r="C239" s="61">
        <f>'D) Ecrêtage'!N239</f>
        <v>13186.718497217067</v>
      </c>
      <c r="D239" s="61">
        <v>59907</v>
      </c>
      <c r="E239" s="18">
        <v>40272</v>
      </c>
      <c r="F239" s="73">
        <v>63200</v>
      </c>
      <c r="G239" s="18">
        <f t="shared" si="36"/>
        <v>163379</v>
      </c>
      <c r="H239" s="61">
        <f t="shared" si="37"/>
        <v>105494</v>
      </c>
      <c r="I239" s="18">
        <f t="shared" si="38"/>
        <v>57885</v>
      </c>
      <c r="J239" s="4">
        <f t="shared" si="39"/>
        <v>-41622</v>
      </c>
      <c r="K239" s="25">
        <v>3365</v>
      </c>
      <c r="L239" s="18">
        <f t="shared" si="35"/>
        <v>13187</v>
      </c>
      <c r="M239" s="61">
        <f t="shared" si="40"/>
        <v>0</v>
      </c>
      <c r="N239" s="4">
        <f t="shared" si="41"/>
        <v>0</v>
      </c>
      <c r="O239" s="233">
        <f t="shared" si="42"/>
        <v>-41622</v>
      </c>
      <c r="P239" s="223">
        <f t="shared" si="43"/>
        <v>-3.1563576646292959</v>
      </c>
      <c r="Q239" s="224"/>
      <c r="R239" s="224"/>
      <c r="S239" s="225"/>
      <c r="T239" s="225"/>
      <c r="U239" s="225"/>
      <c r="V239" s="225"/>
      <c r="Z239" s="23"/>
      <c r="AA239" s="23"/>
      <c r="AB239" s="23"/>
      <c r="AC239" s="23"/>
    </row>
    <row r="240" spans="1:29" x14ac:dyDescent="0.25">
      <c r="A240" s="222">
        <f>'A) Base RI'!A242</f>
        <v>5782</v>
      </c>
      <c r="B240" s="62" t="str">
        <f>'A) Base RI'!B242</f>
        <v>Carrouge</v>
      </c>
      <c r="C240" s="61">
        <f>'D) Ecrêtage'!N240</f>
        <v>30558.004133333339</v>
      </c>
      <c r="D240" s="61">
        <v>211916</v>
      </c>
      <c r="E240" s="18">
        <v>54661</v>
      </c>
      <c r="F240" s="73">
        <v>158509</v>
      </c>
      <c r="G240" s="18">
        <f t="shared" si="36"/>
        <v>425086</v>
      </c>
      <c r="H240" s="61">
        <f t="shared" si="37"/>
        <v>244464</v>
      </c>
      <c r="I240" s="18">
        <f>IF(G240&gt;H240,G240-H240,0)</f>
        <v>180622</v>
      </c>
      <c r="J240" s="4">
        <f t="shared" si="39"/>
        <v>-129877</v>
      </c>
      <c r="K240" s="25">
        <v>21997</v>
      </c>
      <c r="L240" s="18">
        <f t="shared" si="35"/>
        <v>30558</v>
      </c>
      <c r="M240" s="61">
        <f t="shared" si="40"/>
        <v>0</v>
      </c>
      <c r="N240" s="4">
        <f t="shared" si="41"/>
        <v>0</v>
      </c>
      <c r="O240" s="233">
        <f t="shared" si="42"/>
        <v>-129877</v>
      </c>
      <c r="P240" s="223">
        <f t="shared" si="43"/>
        <v>-4.2501794107137814</v>
      </c>
      <c r="Q240" s="224"/>
      <c r="R240" s="224"/>
      <c r="S240" s="225"/>
      <c r="T240" s="225"/>
      <c r="U240" s="225"/>
      <c r="V240" s="225"/>
      <c r="Z240" s="23"/>
      <c r="AA240" s="23"/>
      <c r="AB240" s="23"/>
      <c r="AC240" s="23"/>
    </row>
    <row r="241" spans="1:29" x14ac:dyDescent="0.25">
      <c r="A241" s="222">
        <f>'A) Base RI'!A243</f>
        <v>5785</v>
      </c>
      <c r="B241" s="62" t="str">
        <f>'A) Base RI'!B243</f>
        <v>Corcelles-le-Jorat</v>
      </c>
      <c r="C241" s="61">
        <f>'D) Ecrêtage'!N241</f>
        <v>15220.93759493671</v>
      </c>
      <c r="D241" s="61">
        <v>141668</v>
      </c>
      <c r="E241" s="18">
        <v>14670</v>
      </c>
      <c r="F241" s="73">
        <v>51583</v>
      </c>
      <c r="G241" s="18">
        <f t="shared" si="36"/>
        <v>207921</v>
      </c>
      <c r="H241" s="61">
        <f t="shared" si="37"/>
        <v>121768</v>
      </c>
      <c r="I241" s="18">
        <f t="shared" si="38"/>
        <v>86153</v>
      </c>
      <c r="J241" s="4">
        <f t="shared" si="39"/>
        <v>-61948</v>
      </c>
      <c r="K241" s="25">
        <v>-11090</v>
      </c>
      <c r="L241" s="18">
        <f t="shared" si="35"/>
        <v>15221</v>
      </c>
      <c r="M241" s="61">
        <f t="shared" si="40"/>
        <v>0</v>
      </c>
      <c r="N241" s="4">
        <f t="shared" si="41"/>
        <v>0</v>
      </c>
      <c r="O241" s="233">
        <f t="shared" si="42"/>
        <v>-61948</v>
      </c>
      <c r="P241" s="223">
        <f t="shared" si="43"/>
        <v>-4.0699201092978123</v>
      </c>
      <c r="Q241" s="224"/>
      <c r="R241" s="224"/>
      <c r="S241" s="225"/>
      <c r="T241" s="225"/>
      <c r="U241" s="225"/>
      <c r="V241" s="225"/>
      <c r="Z241" s="23"/>
      <c r="AA241" s="23"/>
      <c r="AB241" s="23"/>
      <c r="AC241" s="23"/>
    </row>
    <row r="242" spans="1:29" x14ac:dyDescent="0.25">
      <c r="A242" s="222">
        <f>'A) Base RI'!A244</f>
        <v>5788</v>
      </c>
      <c r="B242" s="62" t="str">
        <f>'A) Base RI'!B244</f>
        <v>Essertes</v>
      </c>
      <c r="C242" s="61">
        <f>'D) Ecrêtage'!N242</f>
        <v>9308.1854285714289</v>
      </c>
      <c r="D242" s="61">
        <v>55767</v>
      </c>
      <c r="E242" s="18">
        <v>16077</v>
      </c>
      <c r="F242" s="73">
        <v>41966</v>
      </c>
      <c r="G242" s="18">
        <f t="shared" si="36"/>
        <v>113810</v>
      </c>
      <c r="H242" s="61">
        <f t="shared" si="37"/>
        <v>74465</v>
      </c>
      <c r="I242" s="18">
        <f t="shared" si="38"/>
        <v>39345</v>
      </c>
      <c r="J242" s="4">
        <f t="shared" si="39"/>
        <v>-28291</v>
      </c>
      <c r="K242" s="25">
        <v>5926</v>
      </c>
      <c r="L242" s="18">
        <f t="shared" si="35"/>
        <v>9308</v>
      </c>
      <c r="M242" s="61">
        <f t="shared" si="40"/>
        <v>0</v>
      </c>
      <c r="N242" s="4">
        <f t="shared" si="41"/>
        <v>0</v>
      </c>
      <c r="O242" s="233">
        <f t="shared" si="42"/>
        <v>-28291</v>
      </c>
      <c r="P242" s="223">
        <f t="shared" si="43"/>
        <v>-3.0393679001237897</v>
      </c>
      <c r="Q242" s="224"/>
      <c r="R242" s="224"/>
      <c r="S242" s="225"/>
      <c r="T242" s="225"/>
      <c r="U242" s="225"/>
      <c r="V242" s="225"/>
      <c r="Z242" s="23"/>
      <c r="AA242" s="23"/>
      <c r="AB242" s="23"/>
      <c r="AC242" s="23"/>
    </row>
    <row r="243" spans="1:29" x14ac:dyDescent="0.25">
      <c r="A243" s="222">
        <f>'A) Base RI'!A245</f>
        <v>5789</v>
      </c>
      <c r="B243" s="62" t="str">
        <f>'A) Base RI'!B245</f>
        <v>Ferlens</v>
      </c>
      <c r="C243" s="61">
        <f>'D) Ecrêtage'!N243</f>
        <v>9496.6311688311671</v>
      </c>
      <c r="D243" s="61">
        <v>21727</v>
      </c>
      <c r="E243" s="18">
        <v>11187</v>
      </c>
      <c r="F243" s="73">
        <v>42087</v>
      </c>
      <c r="G243" s="18">
        <f t="shared" si="36"/>
        <v>75001</v>
      </c>
      <c r="H243" s="61">
        <f t="shared" si="37"/>
        <v>75973</v>
      </c>
      <c r="I243" s="18">
        <f t="shared" si="38"/>
        <v>0</v>
      </c>
      <c r="J243" s="4">
        <f t="shared" si="39"/>
        <v>0</v>
      </c>
      <c r="K243" s="25">
        <v>24412</v>
      </c>
      <c r="L243" s="18">
        <f t="shared" si="35"/>
        <v>9497</v>
      </c>
      <c r="M243" s="61">
        <f t="shared" si="40"/>
        <v>14915</v>
      </c>
      <c r="N243" s="4">
        <f t="shared" si="41"/>
        <v>-10725</v>
      </c>
      <c r="O243" s="233">
        <f t="shared" si="42"/>
        <v>-10725</v>
      </c>
      <c r="P243" s="223">
        <f t="shared" si="43"/>
        <v>-1.129347850762116</v>
      </c>
      <c r="Q243" s="224"/>
      <c r="R243" s="224"/>
      <c r="S243" s="225"/>
      <c r="T243" s="225"/>
      <c r="U243" s="225"/>
      <c r="V243" s="225"/>
      <c r="Z243" s="23"/>
      <c r="AA243" s="23"/>
      <c r="AB243" s="23"/>
      <c r="AC243" s="23"/>
    </row>
    <row r="244" spans="1:29" x14ac:dyDescent="0.25">
      <c r="A244" s="222">
        <f>'A) Base RI'!A246</f>
        <v>5790</v>
      </c>
      <c r="B244" s="62" t="str">
        <f>'A) Base RI'!B246</f>
        <v>Maracon</v>
      </c>
      <c r="C244" s="61">
        <f>'D) Ecrêtage'!N244</f>
        <v>11539.028947368422</v>
      </c>
      <c r="D244" s="61">
        <v>145719</v>
      </c>
      <c r="E244" s="18">
        <v>15172</v>
      </c>
      <c r="F244" s="73">
        <v>51616</v>
      </c>
      <c r="G244" s="18">
        <f t="shared" si="36"/>
        <v>212507</v>
      </c>
      <c r="H244" s="61">
        <f t="shared" si="37"/>
        <v>92312</v>
      </c>
      <c r="I244" s="18">
        <f t="shared" si="38"/>
        <v>120195</v>
      </c>
      <c r="J244" s="4">
        <f t="shared" si="39"/>
        <v>-86426</v>
      </c>
      <c r="K244" s="25">
        <v>11262</v>
      </c>
      <c r="L244" s="18">
        <f t="shared" si="35"/>
        <v>11539</v>
      </c>
      <c r="M244" s="61">
        <f t="shared" si="40"/>
        <v>0</v>
      </c>
      <c r="N244" s="4">
        <f t="shared" si="41"/>
        <v>0</v>
      </c>
      <c r="O244" s="233">
        <f t="shared" si="42"/>
        <v>-86426</v>
      </c>
      <c r="P244" s="223">
        <f t="shared" si="43"/>
        <v>-7.4898850149526845</v>
      </c>
      <c r="Q244" s="224"/>
      <c r="R244" s="224"/>
      <c r="S244" s="225"/>
      <c r="T244" s="225"/>
      <c r="U244" s="225"/>
      <c r="V244" s="225"/>
      <c r="Z244" s="23"/>
      <c r="AA244" s="23"/>
      <c r="AB244" s="23"/>
      <c r="AC244" s="23"/>
    </row>
    <row r="245" spans="1:29" x14ac:dyDescent="0.25">
      <c r="A245" s="222">
        <f>'A) Base RI'!A247</f>
        <v>5791</v>
      </c>
      <c r="B245" s="62" t="str">
        <f>'A) Base RI'!B247</f>
        <v>Mézières</v>
      </c>
      <c r="C245" s="61">
        <f>'D) Ecrêtage'!N245</f>
        <v>41636.080964912282</v>
      </c>
      <c r="D245" s="61">
        <v>550023</v>
      </c>
      <c r="E245" s="18">
        <v>58680</v>
      </c>
      <c r="F245" s="73">
        <v>145290</v>
      </c>
      <c r="G245" s="18">
        <f t="shared" si="36"/>
        <v>753993</v>
      </c>
      <c r="H245" s="61">
        <f t="shared" si="37"/>
        <v>333089</v>
      </c>
      <c r="I245" s="18">
        <f t="shared" si="38"/>
        <v>420904</v>
      </c>
      <c r="J245" s="4">
        <f t="shared" si="39"/>
        <v>-302652</v>
      </c>
      <c r="K245" s="25">
        <v>13208</v>
      </c>
      <c r="L245" s="18">
        <f t="shared" si="35"/>
        <v>41636</v>
      </c>
      <c r="M245" s="61">
        <f t="shared" si="40"/>
        <v>0</v>
      </c>
      <c r="N245" s="4">
        <f t="shared" si="41"/>
        <v>0</v>
      </c>
      <c r="O245" s="233">
        <f t="shared" si="42"/>
        <v>-302652</v>
      </c>
      <c r="P245" s="223">
        <f t="shared" si="43"/>
        <v>-7.2689838473282835</v>
      </c>
      <c r="Q245" s="224"/>
      <c r="R245" s="224"/>
      <c r="S245" s="225"/>
      <c r="T245" s="225"/>
      <c r="U245" s="225"/>
      <c r="V245" s="225"/>
      <c r="Z245" s="23"/>
      <c r="AA245" s="23"/>
      <c r="AB245" s="23"/>
      <c r="AC245" s="23"/>
    </row>
    <row r="246" spans="1:29" x14ac:dyDescent="0.25">
      <c r="A246" s="222">
        <f>'A) Base RI'!A248</f>
        <v>5792</v>
      </c>
      <c r="B246" s="62" t="str">
        <f>'A) Base RI'!B248</f>
        <v>Montpreveyres</v>
      </c>
      <c r="C246" s="61">
        <f>'D) Ecrêtage'!N246</f>
        <v>17052.817341772152</v>
      </c>
      <c r="D246" s="61">
        <v>199395</v>
      </c>
      <c r="E246" s="18">
        <v>26878</v>
      </c>
      <c r="F246" s="73">
        <v>84335</v>
      </c>
      <c r="G246" s="18">
        <f t="shared" si="36"/>
        <v>310608</v>
      </c>
      <c r="H246" s="61">
        <f t="shared" si="37"/>
        <v>136423</v>
      </c>
      <c r="I246" s="18">
        <f t="shared" si="38"/>
        <v>174185</v>
      </c>
      <c r="J246" s="4">
        <f t="shared" si="39"/>
        <v>-125248</v>
      </c>
      <c r="K246" s="25">
        <v>-1791</v>
      </c>
      <c r="L246" s="18">
        <f t="shared" si="35"/>
        <v>17053</v>
      </c>
      <c r="M246" s="61">
        <f t="shared" si="40"/>
        <v>0</v>
      </c>
      <c r="N246" s="4">
        <f t="shared" si="41"/>
        <v>0</v>
      </c>
      <c r="O246" s="233">
        <f t="shared" si="42"/>
        <v>-125248</v>
      </c>
      <c r="P246" s="223">
        <f t="shared" si="43"/>
        <v>-7.3447101138646254</v>
      </c>
      <c r="Q246" s="224"/>
      <c r="R246" s="224"/>
      <c r="S246" s="225"/>
      <c r="T246" s="225"/>
      <c r="U246" s="225"/>
      <c r="V246" s="225"/>
      <c r="Z246" s="23"/>
      <c r="AA246" s="23"/>
      <c r="AB246" s="23"/>
      <c r="AC246" s="23"/>
    </row>
    <row r="247" spans="1:29" x14ac:dyDescent="0.25">
      <c r="A247" s="222">
        <f>'A) Base RI'!A249</f>
        <v>5798</v>
      </c>
      <c r="B247" s="62" t="str">
        <f>'A) Base RI'!B249</f>
        <v>Ropraz</v>
      </c>
      <c r="C247" s="61">
        <f>'D) Ecrêtage'!N247</f>
        <v>11308.746838709676</v>
      </c>
      <c r="D247" s="61">
        <v>118564</v>
      </c>
      <c r="E247" s="18">
        <v>13062</v>
      </c>
      <c r="F247" s="73">
        <v>47464</v>
      </c>
      <c r="G247" s="18">
        <f t="shared" si="36"/>
        <v>179090</v>
      </c>
      <c r="H247" s="61">
        <f t="shared" si="37"/>
        <v>90470</v>
      </c>
      <c r="I247" s="18">
        <f t="shared" si="38"/>
        <v>88620</v>
      </c>
      <c r="J247" s="4">
        <f t="shared" si="39"/>
        <v>-63722</v>
      </c>
      <c r="K247" s="25">
        <v>22217</v>
      </c>
      <c r="L247" s="18">
        <f t="shared" si="35"/>
        <v>11309</v>
      </c>
      <c r="M247" s="61">
        <f t="shared" si="40"/>
        <v>10908</v>
      </c>
      <c r="N247" s="4">
        <f t="shared" si="41"/>
        <v>-7843</v>
      </c>
      <c r="O247" s="233">
        <f t="shared" si="42"/>
        <v>-71565</v>
      </c>
      <c r="P247" s="223">
        <f t="shared" si="43"/>
        <v>-6.3282873885755446</v>
      </c>
      <c r="Q247" s="224"/>
      <c r="R247" s="224"/>
      <c r="S247" s="225"/>
      <c r="T247" s="225"/>
      <c r="U247" s="225"/>
      <c r="V247" s="225"/>
      <c r="Z247" s="23"/>
      <c r="AA247" s="23"/>
      <c r="AB247" s="23"/>
      <c r="AC247" s="23"/>
    </row>
    <row r="248" spans="1:29" x14ac:dyDescent="0.25">
      <c r="A248" s="222">
        <f>'A) Base RI'!A250</f>
        <v>5799</v>
      </c>
      <c r="B248" s="62" t="str">
        <f>'A) Base RI'!B250</f>
        <v>Servion</v>
      </c>
      <c r="C248" s="61">
        <f>'D) Ecrêtage'!N248</f>
        <v>68357.530144927528</v>
      </c>
      <c r="D248" s="61">
        <v>406249</v>
      </c>
      <c r="E248" s="18">
        <v>93346</v>
      </c>
      <c r="F248" s="73">
        <v>231992</v>
      </c>
      <c r="G248" s="18">
        <f t="shared" si="36"/>
        <v>731587</v>
      </c>
      <c r="H248" s="61">
        <f t="shared" si="37"/>
        <v>546860</v>
      </c>
      <c r="I248" s="18">
        <f t="shared" si="38"/>
        <v>184727</v>
      </c>
      <c r="J248" s="4">
        <f t="shared" si="39"/>
        <v>-132828</v>
      </c>
      <c r="K248" s="25">
        <v>-2100</v>
      </c>
      <c r="L248" s="18">
        <f t="shared" si="35"/>
        <v>68358</v>
      </c>
      <c r="M248" s="61">
        <f t="shared" si="40"/>
        <v>0</v>
      </c>
      <c r="N248" s="4">
        <f t="shared" si="41"/>
        <v>0</v>
      </c>
      <c r="O248" s="233">
        <f t="shared" si="42"/>
        <v>-132828</v>
      </c>
      <c r="P248" s="223">
        <f t="shared" si="43"/>
        <v>-1.9431363262889407</v>
      </c>
      <c r="Q248" s="224"/>
      <c r="R248" s="224"/>
      <c r="S248" s="225"/>
      <c r="T248" s="225"/>
      <c r="U248" s="225"/>
      <c r="V248" s="225"/>
      <c r="Z248" s="23"/>
      <c r="AA248" s="23"/>
      <c r="AB248" s="23"/>
      <c r="AC248" s="23"/>
    </row>
    <row r="249" spans="1:29" x14ac:dyDescent="0.25">
      <c r="A249" s="222">
        <f>'A) Base RI'!A251</f>
        <v>5803</v>
      </c>
      <c r="B249" s="62" t="str">
        <f>'A) Base RI'!B251</f>
        <v>Vulliens</v>
      </c>
      <c r="C249" s="61">
        <f>'D) Ecrêtage'!N249</f>
        <v>12093.749506172839</v>
      </c>
      <c r="D249" s="61">
        <v>171692</v>
      </c>
      <c r="E249" s="18">
        <v>14503</v>
      </c>
      <c r="F249" s="73">
        <v>63133</v>
      </c>
      <c r="G249" s="18">
        <f t="shared" si="36"/>
        <v>249328</v>
      </c>
      <c r="H249" s="61">
        <f t="shared" si="37"/>
        <v>96750</v>
      </c>
      <c r="I249" s="18">
        <f t="shared" si="38"/>
        <v>152578</v>
      </c>
      <c r="J249" s="4">
        <f t="shared" si="39"/>
        <v>-109711</v>
      </c>
      <c r="K249" s="25">
        <v>37264</v>
      </c>
      <c r="L249" s="18">
        <f t="shared" si="35"/>
        <v>12094</v>
      </c>
      <c r="M249" s="61">
        <f t="shared" si="40"/>
        <v>25170</v>
      </c>
      <c r="N249" s="4">
        <f t="shared" si="41"/>
        <v>-18099</v>
      </c>
      <c r="O249" s="233">
        <f t="shared" si="42"/>
        <v>-127810</v>
      </c>
      <c r="P249" s="223">
        <f t="shared" si="43"/>
        <v>-10.568269165386944</v>
      </c>
      <c r="Q249" s="224"/>
      <c r="R249" s="224"/>
      <c r="S249" s="225"/>
      <c r="T249" s="225"/>
      <c r="U249" s="225"/>
      <c r="V249" s="225"/>
      <c r="Z249" s="23"/>
      <c r="AA249" s="23"/>
      <c r="AB249" s="23"/>
      <c r="AC249" s="23"/>
    </row>
    <row r="250" spans="1:29" x14ac:dyDescent="0.25">
      <c r="A250" s="222">
        <f>'A) Base RI'!A252</f>
        <v>5804</v>
      </c>
      <c r="B250" s="62" t="str">
        <f>'A) Base RI'!B252</f>
        <v>Jorat-Menthue</v>
      </c>
      <c r="C250" s="61">
        <f>'D) Ecrêtage'!N250</f>
        <v>42711.248333333329</v>
      </c>
      <c r="D250" s="61">
        <v>630900</v>
      </c>
      <c r="E250" s="18">
        <v>47326</v>
      </c>
      <c r="F250" s="73">
        <v>121800</v>
      </c>
      <c r="G250" s="18">
        <f t="shared" si="36"/>
        <v>800026</v>
      </c>
      <c r="H250" s="61">
        <f t="shared" si="37"/>
        <v>341690</v>
      </c>
      <c r="I250" s="18">
        <f t="shared" si="38"/>
        <v>458336</v>
      </c>
      <c r="J250" s="4">
        <f t="shared" si="39"/>
        <v>-329567</v>
      </c>
      <c r="K250" s="25">
        <v>65987</v>
      </c>
      <c r="L250" s="18">
        <f t="shared" si="35"/>
        <v>42711</v>
      </c>
      <c r="M250" s="61">
        <f t="shared" si="40"/>
        <v>23276</v>
      </c>
      <c r="N250" s="4">
        <f t="shared" si="41"/>
        <v>-16737</v>
      </c>
      <c r="O250" s="233">
        <f t="shared" si="42"/>
        <v>-346304</v>
      </c>
      <c r="P250" s="223">
        <f t="shared" si="43"/>
        <v>-8.1080280608359647</v>
      </c>
      <c r="Q250" s="224"/>
      <c r="R250" s="224"/>
      <c r="S250" s="225"/>
      <c r="T250" s="225"/>
      <c r="U250" s="225"/>
      <c r="V250" s="225"/>
      <c r="Z250" s="23"/>
      <c r="AA250" s="23"/>
      <c r="AB250" s="23"/>
      <c r="AC250" s="23"/>
    </row>
    <row r="251" spans="1:29" x14ac:dyDescent="0.25">
      <c r="A251" s="222">
        <f>'A) Base RI'!A253</f>
        <v>5805</v>
      </c>
      <c r="B251" s="62" t="str">
        <f>'A) Base RI'!B253</f>
        <v>Oron</v>
      </c>
      <c r="C251" s="61">
        <f>'D) Ecrêtage'!N251</f>
        <v>145299.16422924903</v>
      </c>
      <c r="D251" s="61">
        <v>1231755</v>
      </c>
      <c r="E251" s="18">
        <v>422268</v>
      </c>
      <c r="F251" s="73">
        <v>595666</v>
      </c>
      <c r="G251" s="18">
        <f>D251+E251+F251</f>
        <v>2249689</v>
      </c>
      <c r="H251" s="61">
        <f>ROUND(C251*I$4,0)</f>
        <v>1162393</v>
      </c>
      <c r="I251" s="18">
        <f>IF(G251&gt;H251,G251-H251,0)</f>
        <v>1087296</v>
      </c>
      <c r="J251" s="4">
        <f t="shared" si="39"/>
        <v>-781822</v>
      </c>
      <c r="K251" s="25">
        <v>48009</v>
      </c>
      <c r="L251" s="18">
        <f t="shared" si="35"/>
        <v>145299</v>
      </c>
      <c r="M251" s="61">
        <f>IF(K251&gt;L251,K251-L251,0)</f>
        <v>0</v>
      </c>
      <c r="N251" s="4">
        <f t="shared" si="41"/>
        <v>0</v>
      </c>
      <c r="O251" s="233">
        <f>N251+J251</f>
        <v>-781822</v>
      </c>
      <c r="P251" s="223">
        <f>O251/C251</f>
        <v>-5.3807742401495355</v>
      </c>
      <c r="Q251" s="224"/>
      <c r="R251" s="224"/>
      <c r="S251" s="225"/>
      <c r="T251" s="225"/>
      <c r="U251" s="225"/>
      <c r="V251" s="225"/>
      <c r="Z251" s="23"/>
      <c r="AA251" s="23"/>
      <c r="AB251" s="23"/>
      <c r="AC251" s="23"/>
    </row>
    <row r="252" spans="1:29" x14ac:dyDescent="0.25">
      <c r="A252" s="222">
        <f>'A) Base RI'!A254</f>
        <v>5812</v>
      </c>
      <c r="B252" s="62" t="str">
        <f>'A) Base RI'!B254</f>
        <v>Champtauroz</v>
      </c>
      <c r="C252" s="61">
        <f>'D) Ecrêtage'!N252</f>
        <v>2756.1429220779223</v>
      </c>
      <c r="D252" s="61">
        <v>38796</v>
      </c>
      <c r="E252" s="18">
        <v>3041</v>
      </c>
      <c r="F252" s="73">
        <v>31008</v>
      </c>
      <c r="G252" s="18">
        <f>D252+E252+F252</f>
        <v>72845</v>
      </c>
      <c r="H252" s="61">
        <f>ROUND(C252*I$4,0)</f>
        <v>22049</v>
      </c>
      <c r="I252" s="18">
        <f>IF(G252&gt;H252,G252-H252,0)</f>
        <v>50796</v>
      </c>
      <c r="J252" s="4">
        <f t="shared" si="39"/>
        <v>-36525</v>
      </c>
      <c r="K252" s="25">
        <v>5095</v>
      </c>
      <c r="L252" s="18">
        <f t="shared" si="35"/>
        <v>2756</v>
      </c>
      <c r="M252" s="61">
        <f>IF(K252&gt;L252,K252-L252,0)</f>
        <v>2339</v>
      </c>
      <c r="N252" s="4">
        <f t="shared" si="41"/>
        <v>-1682</v>
      </c>
      <c r="O252" s="233">
        <f>N252+J252</f>
        <v>-38207</v>
      </c>
      <c r="P252" s="223">
        <f>O252/C252</f>
        <v>-13.862488659040521</v>
      </c>
      <c r="Q252" s="224"/>
      <c r="R252" s="224"/>
      <c r="S252" s="225"/>
      <c r="T252" s="225"/>
      <c r="U252" s="225"/>
      <c r="V252" s="225"/>
      <c r="Z252" s="23"/>
      <c r="AA252" s="23"/>
      <c r="AB252" s="23"/>
      <c r="AC252" s="23"/>
    </row>
    <row r="253" spans="1:29" x14ac:dyDescent="0.25">
      <c r="A253" s="222">
        <f>'A) Base RI'!A255</f>
        <v>5813</v>
      </c>
      <c r="B253" s="62" t="str">
        <f>'A) Base RI'!B255</f>
        <v>Chevroux</v>
      </c>
      <c r="C253" s="61">
        <f>'D) Ecrêtage'!N253</f>
        <v>11438.318904761907</v>
      </c>
      <c r="D253" s="61">
        <v>44847</v>
      </c>
      <c r="E253" s="18">
        <v>13518</v>
      </c>
      <c r="F253" s="73">
        <v>21493</v>
      </c>
      <c r="G253" s="18">
        <f t="shared" si="36"/>
        <v>79858</v>
      </c>
      <c r="H253" s="61">
        <f t="shared" si="37"/>
        <v>91507</v>
      </c>
      <c r="I253" s="18">
        <f t="shared" si="38"/>
        <v>0</v>
      </c>
      <c r="J253" s="4">
        <f t="shared" si="39"/>
        <v>0</v>
      </c>
      <c r="K253" s="25">
        <v>8049</v>
      </c>
      <c r="L253" s="18">
        <f t="shared" si="35"/>
        <v>11438</v>
      </c>
      <c r="M253" s="61">
        <f t="shared" si="40"/>
        <v>0</v>
      </c>
      <c r="N253" s="4">
        <f t="shared" si="41"/>
        <v>0</v>
      </c>
      <c r="O253" s="233">
        <f t="shared" si="42"/>
        <v>0</v>
      </c>
      <c r="P253" s="223">
        <f t="shared" si="43"/>
        <v>0</v>
      </c>
      <c r="Q253" s="224"/>
      <c r="R253" s="224"/>
      <c r="S253" s="225"/>
      <c r="T253" s="225"/>
      <c r="U253" s="225"/>
      <c r="V253" s="225"/>
      <c r="Z253" s="23"/>
      <c r="AA253" s="23"/>
      <c r="AB253" s="23"/>
      <c r="AC253" s="23"/>
    </row>
    <row r="254" spans="1:29" x14ac:dyDescent="0.25">
      <c r="A254" s="222">
        <f>'A) Base RI'!A256</f>
        <v>5816</v>
      </c>
      <c r="B254" s="62" t="str">
        <f>'A) Base RI'!B256</f>
        <v>Corcelles-près-Payerne</v>
      </c>
      <c r="C254" s="61">
        <f>'D) Ecrêtage'!N254</f>
        <v>51319.201507936508</v>
      </c>
      <c r="D254" s="61">
        <v>681075</v>
      </c>
      <c r="E254" s="18">
        <v>113319</v>
      </c>
      <c r="F254" s="73">
        <v>151093</v>
      </c>
      <c r="G254" s="18">
        <f t="shared" si="36"/>
        <v>945487</v>
      </c>
      <c r="H254" s="61">
        <f t="shared" si="37"/>
        <v>410554</v>
      </c>
      <c r="I254" s="18">
        <f t="shared" si="38"/>
        <v>534933</v>
      </c>
      <c r="J254" s="4">
        <f t="shared" si="39"/>
        <v>-384644</v>
      </c>
      <c r="K254" s="25">
        <v>13641</v>
      </c>
      <c r="L254" s="18">
        <f t="shared" si="35"/>
        <v>51319</v>
      </c>
      <c r="M254" s="61">
        <f t="shared" si="40"/>
        <v>0</v>
      </c>
      <c r="N254" s="4">
        <f t="shared" si="41"/>
        <v>0</v>
      </c>
      <c r="O254" s="233">
        <f t="shared" si="42"/>
        <v>-384644</v>
      </c>
      <c r="P254" s="223">
        <f t="shared" si="43"/>
        <v>-7.4951283086607425</v>
      </c>
      <c r="Q254" s="224"/>
      <c r="R254" s="224"/>
      <c r="S254" s="225"/>
      <c r="T254" s="225"/>
      <c r="U254" s="225"/>
      <c r="V254" s="225"/>
      <c r="Z254" s="23"/>
      <c r="AA254" s="23"/>
      <c r="AB254" s="23"/>
      <c r="AC254" s="23"/>
    </row>
    <row r="255" spans="1:29" x14ac:dyDescent="0.25">
      <c r="A255" s="222">
        <f>'A) Base RI'!A257</f>
        <v>5817</v>
      </c>
      <c r="B255" s="62" t="str">
        <f>'A) Base RI'!B257</f>
        <v>Grandcour</v>
      </c>
      <c r="C255" s="61">
        <f>'D) Ecrêtage'!N255</f>
        <v>20100.413081761009</v>
      </c>
      <c r="D255" s="61">
        <v>188899</v>
      </c>
      <c r="E255" s="18">
        <v>18136</v>
      </c>
      <c r="F255" s="73">
        <v>49642</v>
      </c>
      <c r="G255" s="18">
        <f t="shared" si="36"/>
        <v>256677</v>
      </c>
      <c r="H255" s="61">
        <f t="shared" si="37"/>
        <v>160803</v>
      </c>
      <c r="I255" s="18">
        <f t="shared" si="38"/>
        <v>95874</v>
      </c>
      <c r="J255" s="4">
        <f t="shared" si="39"/>
        <v>-68938</v>
      </c>
      <c r="K255" s="25">
        <v>85823</v>
      </c>
      <c r="L255" s="18">
        <f t="shared" si="35"/>
        <v>20100</v>
      </c>
      <c r="M255" s="61">
        <f t="shared" si="40"/>
        <v>65723</v>
      </c>
      <c r="N255" s="4">
        <f t="shared" si="41"/>
        <v>-47258</v>
      </c>
      <c r="O255" s="233">
        <f t="shared" si="42"/>
        <v>-116196</v>
      </c>
      <c r="P255" s="223">
        <f t="shared" si="43"/>
        <v>-5.7807767197299809</v>
      </c>
      <c r="Q255" s="224"/>
      <c r="R255" s="224"/>
      <c r="S255" s="225"/>
      <c r="T255" s="225"/>
      <c r="U255" s="225"/>
      <c r="V255" s="225"/>
      <c r="Z255" s="23"/>
      <c r="AA255" s="23"/>
      <c r="AB255" s="23"/>
      <c r="AC255" s="23"/>
    </row>
    <row r="256" spans="1:29" x14ac:dyDescent="0.25">
      <c r="A256" s="222">
        <f>'A) Base RI'!A258</f>
        <v>5819</v>
      </c>
      <c r="B256" s="62" t="str">
        <f>'A) Base RI'!B258</f>
        <v>Henniez</v>
      </c>
      <c r="C256" s="61">
        <f>'D) Ecrêtage'!N256</f>
        <v>9884.2255223880602</v>
      </c>
      <c r="D256" s="61">
        <v>96618</v>
      </c>
      <c r="E256" s="18">
        <v>11809</v>
      </c>
      <c r="F256" s="73">
        <v>45984</v>
      </c>
      <c r="G256" s="18">
        <f t="shared" si="36"/>
        <v>154411</v>
      </c>
      <c r="H256" s="61">
        <f t="shared" si="37"/>
        <v>79074</v>
      </c>
      <c r="I256" s="18">
        <f t="shared" si="38"/>
        <v>75337</v>
      </c>
      <c r="J256" s="4">
        <f t="shared" si="39"/>
        <v>-54171</v>
      </c>
      <c r="K256" s="25">
        <v>648</v>
      </c>
      <c r="L256" s="18">
        <f t="shared" si="35"/>
        <v>9884</v>
      </c>
      <c r="M256" s="61">
        <f t="shared" si="40"/>
        <v>0</v>
      </c>
      <c r="N256" s="4">
        <f t="shared" si="41"/>
        <v>0</v>
      </c>
      <c r="O256" s="233">
        <f t="shared" si="42"/>
        <v>-54171</v>
      </c>
      <c r="P256" s="223">
        <f t="shared" si="43"/>
        <v>-5.4805507904793451</v>
      </c>
      <c r="Q256" s="224"/>
      <c r="R256" s="224"/>
      <c r="S256" s="225"/>
      <c r="T256" s="225"/>
      <c r="U256" s="225"/>
      <c r="V256" s="225"/>
      <c r="Z256" s="23"/>
      <c r="AA256" s="23"/>
      <c r="AB256" s="23"/>
      <c r="AC256" s="23"/>
    </row>
    <row r="257" spans="1:29" x14ac:dyDescent="0.25">
      <c r="A257" s="222">
        <f>'A) Base RI'!A259</f>
        <v>5821</v>
      </c>
      <c r="B257" s="62" t="str">
        <f>'A) Base RI'!B259</f>
        <v>Missy</v>
      </c>
      <c r="C257" s="61">
        <f>'D) Ecrêtage'!N257</f>
        <v>7497.2731944444431</v>
      </c>
      <c r="D257" s="61">
        <v>123521</v>
      </c>
      <c r="E257" s="18">
        <v>7081</v>
      </c>
      <c r="F257" s="73">
        <v>15194</v>
      </c>
      <c r="G257" s="18">
        <f t="shared" si="36"/>
        <v>145796</v>
      </c>
      <c r="H257" s="61">
        <f t="shared" si="37"/>
        <v>59978</v>
      </c>
      <c r="I257" s="18">
        <f t="shared" si="38"/>
        <v>85818</v>
      </c>
      <c r="J257" s="4">
        <f t="shared" si="39"/>
        <v>-61708</v>
      </c>
      <c r="K257" s="25">
        <v>171</v>
      </c>
      <c r="L257" s="18">
        <f t="shared" si="35"/>
        <v>7497</v>
      </c>
      <c r="M257" s="61">
        <f t="shared" si="40"/>
        <v>0</v>
      </c>
      <c r="N257" s="4">
        <f t="shared" si="41"/>
        <v>0</v>
      </c>
      <c r="O257" s="233">
        <f t="shared" si="42"/>
        <v>-61708</v>
      </c>
      <c r="P257" s="223">
        <f t="shared" si="43"/>
        <v>-8.2307258118493358</v>
      </c>
      <c r="Q257" s="224"/>
      <c r="R257" s="224"/>
      <c r="S257" s="225"/>
      <c r="T257" s="225"/>
      <c r="U257" s="225"/>
      <c r="V257" s="225"/>
      <c r="Z257" s="23"/>
      <c r="AA257" s="23"/>
      <c r="AB257" s="23"/>
      <c r="AC257" s="23"/>
    </row>
    <row r="258" spans="1:29" x14ac:dyDescent="0.25">
      <c r="A258" s="222">
        <f>'A) Base RI'!A260</f>
        <v>5822</v>
      </c>
      <c r="B258" s="62" t="str">
        <f>'A) Base RI'!B260</f>
        <v>Payerne</v>
      </c>
      <c r="C258" s="61">
        <f>'D) Ecrêtage'!N258</f>
        <v>232171.67534246575</v>
      </c>
      <c r="D258" s="61">
        <v>2037106</v>
      </c>
      <c r="E258" s="18">
        <v>506717</v>
      </c>
      <c r="F258" s="73">
        <v>584928</v>
      </c>
      <c r="G258" s="18">
        <f t="shared" si="36"/>
        <v>3128751</v>
      </c>
      <c r="H258" s="61">
        <f t="shared" si="37"/>
        <v>1857373</v>
      </c>
      <c r="I258" s="18">
        <f t="shared" si="38"/>
        <v>1271378</v>
      </c>
      <c r="J258" s="4">
        <f t="shared" si="39"/>
        <v>-914186</v>
      </c>
      <c r="K258" s="25">
        <v>135650</v>
      </c>
      <c r="L258" s="18">
        <f t="shared" si="35"/>
        <v>232172</v>
      </c>
      <c r="M258" s="61">
        <f t="shared" si="40"/>
        <v>0</v>
      </c>
      <c r="N258" s="4">
        <f t="shared" si="41"/>
        <v>0</v>
      </c>
      <c r="O258" s="233">
        <f t="shared" si="42"/>
        <v>-914186</v>
      </c>
      <c r="P258" s="223">
        <f t="shared" si="43"/>
        <v>-3.9375431936368908</v>
      </c>
      <c r="Q258" s="224"/>
      <c r="R258" s="224"/>
      <c r="S258" s="225"/>
      <c r="T258" s="225"/>
      <c r="U258" s="225"/>
      <c r="V258" s="225"/>
      <c r="Z258" s="23"/>
      <c r="AA258" s="23"/>
      <c r="AB258" s="23"/>
      <c r="AC258" s="23"/>
    </row>
    <row r="259" spans="1:29" x14ac:dyDescent="0.25">
      <c r="A259" s="222">
        <f>'A) Base RI'!A261</f>
        <v>5827</v>
      </c>
      <c r="B259" s="62" t="str">
        <f>'A) Base RI'!B261</f>
        <v>Trey</v>
      </c>
      <c r="C259" s="61">
        <f>'D) Ecrêtage'!N259</f>
        <v>6148.4623749999992</v>
      </c>
      <c r="D259" s="61">
        <v>79369</v>
      </c>
      <c r="E259" s="18">
        <v>5683</v>
      </c>
      <c r="F259" s="73">
        <v>21403</v>
      </c>
      <c r="G259" s="18">
        <f t="shared" si="36"/>
        <v>106455</v>
      </c>
      <c r="H259" s="61">
        <f t="shared" si="37"/>
        <v>49188</v>
      </c>
      <c r="I259" s="18">
        <f t="shared" si="38"/>
        <v>57267</v>
      </c>
      <c r="J259" s="4">
        <f t="shared" si="39"/>
        <v>-41178</v>
      </c>
      <c r="K259" s="25">
        <v>14184</v>
      </c>
      <c r="L259" s="18">
        <f t="shared" si="35"/>
        <v>6148</v>
      </c>
      <c r="M259" s="61">
        <f t="shared" si="40"/>
        <v>8036</v>
      </c>
      <c r="N259" s="4">
        <f t="shared" si="41"/>
        <v>-5778</v>
      </c>
      <c r="O259" s="233">
        <f t="shared" si="42"/>
        <v>-46956</v>
      </c>
      <c r="P259" s="223">
        <f t="shared" si="43"/>
        <v>-7.6370313642847991</v>
      </c>
      <c r="Q259" s="224"/>
      <c r="R259" s="224"/>
      <c r="S259" s="225"/>
      <c r="T259" s="225"/>
      <c r="U259" s="225"/>
      <c r="V259" s="225"/>
      <c r="Z259" s="23"/>
      <c r="AA259" s="23"/>
      <c r="AB259" s="23"/>
      <c r="AC259" s="23"/>
    </row>
    <row r="260" spans="1:29" x14ac:dyDescent="0.25">
      <c r="A260" s="222">
        <f>'A) Base RI'!A262</f>
        <v>5828</v>
      </c>
      <c r="B260" s="62" t="str">
        <f>'A) Base RI'!B262</f>
        <v>Treytorrens</v>
      </c>
      <c r="C260" s="61">
        <f>'D) Ecrêtage'!N260</f>
        <v>2457.9002380952379</v>
      </c>
      <c r="D260" s="61">
        <v>26743</v>
      </c>
      <c r="E260" s="18">
        <v>2819</v>
      </c>
      <c r="F260" s="73">
        <v>22474</v>
      </c>
      <c r="G260" s="18">
        <f t="shared" si="36"/>
        <v>52036</v>
      </c>
      <c r="H260" s="61">
        <f t="shared" si="37"/>
        <v>19663</v>
      </c>
      <c r="I260" s="18">
        <f t="shared" si="38"/>
        <v>32373</v>
      </c>
      <c r="J260" s="4">
        <f t="shared" si="39"/>
        <v>-23278</v>
      </c>
      <c r="K260" s="25">
        <v>10296</v>
      </c>
      <c r="L260" s="18">
        <f t="shared" si="35"/>
        <v>2458</v>
      </c>
      <c r="M260" s="61">
        <f t="shared" si="40"/>
        <v>7838</v>
      </c>
      <c r="N260" s="4">
        <f t="shared" si="41"/>
        <v>-5636</v>
      </c>
      <c r="O260" s="233">
        <f t="shared" si="42"/>
        <v>-28914</v>
      </c>
      <c r="P260" s="223">
        <f t="shared" si="43"/>
        <v>-11.763699580584706</v>
      </c>
      <c r="Q260" s="224"/>
      <c r="R260" s="224"/>
      <c r="S260" s="225"/>
      <c r="T260" s="225"/>
      <c r="U260" s="225"/>
      <c r="V260" s="225"/>
      <c r="Z260" s="23"/>
      <c r="AA260" s="23"/>
      <c r="AB260" s="23"/>
      <c r="AC260" s="23"/>
    </row>
    <row r="261" spans="1:29" x14ac:dyDescent="0.25">
      <c r="A261" s="222">
        <f>'A) Base RI'!A263</f>
        <v>5830</v>
      </c>
      <c r="B261" s="62" t="str">
        <f>'A) Base RI'!B263</f>
        <v>Villarzel</v>
      </c>
      <c r="C261" s="61">
        <f>'D) Ecrêtage'!N261</f>
        <v>9888.3237037037015</v>
      </c>
      <c r="D261" s="61">
        <v>115109</v>
      </c>
      <c r="E261" s="18">
        <v>9034</v>
      </c>
      <c r="F261" s="73">
        <v>67749</v>
      </c>
      <c r="G261" s="18">
        <f t="shared" si="36"/>
        <v>191892</v>
      </c>
      <c r="H261" s="61">
        <f t="shared" si="37"/>
        <v>79107</v>
      </c>
      <c r="I261" s="18">
        <f t="shared" si="38"/>
        <v>112785</v>
      </c>
      <c r="J261" s="4">
        <f t="shared" si="39"/>
        <v>-81098</v>
      </c>
      <c r="K261" s="25">
        <v>3023</v>
      </c>
      <c r="L261" s="18">
        <f t="shared" si="35"/>
        <v>9888</v>
      </c>
      <c r="M261" s="61">
        <f t="shared" si="40"/>
        <v>0</v>
      </c>
      <c r="N261" s="4">
        <f t="shared" si="41"/>
        <v>0</v>
      </c>
      <c r="O261" s="233">
        <f t="shared" si="42"/>
        <v>-81098</v>
      </c>
      <c r="P261" s="223">
        <f t="shared" si="43"/>
        <v>-8.2013900869390532</v>
      </c>
      <c r="Q261" s="224"/>
      <c r="R261" s="224"/>
      <c r="S261" s="225"/>
      <c r="T261" s="225"/>
      <c r="U261" s="225"/>
      <c r="V261" s="225"/>
      <c r="Z261" s="23"/>
      <c r="AA261" s="23"/>
      <c r="AB261" s="23"/>
      <c r="AC261" s="23"/>
    </row>
    <row r="262" spans="1:29" x14ac:dyDescent="0.25">
      <c r="A262" s="222">
        <f>'A) Base RI'!A264</f>
        <v>5831</v>
      </c>
      <c r="B262" s="62" t="str">
        <f>'A) Base RI'!B264</f>
        <v>Valbroye</v>
      </c>
      <c r="C262" s="61">
        <f>'D) Ecrêtage'!N262</f>
        <v>72189.06751111109</v>
      </c>
      <c r="D262" s="61">
        <v>709909</v>
      </c>
      <c r="E262" s="18">
        <v>126882</v>
      </c>
      <c r="F262" s="73">
        <v>497073</v>
      </c>
      <c r="G262" s="18">
        <f t="shared" si="36"/>
        <v>1333864</v>
      </c>
      <c r="H262" s="61">
        <f>ROUND(C262*I$4,0)</f>
        <v>577513</v>
      </c>
      <c r="I262" s="18">
        <f>IF(G262&gt;H262,G262-H262,0)</f>
        <v>756351</v>
      </c>
      <c r="J262" s="4">
        <f t="shared" si="39"/>
        <v>-543855</v>
      </c>
      <c r="K262" s="25">
        <v>89256</v>
      </c>
      <c r="L262" s="18">
        <f t="shared" ref="L262:L322" si="44">ROUND(C262*M$4,0)</f>
        <v>72189</v>
      </c>
      <c r="M262" s="61">
        <f>IF(K262&gt;L262,K262-L262,0)</f>
        <v>17067</v>
      </c>
      <c r="N262" s="4">
        <f t="shared" si="41"/>
        <v>-12272</v>
      </c>
      <c r="O262" s="233">
        <f>N262+J262</f>
        <v>-556127</v>
      </c>
      <c r="P262" s="223">
        <f>O262/C262</f>
        <v>-7.7037565267677532</v>
      </c>
      <c r="Q262" s="224"/>
      <c r="R262" s="224"/>
      <c r="S262" s="225"/>
      <c r="T262" s="225"/>
      <c r="U262" s="225"/>
      <c r="V262" s="225"/>
      <c r="Z262" s="23"/>
      <c r="AA262" s="23"/>
      <c r="AB262" s="23"/>
      <c r="AC262" s="23"/>
    </row>
    <row r="263" spans="1:29" x14ac:dyDescent="0.25">
      <c r="A263" s="222">
        <f>'A) Base RI'!A265</f>
        <v>5841</v>
      </c>
      <c r="B263" s="62" t="str">
        <f>'A) Base RI'!B265</f>
        <v>Château-d'Oex</v>
      </c>
      <c r="C263" s="61">
        <f>'D) Ecrêtage'!N263</f>
        <v>107402.16457831326</v>
      </c>
      <c r="D263" s="61">
        <v>2380833</v>
      </c>
      <c r="E263" s="18">
        <v>242362</v>
      </c>
      <c r="F263" s="73">
        <v>350541</v>
      </c>
      <c r="G263" s="18">
        <f t="shared" si="36"/>
        <v>2973736</v>
      </c>
      <c r="H263" s="61">
        <f>ROUND(C263*I$4,0)</f>
        <v>859217</v>
      </c>
      <c r="I263" s="18">
        <f>IF(G263&gt;H263,G263-H263,0)</f>
        <v>2114519</v>
      </c>
      <c r="J263" s="4">
        <f t="shared" si="39"/>
        <v>-1520448</v>
      </c>
      <c r="K263" s="25">
        <v>21703</v>
      </c>
      <c r="L263" s="18">
        <f t="shared" si="44"/>
        <v>107402</v>
      </c>
      <c r="M263" s="61">
        <f>IF(K263&gt;L263,K263-L263,0)</f>
        <v>0</v>
      </c>
      <c r="N263" s="4">
        <f t="shared" si="41"/>
        <v>0</v>
      </c>
      <c r="O263" s="233">
        <f>N263+J263</f>
        <v>-1520448</v>
      </c>
      <c r="P263" s="223">
        <f>O263/C263</f>
        <v>-14.156586191438922</v>
      </c>
      <c r="Q263" s="224"/>
      <c r="R263" s="224"/>
      <c r="S263" s="225"/>
      <c r="T263" s="225"/>
      <c r="U263" s="225"/>
      <c r="V263" s="225"/>
      <c r="Z263" s="23"/>
      <c r="AA263" s="23"/>
      <c r="AB263" s="23"/>
      <c r="AC263" s="23"/>
    </row>
    <row r="264" spans="1:29" x14ac:dyDescent="0.25">
      <c r="A264" s="222">
        <f>'A) Base RI'!A266</f>
        <v>5842</v>
      </c>
      <c r="B264" s="62" t="str">
        <f>'A) Base RI'!B266</f>
        <v>Rossinière</v>
      </c>
      <c r="C264" s="61">
        <f>'D) Ecrêtage'!N264</f>
        <v>14557.548271604937</v>
      </c>
      <c r="D264" s="61">
        <v>376218</v>
      </c>
      <c r="E264" s="18">
        <v>39639</v>
      </c>
      <c r="F264" s="73">
        <v>70000</v>
      </c>
      <c r="G264" s="18">
        <f t="shared" si="36"/>
        <v>485857</v>
      </c>
      <c r="H264" s="61">
        <f t="shared" si="37"/>
        <v>116460</v>
      </c>
      <c r="I264" s="18">
        <f t="shared" si="38"/>
        <v>369397</v>
      </c>
      <c r="J264" s="4">
        <f t="shared" si="39"/>
        <v>-265616</v>
      </c>
      <c r="K264" s="25">
        <v>4904</v>
      </c>
      <c r="L264" s="18">
        <f t="shared" si="44"/>
        <v>14558</v>
      </c>
      <c r="M264" s="61">
        <f t="shared" si="40"/>
        <v>0</v>
      </c>
      <c r="N264" s="4">
        <f t="shared" si="41"/>
        <v>0</v>
      </c>
      <c r="O264" s="233">
        <f t="shared" si="42"/>
        <v>-265616</v>
      </c>
      <c r="P264" s="223">
        <f t="shared" si="43"/>
        <v>-18.245929537331111</v>
      </c>
      <c r="Q264" s="224"/>
      <c r="R264" s="224"/>
      <c r="S264" s="225"/>
      <c r="T264" s="225"/>
      <c r="U264" s="225"/>
      <c r="V264" s="225"/>
      <c r="Z264" s="23"/>
      <c r="AA264" s="23"/>
      <c r="AB264" s="23"/>
      <c r="AC264" s="23"/>
    </row>
    <row r="265" spans="1:29" x14ac:dyDescent="0.25">
      <c r="A265" s="222">
        <f>'A) Base RI'!A267</f>
        <v>5843</v>
      </c>
      <c r="B265" s="62" t="str">
        <f>'A) Base RI'!B267</f>
        <v>Rougemont</v>
      </c>
      <c r="C265" s="61">
        <f>'D) Ecrêtage'!N265</f>
        <v>67072.399341015014</v>
      </c>
      <c r="D265" s="61">
        <v>1610482</v>
      </c>
      <c r="E265" s="18">
        <v>66795</v>
      </c>
      <c r="F265" s="73">
        <v>87047</v>
      </c>
      <c r="G265" s="18">
        <f t="shared" si="36"/>
        <v>1764324</v>
      </c>
      <c r="H265" s="61">
        <f t="shared" si="37"/>
        <v>536579</v>
      </c>
      <c r="I265" s="18">
        <f t="shared" si="38"/>
        <v>1227745</v>
      </c>
      <c r="J265" s="4">
        <f t="shared" si="39"/>
        <v>-882812</v>
      </c>
      <c r="K265" s="25">
        <v>0</v>
      </c>
      <c r="L265" s="18">
        <f t="shared" si="44"/>
        <v>67072</v>
      </c>
      <c r="M265" s="61">
        <f t="shared" si="40"/>
        <v>0</v>
      </c>
      <c r="N265" s="4">
        <f t="shared" si="41"/>
        <v>0</v>
      </c>
      <c r="O265" s="233">
        <f t="shared" si="42"/>
        <v>-882812</v>
      </c>
      <c r="P265" s="223">
        <f t="shared" si="43"/>
        <v>-13.162075737167751</v>
      </c>
      <c r="Q265" s="224"/>
      <c r="R265" s="224"/>
      <c r="S265" s="225"/>
      <c r="T265" s="225"/>
      <c r="U265" s="225"/>
      <c r="V265" s="225"/>
      <c r="Z265" s="23"/>
      <c r="AA265" s="23"/>
      <c r="AB265" s="23"/>
      <c r="AC265" s="23"/>
    </row>
    <row r="266" spans="1:29" x14ac:dyDescent="0.25">
      <c r="A266" s="222">
        <f>'A) Base RI'!A268</f>
        <v>5851</v>
      </c>
      <c r="B266" s="62" t="str">
        <f>'A) Base RI'!B268</f>
        <v>Allaman</v>
      </c>
      <c r="C266" s="61">
        <f>'D) Ecrêtage'!N266</f>
        <v>23760.179579681881</v>
      </c>
      <c r="D266" s="61">
        <v>99729</v>
      </c>
      <c r="E266" s="18">
        <v>23449</v>
      </c>
      <c r="F266" s="73">
        <v>45719</v>
      </c>
      <c r="G266" s="18">
        <f t="shared" si="36"/>
        <v>168897</v>
      </c>
      <c r="H266" s="61">
        <f t="shared" si="37"/>
        <v>190081</v>
      </c>
      <c r="I266" s="18">
        <f t="shared" si="38"/>
        <v>0</v>
      </c>
      <c r="J266" s="4">
        <f t="shared" si="39"/>
        <v>0</v>
      </c>
      <c r="K266" s="25">
        <v>5972</v>
      </c>
      <c r="L266" s="18">
        <f t="shared" si="44"/>
        <v>23760</v>
      </c>
      <c r="M266" s="61">
        <f t="shared" si="40"/>
        <v>0</v>
      </c>
      <c r="N266" s="4">
        <f t="shared" si="41"/>
        <v>0</v>
      </c>
      <c r="O266" s="233">
        <f t="shared" si="42"/>
        <v>0</v>
      </c>
      <c r="P266" s="223">
        <f t="shared" si="43"/>
        <v>0</v>
      </c>
      <c r="Q266" s="224"/>
      <c r="R266" s="224"/>
      <c r="S266" s="225"/>
      <c r="T266" s="225"/>
      <c r="U266" s="225"/>
      <c r="V266" s="225"/>
      <c r="Z266" s="23"/>
      <c r="AA266" s="23"/>
      <c r="AB266" s="23"/>
      <c r="AC266" s="23"/>
    </row>
    <row r="267" spans="1:29" x14ac:dyDescent="0.25">
      <c r="A267" s="222">
        <f>'A) Base RI'!A269</f>
        <v>5852</v>
      </c>
      <c r="B267" s="62" t="str">
        <f>'A) Base RI'!B269</f>
        <v>Bursinel</v>
      </c>
      <c r="C267" s="61">
        <f>'D) Ecrêtage'!N267</f>
        <v>28507.593195351863</v>
      </c>
      <c r="D267" s="61">
        <v>232518</v>
      </c>
      <c r="E267" s="18">
        <v>10992</v>
      </c>
      <c r="F267" s="73">
        <v>35778</v>
      </c>
      <c r="G267" s="18">
        <f t="shared" si="36"/>
        <v>279288</v>
      </c>
      <c r="H267" s="61">
        <f t="shared" si="37"/>
        <v>228061</v>
      </c>
      <c r="I267" s="18">
        <f t="shared" si="38"/>
        <v>51227</v>
      </c>
      <c r="J267" s="4">
        <f t="shared" si="39"/>
        <v>-36835</v>
      </c>
      <c r="K267" s="25">
        <v>373</v>
      </c>
      <c r="L267" s="18">
        <f t="shared" si="44"/>
        <v>28508</v>
      </c>
      <c r="M267" s="61">
        <f t="shared" si="40"/>
        <v>0</v>
      </c>
      <c r="N267" s="4">
        <f t="shared" si="41"/>
        <v>0</v>
      </c>
      <c r="O267" s="233">
        <f t="shared" si="42"/>
        <v>-36835</v>
      </c>
      <c r="P267" s="223">
        <f t="shared" si="43"/>
        <v>-1.292111885685457</v>
      </c>
      <c r="Q267" s="224"/>
      <c r="R267" s="224"/>
      <c r="S267" s="225"/>
      <c r="T267" s="225"/>
      <c r="U267" s="225"/>
      <c r="V267" s="225"/>
      <c r="Z267" s="23"/>
      <c r="AA267" s="23"/>
      <c r="AB267" s="23"/>
      <c r="AC267" s="23"/>
    </row>
    <row r="268" spans="1:29" x14ac:dyDescent="0.25">
      <c r="A268" s="222">
        <f>'A) Base RI'!A270</f>
        <v>5853</v>
      </c>
      <c r="B268" s="62" t="str">
        <f>'A) Base RI'!B270</f>
        <v>Bursins</v>
      </c>
      <c r="C268" s="61">
        <f>'D) Ecrêtage'!N268</f>
        <v>35670.275774647889</v>
      </c>
      <c r="D268" s="61">
        <v>216759</v>
      </c>
      <c r="E268" s="18">
        <v>31643</v>
      </c>
      <c r="F268" s="73">
        <v>59391</v>
      </c>
      <c r="G268" s="18">
        <f t="shared" si="36"/>
        <v>307793</v>
      </c>
      <c r="H268" s="61">
        <f t="shared" si="37"/>
        <v>285362</v>
      </c>
      <c r="I268" s="18">
        <f t="shared" si="38"/>
        <v>22431</v>
      </c>
      <c r="J268" s="4">
        <f t="shared" si="39"/>
        <v>-16129</v>
      </c>
      <c r="K268" s="25">
        <v>35552</v>
      </c>
      <c r="L268" s="18">
        <f t="shared" si="44"/>
        <v>35670</v>
      </c>
      <c r="M268" s="61">
        <f t="shared" si="40"/>
        <v>0</v>
      </c>
      <c r="N268" s="4">
        <f t="shared" si="41"/>
        <v>0</v>
      </c>
      <c r="O268" s="233">
        <f t="shared" si="42"/>
        <v>-16129</v>
      </c>
      <c r="P268" s="223">
        <f t="shared" si="43"/>
        <v>-0.45216919829544588</v>
      </c>
      <c r="Q268" s="224"/>
      <c r="R268" s="224"/>
      <c r="S268" s="225"/>
      <c r="T268" s="225"/>
      <c r="U268" s="225"/>
      <c r="V268" s="225"/>
      <c r="Z268" s="23"/>
      <c r="AA268" s="23"/>
      <c r="AB268" s="23"/>
      <c r="AC268" s="23"/>
    </row>
    <row r="269" spans="1:29" x14ac:dyDescent="0.25">
      <c r="A269" s="222">
        <f>'A) Base RI'!A271</f>
        <v>5854</v>
      </c>
      <c r="B269" s="62" t="str">
        <f>'A) Base RI'!B271</f>
        <v>Burtigny</v>
      </c>
      <c r="C269" s="61">
        <f>'D) Ecrêtage'!N269</f>
        <v>10927.480438596491</v>
      </c>
      <c r="D269" s="61">
        <v>52643</v>
      </c>
      <c r="E269" s="18">
        <v>8108</v>
      </c>
      <c r="F269" s="73">
        <v>40669</v>
      </c>
      <c r="G269" s="18">
        <f t="shared" si="36"/>
        <v>101420</v>
      </c>
      <c r="H269" s="61">
        <f t="shared" si="37"/>
        <v>87420</v>
      </c>
      <c r="I269" s="18">
        <f t="shared" si="38"/>
        <v>14000</v>
      </c>
      <c r="J269" s="4">
        <f t="shared" si="39"/>
        <v>-10067</v>
      </c>
      <c r="K269" s="25">
        <v>303515</v>
      </c>
      <c r="L269" s="18">
        <f t="shared" si="44"/>
        <v>10927</v>
      </c>
      <c r="M269" s="61">
        <f t="shared" si="40"/>
        <v>292588</v>
      </c>
      <c r="N269" s="4">
        <f t="shared" si="41"/>
        <v>-210386</v>
      </c>
      <c r="O269" s="233">
        <f t="shared" si="42"/>
        <v>-220453</v>
      </c>
      <c r="P269" s="223">
        <f t="shared" si="43"/>
        <v>-20.174183906232155</v>
      </c>
      <c r="Q269" s="224"/>
      <c r="R269" s="224"/>
      <c r="S269" s="225"/>
      <c r="T269" s="225"/>
      <c r="U269" s="225"/>
      <c r="V269" s="225"/>
      <c r="Z269" s="23"/>
      <c r="AA269" s="23"/>
      <c r="AB269" s="23"/>
      <c r="AC269" s="23"/>
    </row>
    <row r="270" spans="1:29" x14ac:dyDescent="0.25">
      <c r="A270" s="222">
        <f>'A) Base RI'!A272</f>
        <v>5855</v>
      </c>
      <c r="B270" s="62" t="str">
        <f>'A) Base RI'!B272</f>
        <v>Dully</v>
      </c>
      <c r="C270" s="61">
        <f>'D) Ecrêtage'!N270</f>
        <v>57346.504059432889</v>
      </c>
      <c r="D270" s="61">
        <v>170563</v>
      </c>
      <c r="E270" s="18">
        <v>12696</v>
      </c>
      <c r="F270" s="73">
        <v>41842</v>
      </c>
      <c r="G270" s="18">
        <f t="shared" si="36"/>
        <v>225101</v>
      </c>
      <c r="H270" s="61">
        <f t="shared" si="37"/>
        <v>458772</v>
      </c>
      <c r="I270" s="18">
        <f t="shared" si="38"/>
        <v>0</v>
      </c>
      <c r="J270" s="4">
        <f t="shared" si="39"/>
        <v>0</v>
      </c>
      <c r="K270" s="25">
        <v>2751</v>
      </c>
      <c r="L270" s="18">
        <f t="shared" si="44"/>
        <v>57347</v>
      </c>
      <c r="M270" s="61">
        <f t="shared" si="40"/>
        <v>0</v>
      </c>
      <c r="N270" s="4">
        <f t="shared" si="41"/>
        <v>0</v>
      </c>
      <c r="O270" s="233">
        <f t="shared" si="42"/>
        <v>0</v>
      </c>
      <c r="P270" s="223">
        <f t="shared" si="43"/>
        <v>0</v>
      </c>
      <c r="Q270" s="224"/>
      <c r="R270" s="224"/>
      <c r="S270" s="225"/>
      <c r="T270" s="225"/>
      <c r="U270" s="225"/>
      <c r="V270" s="225"/>
      <c r="Z270" s="23"/>
      <c r="AA270" s="23"/>
      <c r="AB270" s="23"/>
      <c r="AC270" s="23"/>
    </row>
    <row r="271" spans="1:29" x14ac:dyDescent="0.25">
      <c r="A271" s="222">
        <f>'A) Base RI'!A273</f>
        <v>5856</v>
      </c>
      <c r="B271" s="62" t="str">
        <f>'A) Base RI'!B273</f>
        <v>Essertines-sur-Rolle</v>
      </c>
      <c r="C271" s="61">
        <f>'D) Ecrêtage'!N271</f>
        <v>37372.082975113124</v>
      </c>
      <c r="D271" s="61">
        <v>201804</v>
      </c>
      <c r="E271" s="18">
        <v>15352</v>
      </c>
      <c r="F271" s="73">
        <v>69654</v>
      </c>
      <c r="G271" s="18">
        <f t="shared" si="36"/>
        <v>286810</v>
      </c>
      <c r="H271" s="61">
        <f t="shared" si="37"/>
        <v>298977</v>
      </c>
      <c r="I271" s="18">
        <f t="shared" si="38"/>
        <v>0</v>
      </c>
      <c r="J271" s="4">
        <f t="shared" si="39"/>
        <v>0</v>
      </c>
      <c r="K271" s="25">
        <v>11279</v>
      </c>
      <c r="L271" s="18">
        <f t="shared" si="44"/>
        <v>37372</v>
      </c>
      <c r="M271" s="61">
        <f t="shared" si="40"/>
        <v>0</v>
      </c>
      <c r="N271" s="4">
        <f t="shared" si="41"/>
        <v>0</v>
      </c>
      <c r="O271" s="233">
        <f t="shared" si="42"/>
        <v>0</v>
      </c>
      <c r="P271" s="223">
        <f t="shared" si="43"/>
        <v>0</v>
      </c>
      <c r="Q271" s="224"/>
      <c r="R271" s="224"/>
      <c r="S271" s="225"/>
      <c r="T271" s="225"/>
      <c r="U271" s="225"/>
      <c r="V271" s="225"/>
      <c r="Z271" s="23"/>
      <c r="AA271" s="23"/>
      <c r="AB271" s="23"/>
      <c r="AC271" s="23"/>
    </row>
    <row r="272" spans="1:29" x14ac:dyDescent="0.25">
      <c r="A272" s="222">
        <f>'A) Base RI'!A274</f>
        <v>5857</v>
      </c>
      <c r="B272" s="62" t="str">
        <f>'A) Base RI'!B274</f>
        <v>Gilly</v>
      </c>
      <c r="C272" s="61">
        <f>'D) Ecrêtage'!N272</f>
        <v>62471.810834773227</v>
      </c>
      <c r="D272" s="61">
        <v>161483</v>
      </c>
      <c r="E272" s="18">
        <v>34828</v>
      </c>
      <c r="F272" s="73">
        <v>74875</v>
      </c>
      <c r="G272" s="18">
        <f t="shared" si="36"/>
        <v>271186</v>
      </c>
      <c r="H272" s="61">
        <f t="shared" si="37"/>
        <v>499774</v>
      </c>
      <c r="I272" s="18">
        <f t="shared" si="38"/>
        <v>0</v>
      </c>
      <c r="J272" s="4">
        <f t="shared" si="39"/>
        <v>0</v>
      </c>
      <c r="K272" s="25">
        <v>42106</v>
      </c>
      <c r="L272" s="18">
        <f t="shared" si="44"/>
        <v>62472</v>
      </c>
      <c r="M272" s="61">
        <f t="shared" si="40"/>
        <v>0</v>
      </c>
      <c r="N272" s="4">
        <f t="shared" si="41"/>
        <v>0</v>
      </c>
      <c r="O272" s="233">
        <f t="shared" si="42"/>
        <v>0</v>
      </c>
      <c r="P272" s="223">
        <f t="shared" si="43"/>
        <v>0</v>
      </c>
      <c r="Q272" s="224"/>
      <c r="R272" s="224"/>
      <c r="S272" s="225"/>
      <c r="T272" s="225"/>
      <c r="U272" s="225"/>
      <c r="V272" s="225"/>
      <c r="Z272" s="23"/>
      <c r="AA272" s="23"/>
      <c r="AB272" s="23"/>
      <c r="AC272" s="23"/>
    </row>
    <row r="273" spans="1:29" x14ac:dyDescent="0.25">
      <c r="A273" s="222">
        <f>'A) Base RI'!A275</f>
        <v>5858</v>
      </c>
      <c r="B273" s="62" t="str">
        <f>'A) Base RI'!B275</f>
        <v>Luins</v>
      </c>
      <c r="C273" s="61">
        <f>'D) Ecrêtage'!N273</f>
        <v>34847.884728439996</v>
      </c>
      <c r="D273" s="61">
        <v>37330</v>
      </c>
      <c r="E273" s="18">
        <v>36204</v>
      </c>
      <c r="F273" s="73">
        <v>44883</v>
      </c>
      <c r="G273" s="18">
        <f t="shared" ref="G273:G322" si="45">D273+E273+F273</f>
        <v>118417</v>
      </c>
      <c r="H273" s="61">
        <f t="shared" ref="H273:H322" si="46">ROUND(C273*I$4,0)</f>
        <v>278783</v>
      </c>
      <c r="I273" s="18">
        <f t="shared" ref="I273:I322" si="47">IF(G273&gt;H273,G273-H273,0)</f>
        <v>0</v>
      </c>
      <c r="J273" s="4">
        <f t="shared" ref="J273:J322" si="48">ROUND(-I273*J$4,0)</f>
        <v>0</v>
      </c>
      <c r="K273" s="25">
        <v>7943</v>
      </c>
      <c r="L273" s="18">
        <f t="shared" si="44"/>
        <v>34848</v>
      </c>
      <c r="M273" s="61">
        <f t="shared" ref="M273:M322" si="49">IF(K273&gt;L273,K273-L273,0)</f>
        <v>0</v>
      </c>
      <c r="N273" s="4">
        <f t="shared" ref="N273:N322" si="50">ROUND(-M273*N$4,0)</f>
        <v>0</v>
      </c>
      <c r="O273" s="233">
        <f t="shared" ref="O273:O322" si="51">N273+J273</f>
        <v>0</v>
      </c>
      <c r="P273" s="223">
        <f t="shared" ref="P273:P322" si="52">O273/C273</f>
        <v>0</v>
      </c>
      <c r="Q273" s="224"/>
      <c r="R273" s="224"/>
      <c r="S273" s="225"/>
      <c r="T273" s="225"/>
      <c r="U273" s="225"/>
      <c r="V273" s="225"/>
      <c r="Z273" s="23"/>
      <c r="AA273" s="23"/>
      <c r="AB273" s="23"/>
      <c r="AC273" s="23"/>
    </row>
    <row r="274" spans="1:29" x14ac:dyDescent="0.25">
      <c r="A274" s="222">
        <f>'A) Base RI'!A276</f>
        <v>5859</v>
      </c>
      <c r="B274" s="62" t="str">
        <f>'A) Base RI'!B276</f>
        <v>Mont-sur-Rolle</v>
      </c>
      <c r="C274" s="61">
        <f>'D) Ecrêtage'!N274</f>
        <v>135944.39825396828</v>
      </c>
      <c r="D274" s="61">
        <v>425168</v>
      </c>
      <c r="E274" s="18">
        <v>116235</v>
      </c>
      <c r="F274" s="73">
        <v>211552</v>
      </c>
      <c r="G274" s="18">
        <f t="shared" si="45"/>
        <v>752955</v>
      </c>
      <c r="H274" s="61">
        <f t="shared" si="46"/>
        <v>1087555</v>
      </c>
      <c r="I274" s="18">
        <f t="shared" si="47"/>
        <v>0</v>
      </c>
      <c r="J274" s="4">
        <f t="shared" si="48"/>
        <v>0</v>
      </c>
      <c r="K274" s="25">
        <v>2930</v>
      </c>
      <c r="L274" s="18">
        <f t="shared" si="44"/>
        <v>135944</v>
      </c>
      <c r="M274" s="61">
        <f t="shared" si="49"/>
        <v>0</v>
      </c>
      <c r="N274" s="4">
        <f t="shared" si="50"/>
        <v>0</v>
      </c>
      <c r="O274" s="233">
        <f t="shared" si="51"/>
        <v>0</v>
      </c>
      <c r="P274" s="223">
        <f t="shared" si="52"/>
        <v>0</v>
      </c>
      <c r="Q274" s="224"/>
      <c r="R274" s="224"/>
      <c r="S274" s="225"/>
      <c r="T274" s="225"/>
      <c r="U274" s="225"/>
      <c r="V274" s="225"/>
      <c r="Z274" s="23"/>
      <c r="AA274" s="23"/>
      <c r="AB274" s="23"/>
      <c r="AC274" s="23"/>
    </row>
    <row r="275" spans="1:29" x14ac:dyDescent="0.25">
      <c r="A275" s="222">
        <f>'A) Base RI'!A277</f>
        <v>5860</v>
      </c>
      <c r="B275" s="62" t="str">
        <f>'A) Base RI'!B277</f>
        <v>Perroy</v>
      </c>
      <c r="C275" s="61">
        <f>'D) Ecrêtage'!N275</f>
        <v>70993.86</v>
      </c>
      <c r="D275" s="61">
        <v>70840</v>
      </c>
      <c r="E275" s="18">
        <v>31591</v>
      </c>
      <c r="F275" s="73">
        <v>108352</v>
      </c>
      <c r="G275" s="18">
        <f t="shared" si="45"/>
        <v>210783</v>
      </c>
      <c r="H275" s="61">
        <f t="shared" si="46"/>
        <v>567951</v>
      </c>
      <c r="I275" s="18">
        <f t="shared" si="47"/>
        <v>0</v>
      </c>
      <c r="J275" s="4">
        <f t="shared" si="48"/>
        <v>0</v>
      </c>
      <c r="K275" s="25">
        <v>4604</v>
      </c>
      <c r="L275" s="18">
        <f t="shared" si="44"/>
        <v>70994</v>
      </c>
      <c r="M275" s="61">
        <f t="shared" si="49"/>
        <v>0</v>
      </c>
      <c r="N275" s="4">
        <f t="shared" si="50"/>
        <v>0</v>
      </c>
      <c r="O275" s="233">
        <f t="shared" si="51"/>
        <v>0</v>
      </c>
      <c r="P275" s="223">
        <f t="shared" si="52"/>
        <v>0</v>
      </c>
      <c r="Q275" s="224"/>
      <c r="R275" s="224"/>
      <c r="S275" s="225"/>
      <c r="T275" s="225"/>
      <c r="U275" s="225"/>
      <c r="V275" s="225"/>
      <c r="Z275" s="23"/>
      <c r="AA275" s="23"/>
      <c r="AB275" s="23"/>
      <c r="AC275" s="23"/>
    </row>
    <row r="276" spans="1:29" x14ac:dyDescent="0.25">
      <c r="A276" s="222">
        <f>'A) Base RI'!A278</f>
        <v>5861</v>
      </c>
      <c r="B276" s="62" t="str">
        <f>'A) Base RI'!B278</f>
        <v>Rolle</v>
      </c>
      <c r="C276" s="61">
        <f>'D) Ecrêtage'!N276</f>
        <v>345453.70007532346</v>
      </c>
      <c r="D276" s="61">
        <v>2350761</v>
      </c>
      <c r="E276" s="18">
        <v>557199</v>
      </c>
      <c r="F276" s="73">
        <v>432472</v>
      </c>
      <c r="G276" s="18">
        <f t="shared" si="45"/>
        <v>3340432</v>
      </c>
      <c r="H276" s="61">
        <f t="shared" si="46"/>
        <v>2763630</v>
      </c>
      <c r="I276" s="18">
        <f t="shared" si="47"/>
        <v>576802</v>
      </c>
      <c r="J276" s="4">
        <f t="shared" si="48"/>
        <v>-414750</v>
      </c>
      <c r="K276" s="25">
        <v>72743</v>
      </c>
      <c r="L276" s="18">
        <f t="shared" si="44"/>
        <v>345454</v>
      </c>
      <c r="M276" s="61">
        <f t="shared" si="49"/>
        <v>0</v>
      </c>
      <c r="N276" s="4">
        <f t="shared" si="50"/>
        <v>0</v>
      </c>
      <c r="O276" s="233">
        <f t="shared" si="51"/>
        <v>-414750</v>
      </c>
      <c r="P276" s="223">
        <f t="shared" si="52"/>
        <v>-1.2005950432997736</v>
      </c>
      <c r="Q276" s="224"/>
      <c r="R276" s="224"/>
      <c r="S276" s="225"/>
      <c r="T276" s="225"/>
      <c r="U276" s="225"/>
      <c r="V276" s="225"/>
      <c r="Z276" s="23"/>
      <c r="AA276" s="23"/>
      <c r="AB276" s="23"/>
      <c r="AC276" s="23"/>
    </row>
    <row r="277" spans="1:29" x14ac:dyDescent="0.25">
      <c r="A277" s="222">
        <f>'A) Base RI'!A279</f>
        <v>5862</v>
      </c>
      <c r="B277" s="62" t="str">
        <f>'A) Base RI'!B279</f>
        <v>Tartegnin</v>
      </c>
      <c r="C277" s="61">
        <f>'D) Ecrêtage'!N277</f>
        <v>7735.2980158730161</v>
      </c>
      <c r="D277" s="61">
        <v>50642</v>
      </c>
      <c r="E277" s="18">
        <v>5155</v>
      </c>
      <c r="F277" s="73">
        <v>19697</v>
      </c>
      <c r="G277" s="18">
        <f t="shared" si="45"/>
        <v>75494</v>
      </c>
      <c r="H277" s="61">
        <f t="shared" si="46"/>
        <v>61882</v>
      </c>
      <c r="I277" s="18">
        <f t="shared" si="47"/>
        <v>13612</v>
      </c>
      <c r="J277" s="4">
        <f t="shared" si="48"/>
        <v>-9788</v>
      </c>
      <c r="K277" s="25">
        <v>1129</v>
      </c>
      <c r="L277" s="18">
        <f t="shared" si="44"/>
        <v>7735</v>
      </c>
      <c r="M277" s="61">
        <f t="shared" si="49"/>
        <v>0</v>
      </c>
      <c r="N277" s="4">
        <f t="shared" si="50"/>
        <v>0</v>
      </c>
      <c r="O277" s="233">
        <f t="shared" si="51"/>
        <v>-9788</v>
      </c>
      <c r="P277" s="223">
        <f t="shared" si="52"/>
        <v>-1.2653681836064739</v>
      </c>
      <c r="Q277" s="224"/>
      <c r="R277" s="224"/>
      <c r="S277" s="225"/>
      <c r="T277" s="225"/>
      <c r="U277" s="225"/>
      <c r="V277" s="225"/>
      <c r="Z277" s="23"/>
      <c r="AA277" s="23"/>
      <c r="AB277" s="23"/>
      <c r="AC277" s="23"/>
    </row>
    <row r="278" spans="1:29" x14ac:dyDescent="0.25">
      <c r="A278" s="222">
        <f>'A) Base RI'!A280</f>
        <v>5863</v>
      </c>
      <c r="B278" s="62" t="str">
        <f>'A) Base RI'!B280</f>
        <v>Vinzel</v>
      </c>
      <c r="C278" s="61">
        <f>'D) Ecrêtage'!N278</f>
        <v>20507.4013427506</v>
      </c>
      <c r="D278" s="61">
        <v>7306</v>
      </c>
      <c r="E278" s="18">
        <v>12087</v>
      </c>
      <c r="F278" s="73">
        <v>27228</v>
      </c>
      <c r="G278" s="18">
        <f t="shared" si="45"/>
        <v>46621</v>
      </c>
      <c r="H278" s="61">
        <f t="shared" si="46"/>
        <v>164059</v>
      </c>
      <c r="I278" s="18">
        <f t="shared" si="47"/>
        <v>0</v>
      </c>
      <c r="J278" s="4">
        <f t="shared" si="48"/>
        <v>0</v>
      </c>
      <c r="K278" s="25">
        <v>15391</v>
      </c>
      <c r="L278" s="18">
        <f t="shared" si="44"/>
        <v>20507</v>
      </c>
      <c r="M278" s="61">
        <f t="shared" si="49"/>
        <v>0</v>
      </c>
      <c r="N278" s="4">
        <f t="shared" si="50"/>
        <v>0</v>
      </c>
      <c r="O278" s="233">
        <f t="shared" si="51"/>
        <v>0</v>
      </c>
      <c r="P278" s="223">
        <f t="shared" si="52"/>
        <v>0</v>
      </c>
      <c r="Q278" s="224"/>
      <c r="R278" s="224"/>
      <c r="S278" s="225"/>
      <c r="T278" s="225"/>
      <c r="U278" s="225"/>
      <c r="V278" s="225"/>
      <c r="Z278" s="23"/>
      <c r="AA278" s="23"/>
      <c r="AB278" s="23"/>
      <c r="AC278" s="23"/>
    </row>
    <row r="279" spans="1:29" x14ac:dyDescent="0.25">
      <c r="A279" s="222">
        <f>'A) Base RI'!A281</f>
        <v>5871</v>
      </c>
      <c r="B279" s="62" t="str">
        <f>'A) Base RI'!B281</f>
        <v>L'Abbaye</v>
      </c>
      <c r="C279" s="61">
        <f>'D) Ecrêtage'!N279</f>
        <v>60910.131722525337</v>
      </c>
      <c r="D279" s="61">
        <v>417088</v>
      </c>
      <c r="E279" s="18">
        <v>80872</v>
      </c>
      <c r="F279" s="73">
        <v>175293</v>
      </c>
      <c r="G279" s="18">
        <f t="shared" si="45"/>
        <v>673253</v>
      </c>
      <c r="H279" s="61">
        <f t="shared" si="46"/>
        <v>487281</v>
      </c>
      <c r="I279" s="18">
        <f t="shared" si="47"/>
        <v>185972</v>
      </c>
      <c r="J279" s="4">
        <f t="shared" si="48"/>
        <v>-133723</v>
      </c>
      <c r="K279" s="25">
        <v>10586</v>
      </c>
      <c r="L279" s="18">
        <f t="shared" si="44"/>
        <v>60910</v>
      </c>
      <c r="M279" s="61">
        <f t="shared" si="49"/>
        <v>0</v>
      </c>
      <c r="N279" s="4">
        <f t="shared" si="50"/>
        <v>0</v>
      </c>
      <c r="O279" s="233">
        <f t="shared" si="51"/>
        <v>-133723</v>
      </c>
      <c r="P279" s="223">
        <f t="shared" si="52"/>
        <v>-2.1954147235992192</v>
      </c>
      <c r="Q279" s="224"/>
      <c r="R279" s="224"/>
      <c r="S279" s="225"/>
      <c r="T279" s="225"/>
      <c r="U279" s="225"/>
      <c r="V279" s="225"/>
      <c r="Z279" s="23"/>
      <c r="AA279" s="23"/>
      <c r="AB279" s="23"/>
      <c r="AC279" s="23"/>
    </row>
    <row r="280" spans="1:29" x14ac:dyDescent="0.25">
      <c r="A280" s="222">
        <f>'A) Base RI'!A282</f>
        <v>5872</v>
      </c>
      <c r="B280" s="62" t="str">
        <f>'A) Base RI'!B282</f>
        <v>Le Chenit</v>
      </c>
      <c r="C280" s="61">
        <f>'D) Ecrêtage'!N280</f>
        <v>322224.61483798281</v>
      </c>
      <c r="D280" s="61">
        <v>2925972</v>
      </c>
      <c r="E280" s="18">
        <v>261374</v>
      </c>
      <c r="F280" s="73">
        <v>641091</v>
      </c>
      <c r="G280" s="18">
        <f t="shared" si="45"/>
        <v>3828437</v>
      </c>
      <c r="H280" s="61">
        <f t="shared" si="46"/>
        <v>2577797</v>
      </c>
      <c r="I280" s="18">
        <f t="shared" si="47"/>
        <v>1250640</v>
      </c>
      <c r="J280" s="4">
        <f t="shared" si="48"/>
        <v>-899275</v>
      </c>
      <c r="K280" s="25">
        <v>346188</v>
      </c>
      <c r="L280" s="18">
        <f t="shared" si="44"/>
        <v>322225</v>
      </c>
      <c r="M280" s="61">
        <f t="shared" si="49"/>
        <v>23963</v>
      </c>
      <c r="N280" s="4">
        <f t="shared" si="50"/>
        <v>-17231</v>
      </c>
      <c r="O280" s="233">
        <f t="shared" si="51"/>
        <v>-916506</v>
      </c>
      <c r="P280" s="223">
        <f t="shared" si="52"/>
        <v>-2.8443078455096509</v>
      </c>
      <c r="Q280" s="224"/>
      <c r="R280" s="224"/>
      <c r="S280" s="225"/>
      <c r="T280" s="225"/>
      <c r="U280" s="225"/>
      <c r="V280" s="225"/>
      <c r="Z280" s="23"/>
      <c r="AA280" s="23"/>
      <c r="AB280" s="23"/>
      <c r="AC280" s="23"/>
    </row>
    <row r="281" spans="1:29" x14ac:dyDescent="0.25">
      <c r="A281" s="222">
        <f>'A) Base RI'!A283</f>
        <v>5873</v>
      </c>
      <c r="B281" s="62" t="str">
        <f>'A) Base RI'!B283</f>
        <v>Le Lieu</v>
      </c>
      <c r="C281" s="61">
        <f>'D) Ecrêtage'!N281</f>
        <v>39370.007846153843</v>
      </c>
      <c r="D281" s="61">
        <v>691012</v>
      </c>
      <c r="E281" s="18">
        <v>50976</v>
      </c>
      <c r="F281" s="73">
        <v>126648</v>
      </c>
      <c r="G281" s="18">
        <f t="shared" si="45"/>
        <v>868636</v>
      </c>
      <c r="H281" s="61">
        <f t="shared" si="46"/>
        <v>314960</v>
      </c>
      <c r="I281" s="18">
        <f t="shared" si="47"/>
        <v>553676</v>
      </c>
      <c r="J281" s="4">
        <f t="shared" si="48"/>
        <v>-398122</v>
      </c>
      <c r="K281" s="25">
        <v>307610</v>
      </c>
      <c r="L281" s="18">
        <f t="shared" si="44"/>
        <v>39370</v>
      </c>
      <c r="M281" s="61">
        <f t="shared" si="49"/>
        <v>268240</v>
      </c>
      <c r="N281" s="4">
        <f t="shared" si="50"/>
        <v>-192878</v>
      </c>
      <c r="O281" s="233">
        <f t="shared" si="51"/>
        <v>-591000</v>
      </c>
      <c r="P281" s="223">
        <f t="shared" si="52"/>
        <v>-15.011427031192129</v>
      </c>
      <c r="Q281" s="224"/>
      <c r="R281" s="224"/>
      <c r="S281" s="225"/>
      <c r="T281" s="225"/>
      <c r="U281" s="225"/>
      <c r="V281" s="225"/>
      <c r="Z281" s="23"/>
      <c r="AA281" s="23"/>
      <c r="AB281" s="23"/>
      <c r="AC281" s="23"/>
    </row>
    <row r="282" spans="1:29" x14ac:dyDescent="0.25">
      <c r="A282" s="222">
        <f>'A) Base RI'!A284</f>
        <v>5881</v>
      </c>
      <c r="B282" s="62" t="str">
        <f>'A) Base RI'!B284</f>
        <v>Blonay</v>
      </c>
      <c r="C282" s="61">
        <f>'D) Ecrêtage'!N282</f>
        <v>331887.5422222222</v>
      </c>
      <c r="D282" s="61">
        <v>2039338</v>
      </c>
      <c r="E282" s="18">
        <v>761337</v>
      </c>
      <c r="F282" s="73">
        <v>314717</v>
      </c>
      <c r="G282" s="18">
        <f t="shared" si="45"/>
        <v>3115392</v>
      </c>
      <c r="H282" s="61">
        <f t="shared" si="46"/>
        <v>2655100</v>
      </c>
      <c r="I282" s="18">
        <f t="shared" si="47"/>
        <v>460292</v>
      </c>
      <c r="J282" s="4">
        <f t="shared" si="48"/>
        <v>-330974</v>
      </c>
      <c r="K282" s="25">
        <v>554436</v>
      </c>
      <c r="L282" s="18">
        <f t="shared" si="44"/>
        <v>331888</v>
      </c>
      <c r="M282" s="61">
        <f t="shared" si="49"/>
        <v>222548</v>
      </c>
      <c r="N282" s="4">
        <f t="shared" si="50"/>
        <v>-160023</v>
      </c>
      <c r="O282" s="233">
        <f t="shared" si="51"/>
        <v>-490997</v>
      </c>
      <c r="P282" s="223">
        <f t="shared" si="52"/>
        <v>-1.4794077436966366</v>
      </c>
      <c r="Q282" s="224"/>
      <c r="R282" s="224"/>
      <c r="S282" s="225"/>
      <c r="T282" s="225"/>
      <c r="U282" s="225"/>
      <c r="V282" s="225"/>
      <c r="Z282" s="23"/>
      <c r="AA282" s="23"/>
      <c r="AB282" s="23"/>
      <c r="AC282" s="23"/>
    </row>
    <row r="283" spans="1:29" x14ac:dyDescent="0.25">
      <c r="A283" s="222">
        <f>'A) Base RI'!A285</f>
        <v>5882</v>
      </c>
      <c r="B283" s="62" t="str">
        <f>'A) Base RI'!B285</f>
        <v>Chardonne</v>
      </c>
      <c r="C283" s="61">
        <f>'D) Ecrêtage'!N283</f>
        <v>159535.56206879998</v>
      </c>
      <c r="D283" s="61">
        <v>1155175</v>
      </c>
      <c r="E283" s="18">
        <v>257144</v>
      </c>
      <c r="F283" s="73">
        <v>161942</v>
      </c>
      <c r="G283" s="18">
        <f t="shared" si="45"/>
        <v>1574261</v>
      </c>
      <c r="H283" s="61">
        <f t="shared" si="46"/>
        <v>1276284</v>
      </c>
      <c r="I283" s="18">
        <f t="shared" si="47"/>
        <v>297977</v>
      </c>
      <c r="J283" s="4">
        <f t="shared" si="48"/>
        <v>-214261</v>
      </c>
      <c r="K283" s="25">
        <v>13066</v>
      </c>
      <c r="L283" s="18">
        <f t="shared" si="44"/>
        <v>159536</v>
      </c>
      <c r="M283" s="61">
        <f t="shared" si="49"/>
        <v>0</v>
      </c>
      <c r="N283" s="4">
        <f t="shared" si="50"/>
        <v>0</v>
      </c>
      <c r="O283" s="233">
        <f t="shared" si="51"/>
        <v>-214261</v>
      </c>
      <c r="P283" s="223">
        <f t="shared" si="52"/>
        <v>-1.3430297121315158</v>
      </c>
      <c r="Q283" s="224"/>
      <c r="R283" s="224"/>
      <c r="S283" s="225"/>
      <c r="T283" s="225"/>
      <c r="U283" s="225"/>
      <c r="V283" s="225"/>
      <c r="Z283" s="23"/>
      <c r="AA283" s="23"/>
      <c r="AB283" s="23"/>
      <c r="AC283" s="23"/>
    </row>
    <row r="284" spans="1:29" x14ac:dyDescent="0.25">
      <c r="A284" s="222">
        <f>'A) Base RI'!A286</f>
        <v>5883</v>
      </c>
      <c r="B284" s="62" t="str">
        <f>'A) Base RI'!B286</f>
        <v>Corseaux</v>
      </c>
      <c r="C284" s="61">
        <f>'D) Ecrêtage'!N284</f>
        <v>144138.14886128373</v>
      </c>
      <c r="D284" s="61">
        <v>356717</v>
      </c>
      <c r="E284" s="18">
        <v>470969</v>
      </c>
      <c r="F284" s="73">
        <v>117477</v>
      </c>
      <c r="G284" s="18">
        <f t="shared" si="45"/>
        <v>945163</v>
      </c>
      <c r="H284" s="61">
        <f t="shared" si="46"/>
        <v>1153105</v>
      </c>
      <c r="I284" s="18">
        <f t="shared" si="47"/>
        <v>0</v>
      </c>
      <c r="J284" s="4">
        <f t="shared" si="48"/>
        <v>0</v>
      </c>
      <c r="K284" s="25">
        <v>3319</v>
      </c>
      <c r="L284" s="18">
        <f t="shared" si="44"/>
        <v>144138</v>
      </c>
      <c r="M284" s="61">
        <f t="shared" si="49"/>
        <v>0</v>
      </c>
      <c r="N284" s="4">
        <f t="shared" si="50"/>
        <v>0</v>
      </c>
      <c r="O284" s="233">
        <f t="shared" si="51"/>
        <v>0</v>
      </c>
      <c r="P284" s="223">
        <f t="shared" si="52"/>
        <v>0</v>
      </c>
      <c r="Q284" s="224"/>
      <c r="R284" s="224"/>
      <c r="S284" s="225"/>
      <c r="T284" s="225"/>
      <c r="U284" s="225"/>
      <c r="V284" s="225"/>
      <c r="Z284" s="23"/>
      <c r="AA284" s="23"/>
      <c r="AB284" s="23"/>
      <c r="AC284" s="23"/>
    </row>
    <row r="285" spans="1:29" x14ac:dyDescent="0.25">
      <c r="A285" s="222">
        <f>'A) Base RI'!A287</f>
        <v>5884</v>
      </c>
      <c r="B285" s="62" t="str">
        <f>'A) Base RI'!B287</f>
        <v>Corsier-sur-Vevey</v>
      </c>
      <c r="C285" s="61">
        <f>'D) Ecrêtage'!N285</f>
        <v>121405.28277777777</v>
      </c>
      <c r="D285" s="61">
        <v>892466</v>
      </c>
      <c r="E285" s="18">
        <v>745450</v>
      </c>
      <c r="F285" s="73">
        <v>199991</v>
      </c>
      <c r="G285" s="18">
        <f t="shared" si="45"/>
        <v>1837907</v>
      </c>
      <c r="H285" s="61">
        <f t="shared" si="46"/>
        <v>971242</v>
      </c>
      <c r="I285" s="18">
        <f t="shared" si="47"/>
        <v>866665</v>
      </c>
      <c r="J285" s="4">
        <f t="shared" si="48"/>
        <v>-623177</v>
      </c>
      <c r="K285" s="25">
        <v>8820</v>
      </c>
      <c r="L285" s="18">
        <f t="shared" si="44"/>
        <v>121405</v>
      </c>
      <c r="M285" s="61">
        <f t="shared" si="49"/>
        <v>0</v>
      </c>
      <c r="N285" s="4">
        <f t="shared" si="50"/>
        <v>0</v>
      </c>
      <c r="O285" s="233">
        <f t="shared" si="51"/>
        <v>-623177</v>
      </c>
      <c r="P285" s="223">
        <f t="shared" si="52"/>
        <v>-5.1330303405385864</v>
      </c>
      <c r="Q285" s="224"/>
      <c r="R285" s="224"/>
      <c r="S285" s="225"/>
      <c r="T285" s="225"/>
      <c r="U285" s="225"/>
      <c r="V285" s="225"/>
      <c r="Z285" s="23"/>
      <c r="AA285" s="23"/>
      <c r="AB285" s="23"/>
      <c r="AC285" s="23"/>
    </row>
    <row r="286" spans="1:29" x14ac:dyDescent="0.25">
      <c r="A286" s="222">
        <f>'A) Base RI'!A288</f>
        <v>5885</v>
      </c>
      <c r="B286" s="62" t="str">
        <f>'A) Base RI'!B288</f>
        <v>Jongny</v>
      </c>
      <c r="C286" s="61">
        <f>'D) Ecrêtage'!N286</f>
        <v>76199.638309178743</v>
      </c>
      <c r="D286" s="61">
        <v>416779</v>
      </c>
      <c r="E286" s="18">
        <v>107769</v>
      </c>
      <c r="F286" s="73">
        <v>95654</v>
      </c>
      <c r="G286" s="18">
        <f t="shared" si="45"/>
        <v>620202</v>
      </c>
      <c r="H286" s="61">
        <f t="shared" si="46"/>
        <v>609597</v>
      </c>
      <c r="I286" s="18">
        <f t="shared" si="47"/>
        <v>10605</v>
      </c>
      <c r="J286" s="4">
        <f t="shared" si="48"/>
        <v>-7626</v>
      </c>
      <c r="K286" s="25">
        <v>10668</v>
      </c>
      <c r="L286" s="18">
        <f t="shared" si="44"/>
        <v>76200</v>
      </c>
      <c r="M286" s="61">
        <f t="shared" si="49"/>
        <v>0</v>
      </c>
      <c r="N286" s="4">
        <f t="shared" si="50"/>
        <v>0</v>
      </c>
      <c r="O286" s="233">
        <f t="shared" si="51"/>
        <v>-7626</v>
      </c>
      <c r="P286" s="223">
        <f t="shared" si="52"/>
        <v>-0.10007921519335347</v>
      </c>
      <c r="Q286" s="224"/>
      <c r="R286" s="224"/>
      <c r="S286" s="225"/>
      <c r="T286" s="225"/>
      <c r="U286" s="225"/>
      <c r="V286" s="225"/>
      <c r="Z286" s="23"/>
      <c r="AA286" s="23"/>
      <c r="AB286" s="23"/>
      <c r="AC286" s="23"/>
    </row>
    <row r="287" spans="1:29" x14ac:dyDescent="0.25">
      <c r="A287" s="222">
        <f>'A) Base RI'!A289</f>
        <v>5886</v>
      </c>
      <c r="B287" s="62" t="str">
        <f>'A) Base RI'!B289</f>
        <v>Montreux</v>
      </c>
      <c r="C287" s="61">
        <f>'D) Ecrêtage'!N287</f>
        <v>1119854.9833838383</v>
      </c>
      <c r="D287" s="61">
        <v>10251780</v>
      </c>
      <c r="E287" s="18">
        <v>3968496</v>
      </c>
      <c r="F287" s="73">
        <v>297608</v>
      </c>
      <c r="G287" s="18">
        <f t="shared" si="45"/>
        <v>14517884</v>
      </c>
      <c r="H287" s="61">
        <f t="shared" si="46"/>
        <v>8958840</v>
      </c>
      <c r="I287" s="18">
        <f t="shared" si="47"/>
        <v>5559044</v>
      </c>
      <c r="J287" s="4">
        <f t="shared" si="48"/>
        <v>-3997240</v>
      </c>
      <c r="K287" s="25">
        <v>1562678</v>
      </c>
      <c r="L287" s="18">
        <f t="shared" si="44"/>
        <v>1119855</v>
      </c>
      <c r="M287" s="61">
        <f t="shared" si="49"/>
        <v>442823</v>
      </c>
      <c r="N287" s="4">
        <f t="shared" si="50"/>
        <v>-318413</v>
      </c>
      <c r="O287" s="233">
        <f t="shared" si="51"/>
        <v>-4315653</v>
      </c>
      <c r="P287" s="223">
        <f t="shared" si="52"/>
        <v>-3.8537605886786315</v>
      </c>
      <c r="Q287" s="224"/>
      <c r="R287" s="224"/>
      <c r="S287" s="225"/>
      <c r="T287" s="225"/>
      <c r="U287" s="225"/>
      <c r="V287" s="225"/>
      <c r="Z287" s="23"/>
      <c r="AA287" s="23"/>
      <c r="AB287" s="23"/>
      <c r="AC287" s="23"/>
    </row>
    <row r="288" spans="1:29" x14ac:dyDescent="0.25">
      <c r="A288" s="222">
        <f>'A) Base RI'!A290</f>
        <v>5888</v>
      </c>
      <c r="B288" s="62" t="str">
        <f>'A) Base RI'!B290</f>
        <v>St-Légier-La Chiésaz</v>
      </c>
      <c r="C288" s="61">
        <f>'D) Ecrêtage'!N288</f>
        <v>329207.26907849044</v>
      </c>
      <c r="D288" s="61">
        <v>2346051</v>
      </c>
      <c r="E288" s="18">
        <v>745468</v>
      </c>
      <c r="F288" s="73">
        <v>270803</v>
      </c>
      <c r="G288" s="18">
        <f t="shared" si="45"/>
        <v>3362322</v>
      </c>
      <c r="H288" s="61">
        <f t="shared" si="46"/>
        <v>2633658</v>
      </c>
      <c r="I288" s="18">
        <f t="shared" si="47"/>
        <v>728664</v>
      </c>
      <c r="J288" s="4">
        <f t="shared" si="48"/>
        <v>-523947</v>
      </c>
      <c r="K288" s="25">
        <v>896163</v>
      </c>
      <c r="L288" s="18">
        <f t="shared" si="44"/>
        <v>329207</v>
      </c>
      <c r="M288" s="61">
        <f t="shared" si="49"/>
        <v>566956</v>
      </c>
      <c r="N288" s="4">
        <f t="shared" si="50"/>
        <v>-407671</v>
      </c>
      <c r="O288" s="233">
        <f t="shared" si="51"/>
        <v>-931618</v>
      </c>
      <c r="P288" s="223">
        <f t="shared" si="52"/>
        <v>-2.8298828352355767</v>
      </c>
      <c r="Q288" s="224"/>
      <c r="R288" s="224"/>
      <c r="S288" s="225"/>
      <c r="T288" s="225"/>
      <c r="U288" s="225"/>
      <c r="V288" s="225"/>
      <c r="Z288" s="23"/>
      <c r="AA288" s="23"/>
      <c r="AB288" s="23"/>
      <c r="AC288" s="23"/>
    </row>
    <row r="289" spans="1:29" x14ac:dyDescent="0.25">
      <c r="A289" s="222">
        <f>'A) Base RI'!A291</f>
        <v>5889</v>
      </c>
      <c r="B289" s="62" t="str">
        <f>'A) Base RI'!B291</f>
        <v>La Tour-de-Peilz</v>
      </c>
      <c r="C289" s="61">
        <f>'D) Ecrêtage'!N289</f>
        <v>593029.02942708356</v>
      </c>
      <c r="D289" s="61">
        <v>2927760</v>
      </c>
      <c r="E289" s="18">
        <v>1448908</v>
      </c>
      <c r="F289" s="73">
        <v>5935</v>
      </c>
      <c r="G289" s="18">
        <f t="shared" si="45"/>
        <v>4382603</v>
      </c>
      <c r="H289" s="61">
        <f t="shared" si="46"/>
        <v>4744232</v>
      </c>
      <c r="I289" s="18">
        <f t="shared" si="47"/>
        <v>0</v>
      </c>
      <c r="J289" s="4">
        <f t="shared" si="48"/>
        <v>0</v>
      </c>
      <c r="K289" s="25">
        <v>73683</v>
      </c>
      <c r="L289" s="18">
        <f t="shared" si="44"/>
        <v>593029</v>
      </c>
      <c r="M289" s="61">
        <f t="shared" si="49"/>
        <v>0</v>
      </c>
      <c r="N289" s="4">
        <f t="shared" si="50"/>
        <v>0</v>
      </c>
      <c r="O289" s="233">
        <f t="shared" si="51"/>
        <v>0</v>
      </c>
      <c r="P289" s="223">
        <f t="shared" si="52"/>
        <v>0</v>
      </c>
      <c r="Q289" s="224"/>
      <c r="R289" s="224"/>
      <c r="S289" s="225"/>
      <c r="T289" s="225"/>
      <c r="U289" s="225"/>
      <c r="V289" s="225"/>
      <c r="Z289" s="23"/>
      <c r="AA289" s="23"/>
      <c r="AB289" s="23"/>
      <c r="AC289" s="23"/>
    </row>
    <row r="290" spans="1:29" x14ac:dyDescent="0.25">
      <c r="A290" s="222">
        <f>'A) Base RI'!A292</f>
        <v>5890</v>
      </c>
      <c r="B290" s="62" t="str">
        <f>'A) Base RI'!B292</f>
        <v>Vevey</v>
      </c>
      <c r="C290" s="61">
        <f>'D) Ecrêtage'!N290</f>
        <v>920050.18059360737</v>
      </c>
      <c r="D290" s="61">
        <v>5329655</v>
      </c>
      <c r="E290" s="18">
        <v>2968439</v>
      </c>
      <c r="F290" s="73">
        <v>151176</v>
      </c>
      <c r="G290" s="18">
        <f t="shared" si="45"/>
        <v>8449270</v>
      </c>
      <c r="H290" s="61">
        <f t="shared" si="46"/>
        <v>7360401</v>
      </c>
      <c r="I290" s="18">
        <f t="shared" si="47"/>
        <v>1088869</v>
      </c>
      <c r="J290" s="4">
        <f t="shared" si="48"/>
        <v>-782953</v>
      </c>
      <c r="K290" s="25">
        <v>100000</v>
      </c>
      <c r="L290" s="18">
        <f t="shared" si="44"/>
        <v>920050</v>
      </c>
      <c r="M290" s="61">
        <f t="shared" si="49"/>
        <v>0</v>
      </c>
      <c r="N290" s="4">
        <f t="shared" si="50"/>
        <v>0</v>
      </c>
      <c r="O290" s="233">
        <f t="shared" si="51"/>
        <v>-782953</v>
      </c>
      <c r="P290" s="223">
        <f t="shared" si="52"/>
        <v>-0.8509894530914025</v>
      </c>
      <c r="Q290" s="224"/>
      <c r="R290" s="224"/>
      <c r="S290" s="225"/>
      <c r="T290" s="225"/>
      <c r="U290" s="225"/>
      <c r="V290" s="225"/>
      <c r="Z290" s="23"/>
      <c r="AA290" s="23"/>
      <c r="AB290" s="23"/>
      <c r="AC290" s="23"/>
    </row>
    <row r="291" spans="1:29" x14ac:dyDescent="0.25">
      <c r="A291" s="222">
        <f>'A) Base RI'!A293</f>
        <v>5891</v>
      </c>
      <c r="B291" s="62" t="str">
        <f>'A) Base RI'!B293</f>
        <v>Veytaux</v>
      </c>
      <c r="C291" s="61">
        <f>'D) Ecrêtage'!N291</f>
        <v>37637.543719806752</v>
      </c>
      <c r="D291" s="61">
        <v>299092</v>
      </c>
      <c r="E291" s="18">
        <v>47738</v>
      </c>
      <c r="F291" s="73">
        <v>30000</v>
      </c>
      <c r="G291" s="18">
        <f t="shared" si="45"/>
        <v>376830</v>
      </c>
      <c r="H291" s="61">
        <f t="shared" si="46"/>
        <v>301100</v>
      </c>
      <c r="I291" s="18">
        <f t="shared" si="47"/>
        <v>75730</v>
      </c>
      <c r="J291" s="4">
        <f t="shared" si="48"/>
        <v>-54454</v>
      </c>
      <c r="K291" s="25">
        <v>439744</v>
      </c>
      <c r="L291" s="18">
        <f t="shared" si="44"/>
        <v>37638</v>
      </c>
      <c r="M291" s="61">
        <f t="shared" si="49"/>
        <v>402106</v>
      </c>
      <c r="N291" s="4">
        <f t="shared" si="50"/>
        <v>-289135</v>
      </c>
      <c r="O291" s="233">
        <f t="shared" si="51"/>
        <v>-343589</v>
      </c>
      <c r="P291" s="223">
        <f t="shared" si="52"/>
        <v>-9.1288900933029353</v>
      </c>
      <c r="Q291" s="224"/>
      <c r="R291" s="224"/>
      <c r="S291" s="225"/>
      <c r="T291" s="225"/>
      <c r="U291" s="225"/>
      <c r="V291" s="225"/>
      <c r="Z291" s="23"/>
      <c r="AA291" s="23"/>
      <c r="AB291" s="23"/>
      <c r="AC291" s="23"/>
    </row>
    <row r="292" spans="1:29" x14ac:dyDescent="0.25">
      <c r="A292" s="222">
        <f>'A) Base RI'!A294</f>
        <v>5902</v>
      </c>
      <c r="B292" s="62" t="str">
        <f>'A) Base RI'!B294</f>
        <v>Belmont-sur-Yverdon</v>
      </c>
      <c r="C292" s="61">
        <f>'D) Ecrêtage'!N292</f>
        <v>8809.0856578947369</v>
      </c>
      <c r="D292" s="61">
        <v>43234</v>
      </c>
      <c r="E292" s="18">
        <v>10630</v>
      </c>
      <c r="F292" s="73">
        <v>27709</v>
      </c>
      <c r="G292" s="18">
        <f t="shared" si="45"/>
        <v>81573</v>
      </c>
      <c r="H292" s="61">
        <f t="shared" si="46"/>
        <v>70473</v>
      </c>
      <c r="I292" s="18">
        <f t="shared" si="47"/>
        <v>11100</v>
      </c>
      <c r="J292" s="4">
        <f t="shared" si="48"/>
        <v>-7981</v>
      </c>
      <c r="K292" s="25">
        <v>18789</v>
      </c>
      <c r="L292" s="18">
        <f t="shared" si="44"/>
        <v>8809</v>
      </c>
      <c r="M292" s="61">
        <f t="shared" si="49"/>
        <v>9980</v>
      </c>
      <c r="N292" s="4">
        <f t="shared" si="50"/>
        <v>-7176</v>
      </c>
      <c r="O292" s="233">
        <f t="shared" si="51"/>
        <v>-15157</v>
      </c>
      <c r="P292" s="223">
        <f t="shared" si="52"/>
        <v>-1.7206099008035229</v>
      </c>
      <c r="Q292" s="224"/>
      <c r="R292" s="224"/>
      <c r="S292" s="225"/>
      <c r="T292" s="225"/>
      <c r="U292" s="225"/>
      <c r="V292" s="225"/>
      <c r="Z292" s="23"/>
      <c r="AA292" s="23"/>
      <c r="AB292" s="23"/>
      <c r="AC292" s="23"/>
    </row>
    <row r="293" spans="1:29" x14ac:dyDescent="0.25">
      <c r="A293" s="222">
        <f>'A) Base RI'!A295</f>
        <v>5903</v>
      </c>
      <c r="B293" s="62" t="str">
        <f>'A) Base RI'!B295</f>
        <v>Bioley-Magnoux</v>
      </c>
      <c r="C293" s="61">
        <f>'D) Ecrêtage'!N293</f>
        <v>6088.8460038610028</v>
      </c>
      <c r="D293" s="61">
        <v>42666</v>
      </c>
      <c r="E293" s="18">
        <v>5568</v>
      </c>
      <c r="F293" s="73">
        <v>16895</v>
      </c>
      <c r="G293" s="18">
        <f t="shared" si="45"/>
        <v>65129</v>
      </c>
      <c r="H293" s="61">
        <f t="shared" si="46"/>
        <v>48711</v>
      </c>
      <c r="I293" s="18">
        <f t="shared" si="47"/>
        <v>16418</v>
      </c>
      <c r="J293" s="4">
        <f t="shared" si="48"/>
        <v>-11805</v>
      </c>
      <c r="K293" s="25">
        <v>19688</v>
      </c>
      <c r="L293" s="18">
        <f t="shared" si="44"/>
        <v>6089</v>
      </c>
      <c r="M293" s="61">
        <f t="shared" si="49"/>
        <v>13599</v>
      </c>
      <c r="N293" s="4">
        <f t="shared" si="50"/>
        <v>-9778</v>
      </c>
      <c r="O293" s="233">
        <f t="shared" si="51"/>
        <v>-21583</v>
      </c>
      <c r="P293" s="223">
        <f t="shared" si="52"/>
        <v>-3.5446782504129661</v>
      </c>
      <c r="Q293" s="224"/>
      <c r="R293" s="224"/>
      <c r="S293" s="225"/>
      <c r="T293" s="225"/>
      <c r="U293" s="225"/>
      <c r="V293" s="225"/>
      <c r="Z293" s="23"/>
      <c r="AA293" s="23"/>
      <c r="AB293" s="23"/>
      <c r="AC293" s="23"/>
    </row>
    <row r="294" spans="1:29" x14ac:dyDescent="0.25">
      <c r="A294" s="222">
        <f>'A) Base RI'!A296</f>
        <v>5904</v>
      </c>
      <c r="B294" s="62" t="str">
        <f>'A) Base RI'!B296</f>
        <v>Chamblon</v>
      </c>
      <c r="C294" s="61">
        <f>'D) Ecrêtage'!N294</f>
        <v>21622.015909090911</v>
      </c>
      <c r="D294" s="61">
        <v>53244</v>
      </c>
      <c r="E294" s="18">
        <v>17359</v>
      </c>
      <c r="F294" s="73">
        <v>23993</v>
      </c>
      <c r="G294" s="18">
        <f t="shared" si="45"/>
        <v>94596</v>
      </c>
      <c r="H294" s="61">
        <f t="shared" si="46"/>
        <v>172976</v>
      </c>
      <c r="I294" s="18">
        <f t="shared" si="47"/>
        <v>0</v>
      </c>
      <c r="J294" s="4">
        <f t="shared" si="48"/>
        <v>0</v>
      </c>
      <c r="K294" s="25">
        <v>596</v>
      </c>
      <c r="L294" s="18">
        <f t="shared" si="44"/>
        <v>21622</v>
      </c>
      <c r="M294" s="61">
        <f t="shared" si="49"/>
        <v>0</v>
      </c>
      <c r="N294" s="4">
        <f t="shared" si="50"/>
        <v>0</v>
      </c>
      <c r="O294" s="233">
        <f t="shared" si="51"/>
        <v>0</v>
      </c>
      <c r="P294" s="223">
        <f t="shared" si="52"/>
        <v>0</v>
      </c>
      <c r="Q294" s="224"/>
      <c r="R294" s="224"/>
      <c r="S294" s="225"/>
      <c r="T294" s="225"/>
      <c r="U294" s="225"/>
      <c r="V294" s="225"/>
      <c r="Z294" s="23"/>
      <c r="AA294" s="23"/>
      <c r="AB294" s="23"/>
      <c r="AC294" s="23"/>
    </row>
    <row r="295" spans="1:29" x14ac:dyDescent="0.25">
      <c r="A295" s="222">
        <f>'A) Base RI'!A297</f>
        <v>5905</v>
      </c>
      <c r="B295" s="62" t="str">
        <f>'A) Base RI'!B297</f>
        <v>Champvent</v>
      </c>
      <c r="C295" s="61">
        <f>'D) Ecrêtage'!N295</f>
        <v>20315.716338028171</v>
      </c>
      <c r="D295" s="61">
        <v>38634</v>
      </c>
      <c r="E295" s="18">
        <v>43920</v>
      </c>
      <c r="F295" s="73">
        <v>65375</v>
      </c>
      <c r="G295" s="18">
        <f t="shared" si="45"/>
        <v>147929</v>
      </c>
      <c r="H295" s="61">
        <f t="shared" si="46"/>
        <v>162526</v>
      </c>
      <c r="I295" s="18">
        <f t="shared" si="47"/>
        <v>0</v>
      </c>
      <c r="J295" s="4">
        <f t="shared" si="48"/>
        <v>0</v>
      </c>
      <c r="K295" s="25">
        <v>5764</v>
      </c>
      <c r="L295" s="18">
        <f t="shared" si="44"/>
        <v>20316</v>
      </c>
      <c r="M295" s="61">
        <f t="shared" si="49"/>
        <v>0</v>
      </c>
      <c r="N295" s="4">
        <f t="shared" si="50"/>
        <v>0</v>
      </c>
      <c r="O295" s="233">
        <f t="shared" si="51"/>
        <v>0</v>
      </c>
      <c r="P295" s="223">
        <f t="shared" si="52"/>
        <v>0</v>
      </c>
      <c r="Q295" s="224"/>
      <c r="R295" s="224"/>
      <c r="S295" s="225"/>
      <c r="T295" s="225"/>
      <c r="U295" s="225"/>
      <c r="V295" s="225"/>
      <c r="Z295" s="23"/>
      <c r="AA295" s="23"/>
      <c r="AB295" s="23"/>
      <c r="AC295" s="23"/>
    </row>
    <row r="296" spans="1:29" x14ac:dyDescent="0.25">
      <c r="A296" s="222">
        <f>'A) Base RI'!A298</f>
        <v>5907</v>
      </c>
      <c r="B296" s="62" t="str">
        <f>'A) Base RI'!B298</f>
        <v>Chavannes-le-Chêne</v>
      </c>
      <c r="C296" s="61">
        <f>'D) Ecrêtage'!N296</f>
        <v>6770.541794871795</v>
      </c>
      <c r="D296" s="61">
        <v>168001</v>
      </c>
      <c r="E296" s="18">
        <v>8159</v>
      </c>
      <c r="F296" s="73">
        <v>22536</v>
      </c>
      <c r="G296" s="18">
        <f t="shared" si="45"/>
        <v>198696</v>
      </c>
      <c r="H296" s="61">
        <f t="shared" si="46"/>
        <v>54164</v>
      </c>
      <c r="I296" s="18">
        <f t="shared" si="47"/>
        <v>144532</v>
      </c>
      <c r="J296" s="4">
        <f t="shared" si="48"/>
        <v>-103926</v>
      </c>
      <c r="K296" s="25">
        <v>12140</v>
      </c>
      <c r="L296" s="18">
        <f t="shared" si="44"/>
        <v>6771</v>
      </c>
      <c r="M296" s="61">
        <f t="shared" si="49"/>
        <v>5369</v>
      </c>
      <c r="N296" s="4">
        <f t="shared" si="50"/>
        <v>-3861</v>
      </c>
      <c r="O296" s="233">
        <f t="shared" si="51"/>
        <v>-107787</v>
      </c>
      <c r="P296" s="223">
        <f t="shared" si="52"/>
        <v>-15.919996252240995</v>
      </c>
      <c r="Q296" s="224"/>
      <c r="R296" s="224"/>
      <c r="S296" s="225"/>
      <c r="T296" s="225"/>
      <c r="U296" s="225"/>
      <c r="V296" s="225"/>
      <c r="Z296" s="23"/>
      <c r="AA296" s="23"/>
      <c r="AB296" s="23"/>
      <c r="AC296" s="23"/>
    </row>
    <row r="297" spans="1:29" x14ac:dyDescent="0.25">
      <c r="A297" s="222">
        <f>'A) Base RI'!A299</f>
        <v>5908</v>
      </c>
      <c r="B297" s="62" t="str">
        <f>'A) Base RI'!B299</f>
        <v>Chêne-Pâquier</v>
      </c>
      <c r="C297" s="61">
        <f>'D) Ecrêtage'!N297</f>
        <v>3326.5444303797472</v>
      </c>
      <c r="D297" s="61">
        <v>45532</v>
      </c>
      <c r="E297" s="18">
        <v>3692</v>
      </c>
      <c r="F297" s="73">
        <v>10822</v>
      </c>
      <c r="G297" s="18">
        <f t="shared" si="45"/>
        <v>60046</v>
      </c>
      <c r="H297" s="61">
        <f t="shared" si="46"/>
        <v>26612</v>
      </c>
      <c r="I297" s="18">
        <f t="shared" si="47"/>
        <v>33434</v>
      </c>
      <c r="J297" s="4">
        <f t="shared" si="48"/>
        <v>-24041</v>
      </c>
      <c r="K297" s="25">
        <v>17620</v>
      </c>
      <c r="L297" s="18">
        <f t="shared" si="44"/>
        <v>3327</v>
      </c>
      <c r="M297" s="61">
        <f t="shared" si="49"/>
        <v>14293</v>
      </c>
      <c r="N297" s="4">
        <f t="shared" si="50"/>
        <v>-10277</v>
      </c>
      <c r="O297" s="233">
        <f t="shared" si="51"/>
        <v>-34318</v>
      </c>
      <c r="P297" s="223">
        <f t="shared" si="52"/>
        <v>-10.316411134205826</v>
      </c>
      <c r="Q297" s="224"/>
      <c r="R297" s="224"/>
      <c r="S297" s="225"/>
      <c r="T297" s="225"/>
      <c r="U297" s="225"/>
      <c r="V297" s="225"/>
      <c r="Z297" s="23"/>
      <c r="AA297" s="23"/>
      <c r="AB297" s="23"/>
      <c r="AC297" s="23"/>
    </row>
    <row r="298" spans="1:29" x14ac:dyDescent="0.25">
      <c r="A298" s="222">
        <f>'A) Base RI'!A300</f>
        <v>5909</v>
      </c>
      <c r="B298" s="62" t="str">
        <f>'A) Base RI'!B300</f>
        <v>Cheseaux-Noréaz</v>
      </c>
      <c r="C298" s="61">
        <f>'D) Ecrêtage'!N298</f>
        <v>30671.321093750001</v>
      </c>
      <c r="D298" s="61">
        <v>221961</v>
      </c>
      <c r="E298" s="18">
        <v>102672</v>
      </c>
      <c r="F298" s="73">
        <v>35945</v>
      </c>
      <c r="G298" s="18">
        <f t="shared" si="45"/>
        <v>360578</v>
      </c>
      <c r="H298" s="61">
        <f t="shared" si="46"/>
        <v>245371</v>
      </c>
      <c r="I298" s="18">
        <f t="shared" si="47"/>
        <v>115207</v>
      </c>
      <c r="J298" s="4">
        <f t="shared" si="48"/>
        <v>-82840</v>
      </c>
      <c r="K298" s="25">
        <v>12566</v>
      </c>
      <c r="L298" s="18">
        <f t="shared" si="44"/>
        <v>30671</v>
      </c>
      <c r="M298" s="61">
        <f t="shared" si="49"/>
        <v>0</v>
      </c>
      <c r="N298" s="4">
        <f t="shared" si="50"/>
        <v>0</v>
      </c>
      <c r="O298" s="233">
        <f t="shared" si="51"/>
        <v>-82840</v>
      </c>
      <c r="P298" s="223">
        <f t="shared" si="52"/>
        <v>-2.7008944201259264</v>
      </c>
      <c r="Q298" s="224"/>
      <c r="R298" s="224"/>
      <c r="S298" s="225"/>
      <c r="T298" s="225"/>
      <c r="U298" s="225"/>
      <c r="V298" s="225"/>
      <c r="Z298" s="23"/>
      <c r="AA298" s="23"/>
      <c r="AB298" s="23"/>
      <c r="AC298" s="23"/>
    </row>
    <row r="299" spans="1:29" x14ac:dyDescent="0.25">
      <c r="A299" s="222">
        <f>'A) Base RI'!A301</f>
        <v>5910</v>
      </c>
      <c r="B299" s="62" t="str">
        <f>'A) Base RI'!B301</f>
        <v>Cronay</v>
      </c>
      <c r="C299" s="61">
        <f>'D) Ecrêtage'!N299</f>
        <v>9292.7018518518507</v>
      </c>
      <c r="D299" s="61">
        <v>112691</v>
      </c>
      <c r="E299" s="18">
        <v>15632</v>
      </c>
      <c r="F299" s="73">
        <v>24678</v>
      </c>
      <c r="G299" s="18">
        <f t="shared" si="45"/>
        <v>153001</v>
      </c>
      <c r="H299" s="61">
        <f t="shared" si="46"/>
        <v>74342</v>
      </c>
      <c r="I299" s="18">
        <f t="shared" si="47"/>
        <v>78659</v>
      </c>
      <c r="J299" s="4">
        <f t="shared" si="48"/>
        <v>-56560</v>
      </c>
      <c r="K299" s="25">
        <v>66121</v>
      </c>
      <c r="L299" s="18">
        <f t="shared" si="44"/>
        <v>9293</v>
      </c>
      <c r="M299" s="61">
        <f t="shared" si="49"/>
        <v>56828</v>
      </c>
      <c r="N299" s="4">
        <f t="shared" si="50"/>
        <v>-40862</v>
      </c>
      <c r="O299" s="233">
        <f t="shared" si="51"/>
        <v>-97422</v>
      </c>
      <c r="P299" s="223">
        <f t="shared" si="52"/>
        <v>-10.483710932852723</v>
      </c>
      <c r="Q299" s="224"/>
      <c r="R299" s="224"/>
      <c r="S299" s="225"/>
      <c r="T299" s="225"/>
      <c r="U299" s="225"/>
      <c r="V299" s="225"/>
      <c r="Z299" s="23"/>
      <c r="AA299" s="23"/>
      <c r="AB299" s="23"/>
      <c r="AC299" s="23"/>
    </row>
    <row r="300" spans="1:29" x14ac:dyDescent="0.25">
      <c r="A300" s="222">
        <f>'A) Base RI'!A302</f>
        <v>5911</v>
      </c>
      <c r="B300" s="62" t="str">
        <f>'A) Base RI'!B302</f>
        <v>Cuarny</v>
      </c>
      <c r="C300" s="61">
        <f>'D) Ecrêtage'!N300</f>
        <v>6815.3613580246902</v>
      </c>
      <c r="D300" s="61">
        <v>140333</v>
      </c>
      <c r="E300" s="18">
        <v>5895</v>
      </c>
      <c r="F300" s="73">
        <v>15512</v>
      </c>
      <c r="G300" s="18">
        <f t="shared" si="45"/>
        <v>161740</v>
      </c>
      <c r="H300" s="61">
        <f t="shared" si="46"/>
        <v>54523</v>
      </c>
      <c r="I300" s="18">
        <f t="shared" si="47"/>
        <v>107217</v>
      </c>
      <c r="J300" s="4">
        <f t="shared" si="48"/>
        <v>-77095</v>
      </c>
      <c r="K300" s="25">
        <v>20370</v>
      </c>
      <c r="L300" s="18">
        <f t="shared" si="44"/>
        <v>6815</v>
      </c>
      <c r="M300" s="61">
        <f t="shared" si="49"/>
        <v>13555</v>
      </c>
      <c r="N300" s="4">
        <f t="shared" si="50"/>
        <v>-9747</v>
      </c>
      <c r="O300" s="233">
        <f t="shared" si="51"/>
        <v>-86842</v>
      </c>
      <c r="P300" s="223">
        <f t="shared" si="52"/>
        <v>-12.742097658218608</v>
      </c>
      <c r="Q300" s="224"/>
      <c r="R300" s="224"/>
      <c r="S300" s="225"/>
      <c r="T300" s="225"/>
      <c r="U300" s="225"/>
      <c r="V300" s="225"/>
      <c r="Z300" s="23"/>
      <c r="AA300" s="23"/>
      <c r="AB300" s="23"/>
      <c r="AC300" s="23"/>
    </row>
    <row r="301" spans="1:29" x14ac:dyDescent="0.25">
      <c r="A301" s="222">
        <f>'A) Base RI'!A303</f>
        <v>5912</v>
      </c>
      <c r="B301" s="62" t="str">
        <f>'A) Base RI'!B303</f>
        <v>Démoret</v>
      </c>
      <c r="C301" s="61">
        <f>'D) Ecrêtage'!N301</f>
        <v>3149.2327160493824</v>
      </c>
      <c r="D301" s="61">
        <v>16255</v>
      </c>
      <c r="E301" s="18">
        <v>3573</v>
      </c>
      <c r="F301" s="73">
        <v>6700</v>
      </c>
      <c r="G301" s="18">
        <f t="shared" si="45"/>
        <v>26528</v>
      </c>
      <c r="H301" s="61">
        <f t="shared" si="46"/>
        <v>25194</v>
      </c>
      <c r="I301" s="18">
        <f t="shared" si="47"/>
        <v>1334</v>
      </c>
      <c r="J301" s="4">
        <f t="shared" si="48"/>
        <v>-959</v>
      </c>
      <c r="K301" s="25">
        <v>28898</v>
      </c>
      <c r="L301" s="18">
        <f t="shared" si="44"/>
        <v>3149</v>
      </c>
      <c r="M301" s="61">
        <f t="shared" si="49"/>
        <v>25749</v>
      </c>
      <c r="N301" s="4">
        <f t="shared" si="50"/>
        <v>-18515</v>
      </c>
      <c r="O301" s="233">
        <f t="shared" si="51"/>
        <v>-19474</v>
      </c>
      <c r="P301" s="223">
        <f t="shared" si="52"/>
        <v>-6.1837284684472431</v>
      </c>
      <c r="Q301" s="224"/>
      <c r="R301" s="224"/>
      <c r="S301" s="225"/>
      <c r="T301" s="225"/>
      <c r="U301" s="225"/>
      <c r="V301" s="225"/>
      <c r="Z301" s="23"/>
      <c r="AA301" s="23"/>
      <c r="AB301" s="23"/>
      <c r="AC301" s="23"/>
    </row>
    <row r="302" spans="1:29" x14ac:dyDescent="0.25">
      <c r="A302" s="222">
        <f>'A) Base RI'!A304</f>
        <v>5913</v>
      </c>
      <c r="B302" s="62" t="str">
        <f>'A) Base RI'!B304</f>
        <v>Donneloye</v>
      </c>
      <c r="C302" s="61">
        <f>'D) Ecrêtage'!N302</f>
        <v>23147.804931506846</v>
      </c>
      <c r="D302" s="61">
        <v>116742</v>
      </c>
      <c r="E302" s="18">
        <v>21975</v>
      </c>
      <c r="F302" s="73">
        <v>62746</v>
      </c>
      <c r="G302" s="18">
        <f t="shared" si="45"/>
        <v>201463</v>
      </c>
      <c r="H302" s="61">
        <f t="shared" si="46"/>
        <v>185182</v>
      </c>
      <c r="I302" s="18">
        <f t="shared" si="47"/>
        <v>16281</v>
      </c>
      <c r="J302" s="4">
        <f t="shared" si="48"/>
        <v>-11707</v>
      </c>
      <c r="K302" s="25">
        <v>45570</v>
      </c>
      <c r="L302" s="18">
        <f t="shared" si="44"/>
        <v>23148</v>
      </c>
      <c r="M302" s="61">
        <f t="shared" si="49"/>
        <v>22422</v>
      </c>
      <c r="N302" s="4">
        <f t="shared" si="50"/>
        <v>-16123</v>
      </c>
      <c r="O302" s="233">
        <f t="shared" si="51"/>
        <v>-27830</v>
      </c>
      <c r="P302" s="223">
        <f t="shared" si="52"/>
        <v>-1.2022738260646106</v>
      </c>
      <c r="Q302" s="224"/>
      <c r="R302" s="224"/>
      <c r="S302" s="225"/>
      <c r="T302" s="225"/>
      <c r="U302" s="225"/>
      <c r="V302" s="225"/>
      <c r="Z302" s="23"/>
      <c r="AA302" s="23"/>
      <c r="AB302" s="23"/>
      <c r="AC302" s="23"/>
    </row>
    <row r="303" spans="1:29" x14ac:dyDescent="0.25">
      <c r="A303" s="222">
        <f>'A) Base RI'!A305</f>
        <v>5914</v>
      </c>
      <c r="B303" s="62" t="str">
        <f>'A) Base RI'!B305</f>
        <v>Ependes</v>
      </c>
      <c r="C303" s="61">
        <f>'D) Ecrêtage'!N303</f>
        <v>8718.0938666666661</v>
      </c>
      <c r="D303" s="61">
        <v>45138</v>
      </c>
      <c r="E303" s="18">
        <v>24640</v>
      </c>
      <c r="F303" s="73">
        <v>26126</v>
      </c>
      <c r="G303" s="18">
        <f t="shared" si="45"/>
        <v>95904</v>
      </c>
      <c r="H303" s="61">
        <f t="shared" si="46"/>
        <v>69745</v>
      </c>
      <c r="I303" s="18">
        <f t="shared" si="47"/>
        <v>26159</v>
      </c>
      <c r="J303" s="4">
        <f t="shared" si="48"/>
        <v>-18810</v>
      </c>
      <c r="K303" s="25">
        <v>16375</v>
      </c>
      <c r="L303" s="18">
        <f t="shared" si="44"/>
        <v>8718</v>
      </c>
      <c r="M303" s="61">
        <f t="shared" si="49"/>
        <v>7657</v>
      </c>
      <c r="N303" s="4">
        <f t="shared" si="50"/>
        <v>-5506</v>
      </c>
      <c r="O303" s="233">
        <f t="shared" si="51"/>
        <v>-24316</v>
      </c>
      <c r="P303" s="223">
        <f t="shared" si="52"/>
        <v>-2.7891417977238575</v>
      </c>
      <c r="Q303" s="224"/>
      <c r="R303" s="224"/>
      <c r="S303" s="225"/>
      <c r="T303" s="225"/>
      <c r="U303" s="225"/>
      <c r="V303" s="225"/>
      <c r="Z303" s="23"/>
      <c r="AA303" s="23"/>
      <c r="AB303" s="23"/>
      <c r="AC303" s="23"/>
    </row>
    <row r="304" spans="1:29" x14ac:dyDescent="0.25">
      <c r="A304" s="222">
        <f>'A) Base RI'!A306</f>
        <v>5915</v>
      </c>
      <c r="B304" s="62" t="str">
        <f>'A) Base RI'!B306</f>
        <v>Essert-Pittet</v>
      </c>
      <c r="C304" s="61">
        <f>'D) Ecrêtage'!N304</f>
        <v>3469.1017098039219</v>
      </c>
      <c r="D304" s="61">
        <v>21983</v>
      </c>
      <c r="E304" s="18">
        <v>11166</v>
      </c>
      <c r="F304" s="73">
        <v>17192</v>
      </c>
      <c r="G304" s="18">
        <f t="shared" si="45"/>
        <v>50341</v>
      </c>
      <c r="H304" s="61">
        <f t="shared" si="46"/>
        <v>27753</v>
      </c>
      <c r="I304" s="18">
        <f t="shared" si="47"/>
        <v>22588</v>
      </c>
      <c r="J304" s="4">
        <f t="shared" si="48"/>
        <v>-16242</v>
      </c>
      <c r="K304" s="25">
        <v>4666</v>
      </c>
      <c r="L304" s="18">
        <f t="shared" si="44"/>
        <v>3469</v>
      </c>
      <c r="M304" s="61">
        <f t="shared" si="49"/>
        <v>1197</v>
      </c>
      <c r="N304" s="4">
        <f t="shared" si="50"/>
        <v>-861</v>
      </c>
      <c r="O304" s="233">
        <f t="shared" si="51"/>
        <v>-17103</v>
      </c>
      <c r="P304" s="223">
        <f t="shared" si="52"/>
        <v>-4.9300947134717141</v>
      </c>
      <c r="Q304" s="224"/>
      <c r="R304" s="224"/>
      <c r="S304" s="225"/>
      <c r="T304" s="225"/>
      <c r="U304" s="225"/>
      <c r="V304" s="225"/>
      <c r="Z304" s="23"/>
      <c r="AA304" s="23"/>
      <c r="AB304" s="23"/>
      <c r="AC304" s="23"/>
    </row>
    <row r="305" spans="1:29" x14ac:dyDescent="0.25">
      <c r="A305" s="222">
        <f>'A) Base RI'!A307</f>
        <v>5919</v>
      </c>
      <c r="B305" s="62" t="str">
        <f>'A) Base RI'!B307</f>
        <v>Mathod</v>
      </c>
      <c r="C305" s="61">
        <f>'D) Ecrêtage'!N305</f>
        <v>14691.435202702703</v>
      </c>
      <c r="D305" s="61">
        <v>144850</v>
      </c>
      <c r="E305" s="18">
        <v>24431</v>
      </c>
      <c r="F305" s="73">
        <v>32636</v>
      </c>
      <c r="G305" s="18">
        <f t="shared" si="45"/>
        <v>201917</v>
      </c>
      <c r="H305" s="61">
        <f t="shared" si="46"/>
        <v>117531</v>
      </c>
      <c r="I305" s="18">
        <f t="shared" si="47"/>
        <v>84386</v>
      </c>
      <c r="J305" s="4">
        <f t="shared" si="48"/>
        <v>-60678</v>
      </c>
      <c r="K305" s="25">
        <v>-23597</v>
      </c>
      <c r="L305" s="18">
        <f t="shared" si="44"/>
        <v>14691</v>
      </c>
      <c r="M305" s="61">
        <f t="shared" si="49"/>
        <v>0</v>
      </c>
      <c r="N305" s="4">
        <f t="shared" si="50"/>
        <v>0</v>
      </c>
      <c r="O305" s="233">
        <f t="shared" si="51"/>
        <v>-60678</v>
      </c>
      <c r="P305" s="223">
        <f t="shared" si="52"/>
        <v>-4.1301614963279691</v>
      </c>
      <c r="Q305" s="224"/>
      <c r="R305" s="224"/>
      <c r="S305" s="225"/>
      <c r="T305" s="225"/>
      <c r="U305" s="225"/>
      <c r="V305" s="225"/>
      <c r="Z305" s="23"/>
      <c r="AA305" s="23"/>
      <c r="AB305" s="23"/>
      <c r="AC305" s="23"/>
    </row>
    <row r="306" spans="1:29" x14ac:dyDescent="0.25">
      <c r="A306" s="222">
        <f>'A) Base RI'!A308</f>
        <v>5921</v>
      </c>
      <c r="B306" s="62" t="str">
        <f>'A) Base RI'!B308</f>
        <v>Molondin</v>
      </c>
      <c r="C306" s="61">
        <f>'D) Ecrêtage'!N306</f>
        <v>4662.1348148148145</v>
      </c>
      <c r="D306" s="61">
        <v>37859</v>
      </c>
      <c r="E306" s="18">
        <v>6342</v>
      </c>
      <c r="F306" s="73">
        <v>15370</v>
      </c>
      <c r="G306" s="18">
        <f t="shared" si="45"/>
        <v>59571</v>
      </c>
      <c r="H306" s="61">
        <f t="shared" si="46"/>
        <v>37297</v>
      </c>
      <c r="I306" s="18">
        <f t="shared" si="47"/>
        <v>22274</v>
      </c>
      <c r="J306" s="4">
        <f t="shared" si="48"/>
        <v>-16016</v>
      </c>
      <c r="K306" s="25">
        <v>56685</v>
      </c>
      <c r="L306" s="18">
        <f t="shared" si="44"/>
        <v>4662</v>
      </c>
      <c r="M306" s="61">
        <f t="shared" si="49"/>
        <v>52023</v>
      </c>
      <c r="N306" s="4">
        <f t="shared" si="50"/>
        <v>-37407</v>
      </c>
      <c r="O306" s="233">
        <f t="shared" si="51"/>
        <v>-53423</v>
      </c>
      <c r="P306" s="223">
        <f t="shared" si="52"/>
        <v>-11.458913592596748</v>
      </c>
      <c r="Q306" s="224"/>
      <c r="R306" s="224"/>
      <c r="S306" s="225"/>
      <c r="T306" s="225"/>
      <c r="U306" s="225"/>
      <c r="V306" s="225"/>
      <c r="Z306" s="23"/>
      <c r="AA306" s="23"/>
      <c r="AB306" s="23"/>
      <c r="AC306" s="23"/>
    </row>
    <row r="307" spans="1:29" x14ac:dyDescent="0.25">
      <c r="A307" s="222">
        <f>'A) Base RI'!A309</f>
        <v>5922</v>
      </c>
      <c r="B307" s="62" t="str">
        <f>'A) Base RI'!B309</f>
        <v>Montagny-près-Yverdon</v>
      </c>
      <c r="C307" s="61">
        <f>'D) Ecrêtage'!N307</f>
        <v>43685.066062100123</v>
      </c>
      <c r="D307" s="61">
        <v>75776</v>
      </c>
      <c r="E307" s="18">
        <v>267157</v>
      </c>
      <c r="F307" s="73">
        <v>89480</v>
      </c>
      <c r="G307" s="18">
        <f t="shared" si="45"/>
        <v>432413</v>
      </c>
      <c r="H307" s="61">
        <f t="shared" si="46"/>
        <v>349481</v>
      </c>
      <c r="I307" s="18">
        <f t="shared" si="47"/>
        <v>82932</v>
      </c>
      <c r="J307" s="4">
        <f t="shared" si="48"/>
        <v>-59632</v>
      </c>
      <c r="K307" s="25">
        <v>1019</v>
      </c>
      <c r="L307" s="18">
        <f t="shared" si="44"/>
        <v>43685</v>
      </c>
      <c r="M307" s="61">
        <f t="shared" si="49"/>
        <v>0</v>
      </c>
      <c r="N307" s="4">
        <f t="shared" si="50"/>
        <v>0</v>
      </c>
      <c r="O307" s="233">
        <f t="shared" si="51"/>
        <v>-59632</v>
      </c>
      <c r="P307" s="223">
        <f t="shared" si="52"/>
        <v>-1.3650431457567365</v>
      </c>
      <c r="Q307" s="224"/>
      <c r="R307" s="224"/>
      <c r="S307" s="225"/>
      <c r="T307" s="225"/>
      <c r="U307" s="225"/>
      <c r="V307" s="225"/>
      <c r="Z307" s="23"/>
      <c r="AA307" s="23"/>
      <c r="AB307" s="23"/>
      <c r="AC307" s="23"/>
    </row>
    <row r="308" spans="1:29" x14ac:dyDescent="0.25">
      <c r="A308" s="222">
        <f>'A) Base RI'!A310</f>
        <v>5923</v>
      </c>
      <c r="B308" s="62" t="str">
        <f>'A) Base RI'!B310</f>
        <v>Oppens</v>
      </c>
      <c r="C308" s="61">
        <f>'D) Ecrêtage'!N308</f>
        <v>4470.86061728395</v>
      </c>
      <c r="D308" s="61">
        <v>24727</v>
      </c>
      <c r="E308" s="18">
        <v>7860</v>
      </c>
      <c r="F308" s="73">
        <v>15171</v>
      </c>
      <c r="G308" s="18">
        <f t="shared" si="45"/>
        <v>47758</v>
      </c>
      <c r="H308" s="61">
        <f t="shared" si="46"/>
        <v>35767</v>
      </c>
      <c r="I308" s="18">
        <f t="shared" si="47"/>
        <v>11991</v>
      </c>
      <c r="J308" s="4">
        <f t="shared" si="48"/>
        <v>-8622</v>
      </c>
      <c r="K308" s="25">
        <v>24295</v>
      </c>
      <c r="L308" s="18">
        <f t="shared" si="44"/>
        <v>4471</v>
      </c>
      <c r="M308" s="61">
        <f t="shared" si="49"/>
        <v>19824</v>
      </c>
      <c r="N308" s="4">
        <f t="shared" si="50"/>
        <v>-14254</v>
      </c>
      <c r="O308" s="233">
        <f t="shared" si="51"/>
        <v>-22876</v>
      </c>
      <c r="P308" s="223">
        <f t="shared" si="52"/>
        <v>-5.11668825271882</v>
      </c>
      <c r="Q308" s="224"/>
      <c r="R308" s="224"/>
      <c r="S308" s="225"/>
      <c r="T308" s="225"/>
      <c r="U308" s="225"/>
      <c r="V308" s="225"/>
      <c r="Z308" s="23"/>
      <c r="AA308" s="23"/>
      <c r="AB308" s="23"/>
      <c r="AC308" s="23"/>
    </row>
    <row r="309" spans="1:29" x14ac:dyDescent="0.25">
      <c r="A309" s="222">
        <f>'A) Base RI'!A311</f>
        <v>5924</v>
      </c>
      <c r="B309" s="62" t="str">
        <f>'A) Base RI'!B311</f>
        <v>Orges</v>
      </c>
      <c r="C309" s="61">
        <f>'D) Ecrêtage'!N309</f>
        <v>7786.4310810810803</v>
      </c>
      <c r="D309" s="61">
        <v>19658</v>
      </c>
      <c r="E309" s="18">
        <v>7920</v>
      </c>
      <c r="F309" s="73">
        <v>31180</v>
      </c>
      <c r="G309" s="18">
        <f t="shared" si="45"/>
        <v>58758</v>
      </c>
      <c r="H309" s="61">
        <f t="shared" si="46"/>
        <v>62291</v>
      </c>
      <c r="I309" s="18">
        <f t="shared" si="47"/>
        <v>0</v>
      </c>
      <c r="J309" s="4">
        <f t="shared" si="48"/>
        <v>0</v>
      </c>
      <c r="K309" s="25">
        <v>-261</v>
      </c>
      <c r="L309" s="18">
        <f t="shared" si="44"/>
        <v>7786</v>
      </c>
      <c r="M309" s="61">
        <f t="shared" si="49"/>
        <v>0</v>
      </c>
      <c r="N309" s="4">
        <f t="shared" si="50"/>
        <v>0</v>
      </c>
      <c r="O309" s="233">
        <f t="shared" si="51"/>
        <v>0</v>
      </c>
      <c r="P309" s="223">
        <f t="shared" si="52"/>
        <v>0</v>
      </c>
      <c r="Q309" s="224"/>
      <c r="R309" s="224"/>
      <c r="S309" s="225"/>
      <c r="T309" s="225"/>
      <c r="U309" s="225"/>
      <c r="V309" s="225"/>
      <c r="Z309" s="23"/>
      <c r="AA309" s="23"/>
      <c r="AB309" s="23"/>
      <c r="AC309" s="23"/>
    </row>
    <row r="310" spans="1:29" x14ac:dyDescent="0.25">
      <c r="A310" s="222">
        <f>'A) Base RI'!A312</f>
        <v>5925</v>
      </c>
      <c r="B310" s="62" t="str">
        <f>'A) Base RI'!B312</f>
        <v>Orzens</v>
      </c>
      <c r="C310" s="61">
        <f>'D) Ecrêtage'!N310</f>
        <v>5069.9973417721512</v>
      </c>
      <c r="D310" s="234">
        <v>7286</v>
      </c>
      <c r="E310" s="18">
        <v>8799</v>
      </c>
      <c r="F310" s="73">
        <v>16981</v>
      </c>
      <c r="G310" s="18">
        <f t="shared" si="45"/>
        <v>33066</v>
      </c>
      <c r="H310" s="61">
        <f t="shared" si="46"/>
        <v>40560</v>
      </c>
      <c r="I310" s="18">
        <f t="shared" si="47"/>
        <v>0</v>
      </c>
      <c r="J310" s="4">
        <f t="shared" si="48"/>
        <v>0</v>
      </c>
      <c r="K310" s="25">
        <v>14318</v>
      </c>
      <c r="L310" s="18">
        <f t="shared" si="44"/>
        <v>5070</v>
      </c>
      <c r="M310" s="61">
        <f t="shared" si="49"/>
        <v>9248</v>
      </c>
      <c r="N310" s="4">
        <f t="shared" si="50"/>
        <v>-6650</v>
      </c>
      <c r="O310" s="233">
        <f t="shared" si="51"/>
        <v>-6650</v>
      </c>
      <c r="P310" s="223">
        <f t="shared" si="52"/>
        <v>-1.3116377685664782</v>
      </c>
      <c r="Q310" s="224"/>
      <c r="R310" s="224"/>
      <c r="S310" s="225"/>
      <c r="T310" s="225"/>
      <c r="U310" s="225"/>
      <c r="V310" s="225"/>
      <c r="Z310" s="23"/>
      <c r="AA310" s="23"/>
      <c r="AB310" s="23"/>
      <c r="AC310" s="23"/>
    </row>
    <row r="311" spans="1:29" x14ac:dyDescent="0.25">
      <c r="A311" s="222">
        <f>'A) Base RI'!A313</f>
        <v>5926</v>
      </c>
      <c r="B311" s="62" t="str">
        <f>'A) Base RI'!B313</f>
        <v>Pomy</v>
      </c>
      <c r="C311" s="61">
        <f>'D) Ecrêtage'!N311</f>
        <v>22116.912816901407</v>
      </c>
      <c r="D311" s="61">
        <v>31666</v>
      </c>
      <c r="E311" s="18">
        <v>70307</v>
      </c>
      <c r="F311" s="73">
        <v>72029</v>
      </c>
      <c r="G311" s="18">
        <f t="shared" si="45"/>
        <v>174002</v>
      </c>
      <c r="H311" s="61">
        <f t="shared" si="46"/>
        <v>176935</v>
      </c>
      <c r="I311" s="18">
        <f t="shared" si="47"/>
        <v>0</v>
      </c>
      <c r="J311" s="4">
        <f t="shared" si="48"/>
        <v>0</v>
      </c>
      <c r="K311" s="25">
        <v>50996</v>
      </c>
      <c r="L311" s="18">
        <f t="shared" si="44"/>
        <v>22117</v>
      </c>
      <c r="M311" s="61">
        <f t="shared" si="49"/>
        <v>28879</v>
      </c>
      <c r="N311" s="4">
        <f t="shared" si="50"/>
        <v>-20765</v>
      </c>
      <c r="O311" s="233">
        <f t="shared" si="51"/>
        <v>-20765</v>
      </c>
      <c r="P311" s="223">
        <f t="shared" si="52"/>
        <v>-0.93887425301652871</v>
      </c>
      <c r="Q311" s="224"/>
      <c r="R311" s="224"/>
      <c r="S311" s="225"/>
      <c r="T311" s="225"/>
      <c r="U311" s="225"/>
      <c r="V311" s="225"/>
      <c r="Z311" s="23"/>
      <c r="AA311" s="23"/>
      <c r="AB311" s="23"/>
      <c r="AC311" s="23"/>
    </row>
    <row r="312" spans="1:29" x14ac:dyDescent="0.25">
      <c r="A312" s="222">
        <f>'A) Base RI'!A314</f>
        <v>5928</v>
      </c>
      <c r="B312" s="62" t="str">
        <f>'A) Base RI'!B314</f>
        <v>Rovray</v>
      </c>
      <c r="C312" s="61">
        <f>'D) Ecrêtage'!N312</f>
        <v>4108.2366666666667</v>
      </c>
      <c r="D312" s="61">
        <v>33890</v>
      </c>
      <c r="E312" s="18">
        <v>4675</v>
      </c>
      <c r="F312" s="73">
        <v>12732</v>
      </c>
      <c r="G312" s="18">
        <f t="shared" si="45"/>
        <v>51297</v>
      </c>
      <c r="H312" s="61">
        <f t="shared" si="46"/>
        <v>32866</v>
      </c>
      <c r="I312" s="18">
        <f t="shared" si="47"/>
        <v>18431</v>
      </c>
      <c r="J312" s="4">
        <f t="shared" si="48"/>
        <v>-13253</v>
      </c>
      <c r="K312" s="25">
        <v>3118</v>
      </c>
      <c r="L312" s="18">
        <f t="shared" si="44"/>
        <v>4108</v>
      </c>
      <c r="M312" s="61">
        <f t="shared" si="49"/>
        <v>0</v>
      </c>
      <c r="N312" s="4">
        <f t="shared" si="50"/>
        <v>0</v>
      </c>
      <c r="O312" s="233">
        <f t="shared" si="51"/>
        <v>-13253</v>
      </c>
      <c r="P312" s="223">
        <f t="shared" si="52"/>
        <v>-3.225958257841361</v>
      </c>
      <c r="Q312" s="224"/>
      <c r="R312" s="224"/>
      <c r="S312" s="225"/>
      <c r="T312" s="225"/>
      <c r="U312" s="225"/>
      <c r="V312" s="225"/>
      <c r="Z312" s="23"/>
      <c r="AA312" s="23"/>
      <c r="AB312" s="23"/>
      <c r="AC312" s="23"/>
    </row>
    <row r="313" spans="1:29" x14ac:dyDescent="0.25">
      <c r="A313" s="222">
        <f>'A) Base RI'!A315</f>
        <v>5929</v>
      </c>
      <c r="B313" s="62" t="str">
        <f>'A) Base RI'!B315</f>
        <v>Suchy</v>
      </c>
      <c r="C313" s="61">
        <f>'D) Ecrêtage'!N313</f>
        <v>16171.057696078431</v>
      </c>
      <c r="D313" s="61">
        <v>73716</v>
      </c>
      <c r="E313" s="18">
        <v>14501</v>
      </c>
      <c r="F313" s="73">
        <v>47547</v>
      </c>
      <c r="G313" s="18">
        <f t="shared" si="45"/>
        <v>135764</v>
      </c>
      <c r="H313" s="61">
        <f t="shared" si="46"/>
        <v>129368</v>
      </c>
      <c r="I313" s="18">
        <f t="shared" si="47"/>
        <v>6396</v>
      </c>
      <c r="J313" s="4">
        <f t="shared" si="48"/>
        <v>-4599</v>
      </c>
      <c r="K313" s="25">
        <v>37800</v>
      </c>
      <c r="L313" s="18">
        <f t="shared" si="44"/>
        <v>16171</v>
      </c>
      <c r="M313" s="61">
        <f t="shared" si="49"/>
        <v>21629</v>
      </c>
      <c r="N313" s="4">
        <f t="shared" si="50"/>
        <v>-15552</v>
      </c>
      <c r="O313" s="233">
        <f t="shared" si="51"/>
        <v>-20151</v>
      </c>
      <c r="P313" s="223">
        <f t="shared" si="52"/>
        <v>-1.2461151508281816</v>
      </c>
      <c r="Q313" s="224"/>
      <c r="R313" s="224"/>
      <c r="S313" s="225"/>
      <c r="T313" s="225"/>
      <c r="U313" s="225"/>
      <c r="V313" s="225"/>
      <c r="Z313" s="23"/>
      <c r="AA313" s="23"/>
      <c r="AB313" s="23"/>
      <c r="AC313" s="23"/>
    </row>
    <row r="314" spans="1:29" x14ac:dyDescent="0.25">
      <c r="A314" s="222">
        <f>'A) Base RI'!A316</f>
        <v>5930</v>
      </c>
      <c r="B314" s="62" t="str">
        <f>'A) Base RI'!B316</f>
        <v>Suscévaz</v>
      </c>
      <c r="C314" s="61">
        <f>'D) Ecrêtage'!N314</f>
        <v>4973.4774242424237</v>
      </c>
      <c r="D314" s="61">
        <v>16936</v>
      </c>
      <c r="E314" s="18">
        <v>8710</v>
      </c>
      <c r="F314" s="73">
        <v>8861</v>
      </c>
      <c r="G314" s="18">
        <f t="shared" si="45"/>
        <v>34507</v>
      </c>
      <c r="H314" s="61">
        <f t="shared" si="46"/>
        <v>39788</v>
      </c>
      <c r="I314" s="18">
        <f t="shared" si="47"/>
        <v>0</v>
      </c>
      <c r="J314" s="4">
        <f t="shared" si="48"/>
        <v>0</v>
      </c>
      <c r="K314" s="25">
        <v>12868</v>
      </c>
      <c r="L314" s="18">
        <f t="shared" si="44"/>
        <v>4973</v>
      </c>
      <c r="M314" s="61">
        <f t="shared" si="49"/>
        <v>7895</v>
      </c>
      <c r="N314" s="4">
        <f t="shared" si="50"/>
        <v>-5677</v>
      </c>
      <c r="O314" s="233">
        <f t="shared" si="51"/>
        <v>-5677</v>
      </c>
      <c r="P314" s="223">
        <f t="shared" si="52"/>
        <v>-1.1414548646241698</v>
      </c>
      <c r="Q314" s="224"/>
      <c r="R314" s="224"/>
      <c r="S314" s="225"/>
      <c r="T314" s="225"/>
      <c r="U314" s="225"/>
      <c r="V314" s="225"/>
      <c r="Z314" s="23"/>
      <c r="AA314" s="23"/>
      <c r="AB314" s="23"/>
      <c r="AC314" s="23"/>
    </row>
    <row r="315" spans="1:29" x14ac:dyDescent="0.25">
      <c r="A315" s="222">
        <f>'A) Base RI'!A317</f>
        <v>5931</v>
      </c>
      <c r="B315" s="62" t="str">
        <f>'A) Base RI'!B317</f>
        <v>Treycovagnes</v>
      </c>
      <c r="C315" s="61">
        <f>'D) Ecrêtage'!N315</f>
        <v>11474.723896103897</v>
      </c>
      <c r="D315" s="61">
        <v>77036</v>
      </c>
      <c r="E315" s="18">
        <v>20367</v>
      </c>
      <c r="F315" s="73">
        <v>20370</v>
      </c>
      <c r="G315" s="18">
        <f t="shared" si="45"/>
        <v>117773</v>
      </c>
      <c r="H315" s="61">
        <f t="shared" si="46"/>
        <v>91798</v>
      </c>
      <c r="I315" s="18">
        <f t="shared" si="47"/>
        <v>25975</v>
      </c>
      <c r="J315" s="4">
        <f t="shared" si="48"/>
        <v>-18677</v>
      </c>
      <c r="K315" s="25">
        <v>783</v>
      </c>
      <c r="L315" s="18">
        <f t="shared" si="44"/>
        <v>11475</v>
      </c>
      <c r="M315" s="61">
        <f t="shared" si="49"/>
        <v>0</v>
      </c>
      <c r="N315" s="4">
        <f t="shared" si="50"/>
        <v>0</v>
      </c>
      <c r="O315" s="233">
        <f t="shared" si="51"/>
        <v>-18677</v>
      </c>
      <c r="P315" s="223">
        <f t="shared" si="52"/>
        <v>-1.6276644361213388</v>
      </c>
      <c r="Q315" s="224"/>
      <c r="R315" s="224"/>
      <c r="S315" s="225"/>
      <c r="T315" s="225"/>
      <c r="U315" s="225"/>
      <c r="V315" s="225"/>
      <c r="Z315" s="23"/>
      <c r="AA315" s="23"/>
      <c r="AB315" s="23"/>
      <c r="AC315" s="23"/>
    </row>
    <row r="316" spans="1:29" x14ac:dyDescent="0.25">
      <c r="A316" s="222">
        <f>'A) Base RI'!A318</f>
        <v>5932</v>
      </c>
      <c r="B316" s="62" t="str">
        <f>'A) Base RI'!B318</f>
        <v>Ursins</v>
      </c>
      <c r="C316" s="61">
        <f>'D) Ecrêtage'!N316</f>
        <v>5257.3797435897432</v>
      </c>
      <c r="D316" s="61">
        <v>49745</v>
      </c>
      <c r="E316" s="18">
        <v>6015</v>
      </c>
      <c r="F316" s="73">
        <v>8924</v>
      </c>
      <c r="G316" s="18">
        <f t="shared" si="45"/>
        <v>64684</v>
      </c>
      <c r="H316" s="61">
        <f t="shared" si="46"/>
        <v>42059</v>
      </c>
      <c r="I316" s="18">
        <f t="shared" si="47"/>
        <v>22625</v>
      </c>
      <c r="J316" s="4">
        <f t="shared" si="48"/>
        <v>-16269</v>
      </c>
      <c r="K316" s="25">
        <v>14650</v>
      </c>
      <c r="L316" s="18">
        <f t="shared" si="44"/>
        <v>5257</v>
      </c>
      <c r="M316" s="61">
        <f t="shared" si="49"/>
        <v>9393</v>
      </c>
      <c r="N316" s="4">
        <f t="shared" si="50"/>
        <v>-6754</v>
      </c>
      <c r="O316" s="233">
        <f t="shared" si="51"/>
        <v>-23023</v>
      </c>
      <c r="P316" s="223">
        <f t="shared" si="52"/>
        <v>-4.3791776745957245</v>
      </c>
      <c r="Q316" s="224"/>
      <c r="R316" s="224"/>
      <c r="S316" s="225"/>
      <c r="T316" s="225"/>
      <c r="U316" s="225"/>
      <c r="V316" s="225"/>
      <c r="Z316" s="23"/>
      <c r="AA316" s="23"/>
      <c r="AB316" s="23"/>
      <c r="AC316" s="23"/>
    </row>
    <row r="317" spans="1:29" x14ac:dyDescent="0.25">
      <c r="A317" s="222">
        <f>'A) Base RI'!A319</f>
        <v>5933</v>
      </c>
      <c r="B317" s="62" t="str">
        <f>'A) Base RI'!B319</f>
        <v>Valeyres-sous-Montagny</v>
      </c>
      <c r="C317" s="61">
        <f>'D) Ecrêtage'!N317</f>
        <v>19712.293888888889</v>
      </c>
      <c r="D317" s="61">
        <v>199963</v>
      </c>
      <c r="E317" s="18">
        <v>48833</v>
      </c>
      <c r="F317" s="73">
        <v>84560</v>
      </c>
      <c r="G317" s="18">
        <f t="shared" si="45"/>
        <v>333356</v>
      </c>
      <c r="H317" s="61">
        <f t="shared" si="46"/>
        <v>157698</v>
      </c>
      <c r="I317" s="18">
        <f t="shared" si="47"/>
        <v>175658</v>
      </c>
      <c r="J317" s="4">
        <f t="shared" si="48"/>
        <v>-126307</v>
      </c>
      <c r="K317" s="25">
        <v>7485</v>
      </c>
      <c r="L317" s="18">
        <f t="shared" si="44"/>
        <v>19712</v>
      </c>
      <c r="M317" s="61">
        <f t="shared" si="49"/>
        <v>0</v>
      </c>
      <c r="N317" s="4">
        <f t="shared" si="50"/>
        <v>0</v>
      </c>
      <c r="O317" s="233">
        <f t="shared" si="51"/>
        <v>-126307</v>
      </c>
      <c r="P317" s="223">
        <f t="shared" si="52"/>
        <v>-6.4075241933763332</v>
      </c>
      <c r="Q317" s="224"/>
      <c r="R317" s="224"/>
      <c r="S317" s="225"/>
      <c r="T317" s="225"/>
      <c r="U317" s="225"/>
      <c r="V317" s="225"/>
      <c r="Z317" s="23"/>
      <c r="AA317" s="23"/>
      <c r="AB317" s="23"/>
      <c r="AC317" s="23"/>
    </row>
    <row r="318" spans="1:29" x14ac:dyDescent="0.25">
      <c r="A318" s="222">
        <f>'A) Base RI'!A320</f>
        <v>5934</v>
      </c>
      <c r="B318" s="62" t="str">
        <f>'A) Base RI'!B320</f>
        <v>Valeyres-sous-Ursins</v>
      </c>
      <c r="C318" s="61">
        <f>'D) Ecrêtage'!N318</f>
        <v>5945.0260256410256</v>
      </c>
      <c r="D318" s="61">
        <v>56580</v>
      </c>
      <c r="E318" s="18">
        <v>7087</v>
      </c>
      <c r="F318" s="73">
        <v>12240</v>
      </c>
      <c r="G318" s="18">
        <f t="shared" si="45"/>
        <v>75907</v>
      </c>
      <c r="H318" s="61">
        <f t="shared" si="46"/>
        <v>47560</v>
      </c>
      <c r="I318" s="18">
        <f t="shared" si="47"/>
        <v>28347</v>
      </c>
      <c r="J318" s="4">
        <f t="shared" si="48"/>
        <v>-20383</v>
      </c>
      <c r="K318" s="25">
        <v>13672</v>
      </c>
      <c r="L318" s="18">
        <f t="shared" si="44"/>
        <v>5945</v>
      </c>
      <c r="M318" s="61">
        <f t="shared" si="49"/>
        <v>7727</v>
      </c>
      <c r="N318" s="4">
        <f t="shared" si="50"/>
        <v>-5556</v>
      </c>
      <c r="O318" s="233">
        <f t="shared" si="51"/>
        <v>-25939</v>
      </c>
      <c r="P318" s="223">
        <f t="shared" si="52"/>
        <v>-4.3631432205888645</v>
      </c>
      <c r="Q318" s="224"/>
      <c r="R318" s="224"/>
      <c r="S318" s="225"/>
      <c r="T318" s="225"/>
      <c r="U318" s="225"/>
      <c r="V318" s="225"/>
      <c r="Z318" s="23"/>
      <c r="AA318" s="23"/>
      <c r="AB318" s="23"/>
      <c r="AC318" s="23"/>
    </row>
    <row r="319" spans="1:29" x14ac:dyDescent="0.25">
      <c r="A319" s="222">
        <f>'A) Base RI'!A321</f>
        <v>5935</v>
      </c>
      <c r="B319" s="62" t="str">
        <f>'A) Base RI'!B321</f>
        <v>Villars-Epeney</v>
      </c>
      <c r="C319" s="61">
        <f>'D) Ecrêtage'!N319</f>
        <v>3981.1370000000011</v>
      </c>
      <c r="D319" s="61">
        <v>15296</v>
      </c>
      <c r="E319" s="18">
        <v>2471</v>
      </c>
      <c r="F319" s="73">
        <v>5541</v>
      </c>
      <c r="G319" s="18">
        <f t="shared" si="45"/>
        <v>23308</v>
      </c>
      <c r="H319" s="61">
        <f t="shared" si="46"/>
        <v>31849</v>
      </c>
      <c r="I319" s="18">
        <f t="shared" si="47"/>
        <v>0</v>
      </c>
      <c r="J319" s="4">
        <f t="shared" si="48"/>
        <v>0</v>
      </c>
      <c r="K319" s="25">
        <v>13954</v>
      </c>
      <c r="L319" s="18">
        <f t="shared" si="44"/>
        <v>3981</v>
      </c>
      <c r="M319" s="61">
        <f t="shared" si="49"/>
        <v>9973</v>
      </c>
      <c r="N319" s="4">
        <f t="shared" si="50"/>
        <v>-7171</v>
      </c>
      <c r="O319" s="233">
        <f t="shared" si="51"/>
        <v>-7171</v>
      </c>
      <c r="P319" s="223">
        <f t="shared" si="52"/>
        <v>-1.8012442174182899</v>
      </c>
      <c r="Q319" s="224"/>
      <c r="R319" s="224"/>
      <c r="S319" s="225"/>
      <c r="T319" s="225"/>
      <c r="U319" s="225"/>
      <c r="V319" s="225"/>
      <c r="Z319" s="23"/>
      <c r="AA319" s="23"/>
      <c r="AB319" s="23"/>
      <c r="AC319" s="23"/>
    </row>
    <row r="320" spans="1:29" x14ac:dyDescent="0.25">
      <c r="A320" s="222">
        <f>'A) Base RI'!A322</f>
        <v>5937</v>
      </c>
      <c r="B320" s="62" t="str">
        <f>'A) Base RI'!B322</f>
        <v>Vugelles-La Mothe</v>
      </c>
      <c r="C320" s="61">
        <f>'D) Ecrêtage'!N320</f>
        <v>2078.5690612244898</v>
      </c>
      <c r="D320" s="61">
        <v>43638</v>
      </c>
      <c r="E320" s="18">
        <v>3841</v>
      </c>
      <c r="F320" s="73">
        <v>18060</v>
      </c>
      <c r="G320" s="18">
        <f t="shared" si="45"/>
        <v>65539</v>
      </c>
      <c r="H320" s="61">
        <f t="shared" si="46"/>
        <v>16629</v>
      </c>
      <c r="I320" s="18">
        <f t="shared" si="47"/>
        <v>48910</v>
      </c>
      <c r="J320" s="4">
        <f t="shared" si="48"/>
        <v>-35169</v>
      </c>
      <c r="K320" s="25">
        <v>6237</v>
      </c>
      <c r="L320" s="18">
        <f t="shared" si="44"/>
        <v>2079</v>
      </c>
      <c r="M320" s="61">
        <f t="shared" si="49"/>
        <v>4158</v>
      </c>
      <c r="N320" s="4">
        <f t="shared" si="50"/>
        <v>-2990</v>
      </c>
      <c r="O320" s="233">
        <f t="shared" si="51"/>
        <v>-38159</v>
      </c>
      <c r="P320" s="223">
        <f t="shared" si="52"/>
        <v>-18.358302695759576</v>
      </c>
      <c r="Q320" s="224"/>
      <c r="R320" s="224"/>
      <c r="S320" s="225"/>
      <c r="T320" s="225"/>
      <c r="U320" s="225"/>
      <c r="V320" s="225"/>
      <c r="Z320" s="23"/>
      <c r="AA320" s="23"/>
      <c r="AB320" s="23"/>
      <c r="AC320" s="23"/>
    </row>
    <row r="321" spans="1:29" x14ac:dyDescent="0.25">
      <c r="A321" s="222">
        <f>'A) Base RI'!A323</f>
        <v>5938</v>
      </c>
      <c r="B321" s="62" t="str">
        <f>'A) Base RI'!B323</f>
        <v>Yverdon-les-Bains</v>
      </c>
      <c r="C321" s="61">
        <f>'D) Ecrêtage'!N321</f>
        <v>756903.16758169921</v>
      </c>
      <c r="D321" s="61">
        <v>8399864</v>
      </c>
      <c r="E321" s="18">
        <v>5866345</v>
      </c>
      <c r="F321" s="73">
        <v>944528</v>
      </c>
      <c r="G321" s="18">
        <f t="shared" si="45"/>
        <v>15210737</v>
      </c>
      <c r="H321" s="61">
        <f t="shared" si="46"/>
        <v>6055225</v>
      </c>
      <c r="I321" s="18">
        <f t="shared" si="47"/>
        <v>9155512</v>
      </c>
      <c r="J321" s="4">
        <f t="shared" si="48"/>
        <v>-6583286</v>
      </c>
      <c r="K321" s="25">
        <v>292630</v>
      </c>
      <c r="L321" s="18">
        <f t="shared" si="44"/>
        <v>756903</v>
      </c>
      <c r="M321" s="61">
        <f t="shared" si="49"/>
        <v>0</v>
      </c>
      <c r="N321" s="4">
        <f t="shared" si="50"/>
        <v>0</v>
      </c>
      <c r="O321" s="233">
        <f t="shared" si="51"/>
        <v>-6583286</v>
      </c>
      <c r="P321" s="223">
        <f t="shared" si="52"/>
        <v>-8.6976594655212729</v>
      </c>
      <c r="Q321" s="224"/>
      <c r="R321" s="224"/>
      <c r="S321" s="225"/>
      <c r="T321" s="225"/>
      <c r="U321" s="225"/>
      <c r="V321" s="225"/>
      <c r="Z321" s="23"/>
      <c r="AA321" s="23"/>
      <c r="AB321" s="23"/>
      <c r="AC321" s="23"/>
    </row>
    <row r="322" spans="1:29" x14ac:dyDescent="0.25">
      <c r="A322" s="222">
        <f>'A) Base RI'!A324</f>
        <v>5939</v>
      </c>
      <c r="B322" s="85" t="str">
        <f>'A) Base RI'!B324</f>
        <v>Yvonand</v>
      </c>
      <c r="C322" s="61">
        <f>'D) Ecrêtage'!N322</f>
        <v>81342.881095890421</v>
      </c>
      <c r="D322" s="185">
        <v>397370</v>
      </c>
      <c r="E322" s="43">
        <v>172523</v>
      </c>
      <c r="F322" s="126">
        <v>260306</v>
      </c>
      <c r="G322" s="43">
        <f t="shared" si="45"/>
        <v>830199</v>
      </c>
      <c r="H322" s="185">
        <f t="shared" si="46"/>
        <v>650743</v>
      </c>
      <c r="I322" s="43">
        <f t="shared" si="47"/>
        <v>179456</v>
      </c>
      <c r="J322" s="235">
        <f t="shared" si="48"/>
        <v>-129038</v>
      </c>
      <c r="K322" s="127">
        <v>69357</v>
      </c>
      <c r="L322" s="43">
        <f t="shared" si="44"/>
        <v>81343</v>
      </c>
      <c r="M322" s="185">
        <f t="shared" si="49"/>
        <v>0</v>
      </c>
      <c r="N322" s="235">
        <f t="shared" si="50"/>
        <v>0</v>
      </c>
      <c r="O322" s="236">
        <f t="shared" si="51"/>
        <v>-129038</v>
      </c>
      <c r="P322" s="226">
        <f t="shared" si="52"/>
        <v>-1.5863465648319557</v>
      </c>
      <c r="Q322" s="224"/>
      <c r="R322" s="224"/>
      <c r="S322" s="225"/>
      <c r="T322" s="225"/>
      <c r="U322" s="225"/>
      <c r="V322" s="225"/>
      <c r="Z322" s="23"/>
      <c r="AA322" s="23"/>
      <c r="AB322" s="23"/>
      <c r="AC322" s="23"/>
    </row>
    <row r="323" spans="1:29" x14ac:dyDescent="0.25">
      <c r="A323" s="137"/>
      <c r="B323" s="213">
        <f>COUNTA(B5:B322)</f>
        <v>318</v>
      </c>
      <c r="C323" s="21">
        <f t="shared" ref="C323:O323" si="53">SUM(C5:C322)</f>
        <v>33127335.331169713</v>
      </c>
      <c r="D323" s="21">
        <f t="shared" si="53"/>
        <v>236359545</v>
      </c>
      <c r="E323" s="21">
        <f t="shared" si="53"/>
        <v>145250375</v>
      </c>
      <c r="F323" s="128">
        <f t="shared" si="53"/>
        <v>40597167</v>
      </c>
      <c r="G323" s="21">
        <f t="shared" si="53"/>
        <v>422207087</v>
      </c>
      <c r="H323" s="214">
        <f t="shared" si="53"/>
        <v>265018680</v>
      </c>
      <c r="I323" s="21">
        <f t="shared" si="53"/>
        <v>176698639</v>
      </c>
      <c r="J323" s="69">
        <f t="shared" si="53"/>
        <v>-127055440</v>
      </c>
      <c r="K323" s="214">
        <f t="shared" si="53"/>
        <v>21253770</v>
      </c>
      <c r="L323" s="43">
        <f t="shared" si="53"/>
        <v>33127333</v>
      </c>
      <c r="M323" s="21">
        <f t="shared" si="53"/>
        <v>7584852</v>
      </c>
      <c r="N323" s="69">
        <f t="shared" si="53"/>
        <v>-5453897</v>
      </c>
      <c r="O323" s="237">
        <f t="shared" si="53"/>
        <v>-132509337</v>
      </c>
      <c r="P323" s="238">
        <f>O323/C323</f>
        <v>-3.9999998694528611</v>
      </c>
      <c r="Z323" s="23"/>
      <c r="AA323" s="23"/>
      <c r="AB323" s="23"/>
      <c r="AC323" s="23"/>
    </row>
    <row r="327" spans="1:29" x14ac:dyDescent="0.25">
      <c r="C327" s="23"/>
      <c r="D327" s="23"/>
      <c r="E327" s="23"/>
      <c r="F327" s="23"/>
      <c r="G327" s="23"/>
      <c r="H327" s="23"/>
      <c r="I327" s="23"/>
      <c r="J327" s="23"/>
      <c r="K327" s="23"/>
    </row>
    <row r="328" spans="1:29" x14ac:dyDescent="0.25">
      <c r="J328" s="58"/>
    </row>
  </sheetData>
  <sheetProtection sheet="1" objects="1" scenarios="1"/>
  <mergeCells count="10">
    <mergeCell ref="D3:D4"/>
    <mergeCell ref="C3:C4"/>
    <mergeCell ref="B3:B4"/>
    <mergeCell ref="A3:A4"/>
    <mergeCell ref="L3:L4"/>
    <mergeCell ref="K3:K4"/>
    <mergeCell ref="H3:H4"/>
    <mergeCell ref="G3:G4"/>
    <mergeCell ref="F3:F4"/>
    <mergeCell ref="E3:E4"/>
  </mergeCells>
  <phoneticPr fontId="0" type="noConversion"/>
  <printOptions horizontalCentered="1"/>
  <pageMargins left="0" right="0" top="0" bottom="0" header="0.51181102362204722" footer="0.51181102362204722"/>
  <pageSetup paperSize="9" scale="64" orientation="landscape" horizontalDpi="4294967292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323"/>
  <sheetViews>
    <sheetView workbookViewId="0"/>
  </sheetViews>
  <sheetFormatPr baseColWidth="10" defaultColWidth="10.75" defaultRowHeight="15" x14ac:dyDescent="0.25"/>
  <cols>
    <col min="1" max="1" width="7.25" style="24" customWidth="1"/>
    <col min="2" max="2" width="19.875" style="24" customWidth="1"/>
    <col min="3" max="3" width="9.25" style="24" customWidth="1"/>
    <col min="4" max="4" width="10.625" style="24" customWidth="1"/>
    <col min="5" max="5" width="11.25" style="24" customWidth="1"/>
    <col min="6" max="6" width="10.625" style="24" customWidth="1"/>
    <col min="7" max="7" width="10.875" style="24" customWidth="1"/>
    <col min="8" max="8" width="10" style="251" customWidth="1"/>
    <col min="9" max="9" width="11.875" style="24" customWidth="1"/>
    <col min="10" max="11" width="12.125" style="27" customWidth="1"/>
    <col min="12" max="14" width="12.125" style="24" customWidth="1"/>
    <col min="15" max="17" width="8.125" style="24" customWidth="1"/>
    <col min="18" max="16384" width="10.75" style="24"/>
  </cols>
  <sheetData>
    <row r="1" spans="1:25" s="75" customFormat="1" ht="21" x14ac:dyDescent="0.25">
      <c r="A1" s="86" t="s">
        <v>249</v>
      </c>
      <c r="B1" s="74"/>
      <c r="C1" s="123"/>
      <c r="D1" s="123"/>
      <c r="E1" s="123"/>
      <c r="F1" s="123"/>
      <c r="G1" s="123"/>
      <c r="H1" s="250"/>
      <c r="I1" s="123"/>
      <c r="J1" s="239"/>
      <c r="K1" s="240"/>
      <c r="L1" s="101"/>
      <c r="N1" s="24"/>
      <c r="O1" s="24"/>
      <c r="P1" s="24"/>
      <c r="Q1" s="24"/>
      <c r="R1" s="24"/>
      <c r="Y1" s="24"/>
    </row>
    <row r="3" spans="1:25" ht="30" x14ac:dyDescent="0.25">
      <c r="A3" s="435" t="s">
        <v>53</v>
      </c>
      <c r="B3" s="435" t="s">
        <v>123</v>
      </c>
      <c r="C3" s="435" t="s">
        <v>419</v>
      </c>
      <c r="D3" s="435" t="s">
        <v>120</v>
      </c>
      <c r="E3" s="435" t="s">
        <v>375</v>
      </c>
      <c r="F3" s="435" t="s">
        <v>417</v>
      </c>
      <c r="G3" s="454" t="s">
        <v>406</v>
      </c>
      <c r="H3" s="252" t="s">
        <v>182</v>
      </c>
      <c r="I3" s="452" t="s">
        <v>420</v>
      </c>
      <c r="J3" s="459" t="s">
        <v>388</v>
      </c>
    </row>
    <row r="4" spans="1:25" x14ac:dyDescent="0.25">
      <c r="A4" s="437"/>
      <c r="B4" s="437"/>
      <c r="C4" s="437"/>
      <c r="D4" s="437"/>
      <c r="E4" s="436"/>
      <c r="F4" s="436"/>
      <c r="G4" s="455"/>
      <c r="H4" s="355">
        <f>Paramètres!B42</f>
        <v>54.047272794284424</v>
      </c>
      <c r="I4" s="453"/>
      <c r="J4" s="464"/>
    </row>
    <row r="5" spans="1:25" x14ac:dyDescent="0.25">
      <c r="A5" s="78">
        <f>'A) Base RI'!A7</f>
        <v>5401</v>
      </c>
      <c r="B5" s="146" t="str">
        <f>'A) Base RI'!B7</f>
        <v>Aigle</v>
      </c>
      <c r="C5" s="157">
        <f>'B) D RI'!U7</f>
        <v>256314.41797530872</v>
      </c>
      <c r="D5" s="244">
        <f>'E) Fact soc'!G11/C5</f>
        <v>17.324507839328465</v>
      </c>
      <c r="E5" s="244">
        <f>'H) Péréquation directe'!I16/'H) Péréquation directe'!C16</f>
        <v>-12.562244026864107</v>
      </c>
      <c r="F5" s="241">
        <f>'I) Dépenses thématiques'!P5</f>
        <v>-8.2589657527729265</v>
      </c>
      <c r="G5" s="186">
        <f>SUM(D5:F5)</f>
        <v>-3.4967019403085686</v>
      </c>
      <c r="H5" s="161">
        <f t="shared" ref="H5:H59" si="0">IF(G5&gt;H$4,H$4-G5,0)</f>
        <v>0</v>
      </c>
      <c r="I5" s="205">
        <f>H5*C5</f>
        <v>0</v>
      </c>
      <c r="J5" s="150">
        <f>G5+H5</f>
        <v>-3.4967019403085686</v>
      </c>
    </row>
    <row r="6" spans="1:25" x14ac:dyDescent="0.25">
      <c r="A6" s="82">
        <f>'A) Base RI'!A8</f>
        <v>5402</v>
      </c>
      <c r="B6" s="147" t="str">
        <f>'A) Base RI'!B8</f>
        <v>Bex</v>
      </c>
      <c r="C6" s="158">
        <f>'B) D RI'!U8</f>
        <v>163724.47859154927</v>
      </c>
      <c r="D6" s="247">
        <f>'E) Fact soc'!G12/C6</f>
        <v>18.48165837601767</v>
      </c>
      <c r="E6" s="247">
        <f>'H) Péréquation directe'!I17/'H) Péréquation directe'!C17</f>
        <v>-17.375810946619204</v>
      </c>
      <c r="F6" s="242">
        <f>'I) Dépenses thématiques'!P6</f>
        <v>-12.045480412980794</v>
      </c>
      <c r="G6" s="190">
        <f t="shared" ref="G6:G61" si="1">SUM(D6:F6)</f>
        <v>-10.939632983582328</v>
      </c>
      <c r="H6" s="161">
        <f t="shared" si="0"/>
        <v>0</v>
      </c>
      <c r="I6" s="206">
        <f t="shared" ref="I6:I60" si="2">H6*C6</f>
        <v>0</v>
      </c>
      <c r="J6" s="63">
        <f t="shared" ref="J6:J59" si="3">G6+H6</f>
        <v>-10.939632983582328</v>
      </c>
    </row>
    <row r="7" spans="1:25" x14ac:dyDescent="0.25">
      <c r="A7" s="82">
        <f>'A) Base RI'!A9</f>
        <v>5403</v>
      </c>
      <c r="B7" s="147" t="str">
        <f>'A) Base RI'!B9</f>
        <v>Chessel</v>
      </c>
      <c r="C7" s="158">
        <f>'B) D RI'!U9</f>
        <v>7826.6322368421061</v>
      </c>
      <c r="D7" s="247">
        <f>'E) Fact soc'!G13/C7</f>
        <v>17.752706799121739</v>
      </c>
      <c r="E7" s="247">
        <f>'H) Péréquation directe'!I18/'H) Péréquation directe'!C18</f>
        <v>-9.6964202023422423</v>
      </c>
      <c r="F7" s="242">
        <f>'I) Dépenses thématiques'!P7</f>
        <v>-4.5994239809234339</v>
      </c>
      <c r="G7" s="190">
        <f t="shared" si="1"/>
        <v>3.4568626158560631</v>
      </c>
      <c r="H7" s="161">
        <f t="shared" si="0"/>
        <v>0</v>
      </c>
      <c r="I7" s="206">
        <f t="shared" si="2"/>
        <v>0</v>
      </c>
      <c r="J7" s="63">
        <f t="shared" si="3"/>
        <v>3.4568626158560631</v>
      </c>
    </row>
    <row r="8" spans="1:25" x14ac:dyDescent="0.25">
      <c r="A8" s="82">
        <f>'A) Base RI'!A10</f>
        <v>5404</v>
      </c>
      <c r="B8" s="147" t="str">
        <f>'A) Base RI'!B10</f>
        <v>Corbeyrier</v>
      </c>
      <c r="C8" s="158">
        <f>'B) D RI'!U10</f>
        <v>8762.5650952380947</v>
      </c>
      <c r="D8" s="247">
        <f>'E) Fact soc'!G14/C8</f>
        <v>25.40637577902254</v>
      </c>
      <c r="E8" s="247">
        <f>'H) Péréquation directe'!I19/'H) Péréquation directe'!C19</f>
        <v>-7.8248908723490338</v>
      </c>
      <c r="F8" s="242">
        <f>'I) Dépenses thématiques'!P8</f>
        <v>-24.913366990977917</v>
      </c>
      <c r="G8" s="190">
        <f t="shared" si="1"/>
        <v>-7.3318820843044108</v>
      </c>
      <c r="H8" s="161">
        <f t="shared" si="0"/>
        <v>0</v>
      </c>
      <c r="I8" s="206">
        <f t="shared" si="2"/>
        <v>0</v>
      </c>
      <c r="J8" s="63">
        <f t="shared" si="3"/>
        <v>-7.3318820843044108</v>
      </c>
    </row>
    <row r="9" spans="1:25" x14ac:dyDescent="0.25">
      <c r="A9" s="82">
        <f>'A) Base RI'!A11</f>
        <v>5405</v>
      </c>
      <c r="B9" s="147" t="str">
        <f>'A) Base RI'!B11</f>
        <v>Gryon</v>
      </c>
      <c r="C9" s="158">
        <f>'B) D RI'!U11</f>
        <v>67187.701777777766</v>
      </c>
      <c r="D9" s="247">
        <f>'E) Fact soc'!G15/C9</f>
        <v>20.791857740971221</v>
      </c>
      <c r="E9" s="247">
        <f>'H) Péréquation directe'!I20/'H) Péréquation directe'!C20</f>
        <v>15.775625180716773</v>
      </c>
      <c r="F9" s="242">
        <f>'I) Dépenses thématiques'!P9</f>
        <v>-9.186800317140051</v>
      </c>
      <c r="G9" s="190">
        <f t="shared" si="1"/>
        <v>27.380682604547946</v>
      </c>
      <c r="H9" s="161">
        <f t="shared" si="0"/>
        <v>0</v>
      </c>
      <c r="I9" s="206">
        <f t="shared" si="2"/>
        <v>0</v>
      </c>
      <c r="J9" s="63">
        <f t="shared" si="3"/>
        <v>27.380682604547946</v>
      </c>
    </row>
    <row r="10" spans="1:25" x14ac:dyDescent="0.25">
      <c r="A10" s="82">
        <f>'A) Base RI'!A12</f>
        <v>5406</v>
      </c>
      <c r="B10" s="147" t="str">
        <f>'A) Base RI'!B12</f>
        <v>Lavey-Morcles</v>
      </c>
      <c r="C10" s="158">
        <f>'B) D RI'!U12</f>
        <v>19209.951419284946</v>
      </c>
      <c r="D10" s="247">
        <f>'E) Fact soc'!G16/C10</f>
        <v>18.106313498551089</v>
      </c>
      <c r="E10" s="247">
        <f>'H) Péréquation directe'!I21/'H) Péréquation directe'!C21</f>
        <v>-6.5111420113064762</v>
      </c>
      <c r="F10" s="242">
        <f>'I) Dépenses thématiques'!P10</f>
        <v>-4.1914213233859963</v>
      </c>
      <c r="G10" s="190">
        <f t="shared" si="1"/>
        <v>7.403750163858617</v>
      </c>
      <c r="H10" s="161">
        <f t="shared" si="0"/>
        <v>0</v>
      </c>
      <c r="I10" s="206">
        <f t="shared" si="2"/>
        <v>0</v>
      </c>
      <c r="J10" s="63">
        <f t="shared" si="3"/>
        <v>7.403750163858617</v>
      </c>
    </row>
    <row r="11" spans="1:25" x14ac:dyDescent="0.25">
      <c r="A11" s="82">
        <f>'A) Base RI'!A13</f>
        <v>5407</v>
      </c>
      <c r="B11" s="147" t="str">
        <f>'A) Base RI'!B13</f>
        <v>Leysin</v>
      </c>
      <c r="C11" s="158">
        <f>'B) D RI'!U13</f>
        <v>99721.08303418805</v>
      </c>
      <c r="D11" s="247">
        <f>'E) Fact soc'!G17/C11</f>
        <v>19.91609904308276</v>
      </c>
      <c r="E11" s="247">
        <f>'H) Péréquation directe'!I22/'H) Péréquation directe'!C22</f>
        <v>-13.633603923730131</v>
      </c>
      <c r="F11" s="242">
        <f>'I) Dépenses thématiques'!P11</f>
        <v>-20.487713709442616</v>
      </c>
      <c r="G11" s="190">
        <f t="shared" si="1"/>
        <v>-14.205218590089988</v>
      </c>
      <c r="H11" s="161">
        <f t="shared" si="0"/>
        <v>0</v>
      </c>
      <c r="I11" s="206">
        <f t="shared" si="2"/>
        <v>0</v>
      </c>
      <c r="J11" s="63">
        <f t="shared" si="3"/>
        <v>-14.205218590089988</v>
      </c>
    </row>
    <row r="12" spans="1:25" x14ac:dyDescent="0.25">
      <c r="A12" s="82">
        <f>'A) Base RI'!A14</f>
        <v>5408</v>
      </c>
      <c r="B12" s="147" t="str">
        <f>'A) Base RI'!B14</f>
        <v>Noville</v>
      </c>
      <c r="C12" s="158">
        <f>'B) D RI'!U14</f>
        <v>27782.072271762208</v>
      </c>
      <c r="D12" s="247">
        <f>'E) Fact soc'!G18/C12</f>
        <v>18.44035634040484</v>
      </c>
      <c r="E12" s="247">
        <f>'H) Péréquation directe'!I23/'H) Péréquation directe'!C23</f>
        <v>2.0021504603921061</v>
      </c>
      <c r="F12" s="242">
        <f>'I) Dépenses thématiques'!P12</f>
        <v>-6.9232056600578362</v>
      </c>
      <c r="G12" s="190">
        <f t="shared" si="1"/>
        <v>13.51930114073911</v>
      </c>
      <c r="H12" s="161">
        <f t="shared" si="0"/>
        <v>0</v>
      </c>
      <c r="I12" s="206">
        <f t="shared" si="2"/>
        <v>0</v>
      </c>
      <c r="J12" s="63">
        <f t="shared" si="3"/>
        <v>13.51930114073911</v>
      </c>
    </row>
    <row r="13" spans="1:25" x14ac:dyDescent="0.25">
      <c r="A13" s="82">
        <f>'A) Base RI'!A15</f>
        <v>5409</v>
      </c>
      <c r="B13" s="147" t="str">
        <f>'A) Base RI'!B15</f>
        <v>Ollon</v>
      </c>
      <c r="C13" s="158">
        <f>'B) D RI'!U15</f>
        <v>373016.06252262433</v>
      </c>
      <c r="D13" s="247">
        <f>'E) Fact soc'!G19/C13</f>
        <v>18.760656016283484</v>
      </c>
      <c r="E13" s="247">
        <f>'H) Péréquation directe'!I24/'H) Péréquation directe'!C24</f>
        <v>10.2688500170624</v>
      </c>
      <c r="F13" s="242">
        <f>'I) Dépenses thématiques'!P13</f>
        <v>-4.7468384820361615</v>
      </c>
      <c r="G13" s="190">
        <f t="shared" si="1"/>
        <v>24.282667551309721</v>
      </c>
      <c r="H13" s="161">
        <f t="shared" si="0"/>
        <v>0</v>
      </c>
      <c r="I13" s="206">
        <f t="shared" si="2"/>
        <v>0</v>
      </c>
      <c r="J13" s="63">
        <f t="shared" si="3"/>
        <v>24.282667551309721</v>
      </c>
    </row>
    <row r="14" spans="1:25" x14ac:dyDescent="0.25">
      <c r="A14" s="82">
        <f>'A) Base RI'!A16</f>
        <v>5410</v>
      </c>
      <c r="B14" s="147" t="str">
        <f>'A) Base RI'!B16</f>
        <v>Ormont-Dessous</v>
      </c>
      <c r="C14" s="158">
        <f>'B) D RI'!U16</f>
        <v>31634.392526539275</v>
      </c>
      <c r="D14" s="247">
        <f>'E) Fact soc'!G20/C14</f>
        <v>18.781308767054657</v>
      </c>
      <c r="E14" s="247">
        <f>'H) Péréquation directe'!I25/'H) Péréquation directe'!C25</f>
        <v>2.6825755689995598</v>
      </c>
      <c r="F14" s="242">
        <f>'I) Dépenses thématiques'!P14</f>
        <v>-25.383670615022424</v>
      </c>
      <c r="G14" s="190">
        <f t="shared" si="1"/>
        <v>-3.919786278968207</v>
      </c>
      <c r="H14" s="161">
        <f t="shared" si="0"/>
        <v>0</v>
      </c>
      <c r="I14" s="206">
        <f t="shared" si="2"/>
        <v>0</v>
      </c>
      <c r="J14" s="63">
        <f t="shared" si="3"/>
        <v>-3.919786278968207</v>
      </c>
    </row>
    <row r="15" spans="1:25" x14ac:dyDescent="0.25">
      <c r="A15" s="82">
        <f>'A) Base RI'!A17</f>
        <v>5411</v>
      </c>
      <c r="B15" s="147" t="str">
        <f>'A) Base RI'!B17</f>
        <v>Ormont-Dessus</v>
      </c>
      <c r="C15" s="158">
        <f>'B) D RI'!U17</f>
        <v>68022.060675675675</v>
      </c>
      <c r="D15" s="247">
        <f>'E) Fact soc'!G21/C15</f>
        <v>19.719625275447989</v>
      </c>
      <c r="E15" s="247">
        <f>'H) Péréquation directe'!I26/'H) Péréquation directe'!C26</f>
        <v>14.734337508219635</v>
      </c>
      <c r="F15" s="242">
        <f>'I) Dépenses thématiques'!P15</f>
        <v>-13.87163209445988</v>
      </c>
      <c r="G15" s="190">
        <f t="shared" si="1"/>
        <v>20.58233068920774</v>
      </c>
      <c r="H15" s="161">
        <f t="shared" si="0"/>
        <v>0</v>
      </c>
      <c r="I15" s="206">
        <f t="shared" si="2"/>
        <v>0</v>
      </c>
      <c r="J15" s="63">
        <f t="shared" si="3"/>
        <v>20.58233068920774</v>
      </c>
    </row>
    <row r="16" spans="1:25" x14ac:dyDescent="0.25">
      <c r="A16" s="82">
        <f>'A) Base RI'!A18</f>
        <v>5412</v>
      </c>
      <c r="B16" s="147" t="str">
        <f>'A) Base RI'!B18</f>
        <v>Rennaz</v>
      </c>
      <c r="C16" s="158">
        <f>'B) D RI'!U18</f>
        <v>24549.662992125981</v>
      </c>
      <c r="D16" s="247">
        <f>'E) Fact soc'!G22/C16</f>
        <v>23.610465608560613</v>
      </c>
      <c r="E16" s="247">
        <f>'H) Péréquation directe'!I27/'H) Péréquation directe'!C27</f>
        <v>8.3493079863275543</v>
      </c>
      <c r="F16" s="242">
        <f>'I) Dépenses thématiques'!P16</f>
        <v>-1.8797406715848244</v>
      </c>
      <c r="G16" s="190">
        <f t="shared" si="1"/>
        <v>30.080032923303346</v>
      </c>
      <c r="H16" s="161">
        <f t="shared" si="0"/>
        <v>0</v>
      </c>
      <c r="I16" s="206">
        <f t="shared" si="2"/>
        <v>0</v>
      </c>
      <c r="J16" s="63">
        <f t="shared" si="3"/>
        <v>30.080032923303346</v>
      </c>
    </row>
    <row r="17" spans="1:10" x14ac:dyDescent="0.25">
      <c r="A17" s="82">
        <f>'A) Base RI'!A19</f>
        <v>5413</v>
      </c>
      <c r="B17" s="147" t="str">
        <f>'A) Base RI'!B19</f>
        <v>Roche</v>
      </c>
      <c r="C17" s="158">
        <f>'B) D RI'!U19</f>
        <v>35383.920882352941</v>
      </c>
      <c r="D17" s="247">
        <f>'E) Fact soc'!G23/C17</f>
        <v>20.760834692152184</v>
      </c>
      <c r="E17" s="247">
        <f>'H) Péréquation directe'!I28/'H) Péréquation directe'!C28</f>
        <v>-4.9844741739383487</v>
      </c>
      <c r="F17" s="242">
        <f>'I) Dépenses thématiques'!P17</f>
        <v>0</v>
      </c>
      <c r="G17" s="190">
        <f t="shared" si="1"/>
        <v>15.776360518213835</v>
      </c>
      <c r="H17" s="161">
        <f t="shared" si="0"/>
        <v>0</v>
      </c>
      <c r="I17" s="206">
        <f t="shared" si="2"/>
        <v>0</v>
      </c>
      <c r="J17" s="63">
        <f t="shared" si="3"/>
        <v>15.776360518213835</v>
      </c>
    </row>
    <row r="18" spans="1:10" x14ac:dyDescent="0.25">
      <c r="A18" s="82">
        <f>'A) Base RI'!A20</f>
        <v>5414</v>
      </c>
      <c r="B18" s="147" t="str">
        <f>'A) Base RI'!B20</f>
        <v>Villeneuve</v>
      </c>
      <c r="C18" s="158">
        <f>'B) D RI'!U20</f>
        <v>178367.91043478262</v>
      </c>
      <c r="D18" s="247">
        <f>'E) Fact soc'!G24/C18</f>
        <v>20.074792908331158</v>
      </c>
      <c r="E18" s="247">
        <f>'H) Péréquation directe'!I29/'H) Péréquation directe'!C29</f>
        <v>2.6132582609624104</v>
      </c>
      <c r="F18" s="242">
        <f>'I) Dépenses thématiques'!P18</f>
        <v>-7.2313511822610588</v>
      </c>
      <c r="G18" s="190">
        <f t="shared" si="1"/>
        <v>15.456699987032511</v>
      </c>
      <c r="H18" s="161">
        <f t="shared" si="0"/>
        <v>0</v>
      </c>
      <c r="I18" s="206">
        <f t="shared" si="2"/>
        <v>0</v>
      </c>
      <c r="J18" s="63">
        <f t="shared" si="3"/>
        <v>15.456699987032511</v>
      </c>
    </row>
    <row r="19" spans="1:10" x14ac:dyDescent="0.25">
      <c r="A19" s="82">
        <f>'A) Base RI'!A21</f>
        <v>5415</v>
      </c>
      <c r="B19" s="147" t="str">
        <f>'A) Base RI'!B21</f>
        <v>Yvorne</v>
      </c>
      <c r="C19" s="158">
        <f>'B) D RI'!U21</f>
        <v>40073.521995133822</v>
      </c>
      <c r="D19" s="247">
        <f>'E) Fact soc'!G25/C19</f>
        <v>18.817529346638032</v>
      </c>
      <c r="E19" s="247">
        <f>'H) Péréquation directe'!I30/'H) Péréquation directe'!C30</f>
        <v>13.16177494542438</v>
      </c>
      <c r="F19" s="242">
        <f>'I) Dépenses thématiques'!P19</f>
        <v>-9.2273646435394916</v>
      </c>
      <c r="G19" s="190">
        <f t="shared" si="1"/>
        <v>22.751939648522921</v>
      </c>
      <c r="H19" s="161">
        <f t="shared" si="0"/>
        <v>0</v>
      </c>
      <c r="I19" s="206">
        <f t="shared" si="2"/>
        <v>0</v>
      </c>
      <c r="J19" s="63">
        <f t="shared" si="3"/>
        <v>22.751939648522921</v>
      </c>
    </row>
    <row r="20" spans="1:10" x14ac:dyDescent="0.25">
      <c r="A20" s="82">
        <f>'A) Base RI'!A22</f>
        <v>5421</v>
      </c>
      <c r="B20" s="147" t="str">
        <f>'A) Base RI'!B22</f>
        <v>Apples</v>
      </c>
      <c r="C20" s="158">
        <f>'B) D RI'!U22</f>
        <v>49174.834507042251</v>
      </c>
      <c r="D20" s="247">
        <f>'E) Fact soc'!G26/C20</f>
        <v>17.739906210037674</v>
      </c>
      <c r="E20" s="247">
        <f>'H) Péréquation directe'!I31/'H) Péréquation directe'!C31</f>
        <v>10.16639641717712</v>
      </c>
      <c r="F20" s="242">
        <f>'I) Dépenses thématiques'!P20</f>
        <v>-2.7026832186078233</v>
      </c>
      <c r="G20" s="190">
        <f t="shared" si="1"/>
        <v>25.203619408606968</v>
      </c>
      <c r="H20" s="161">
        <f t="shared" si="0"/>
        <v>0</v>
      </c>
      <c r="I20" s="206">
        <f t="shared" si="2"/>
        <v>0</v>
      </c>
      <c r="J20" s="63">
        <f t="shared" si="3"/>
        <v>25.203619408606968</v>
      </c>
    </row>
    <row r="21" spans="1:10" x14ac:dyDescent="0.25">
      <c r="A21" s="82">
        <f>'A) Base RI'!A23</f>
        <v>5422</v>
      </c>
      <c r="B21" s="147" t="str">
        <f>'A) Base RI'!B23</f>
        <v>Aubonne</v>
      </c>
      <c r="C21" s="158">
        <f>'B) D RI'!U23</f>
        <v>256689.81279411758</v>
      </c>
      <c r="D21" s="247">
        <f>'E) Fact soc'!G27/C21</f>
        <v>24.543886924777979</v>
      </c>
      <c r="E21" s="247">
        <f>'H) Péréquation directe'!I32/'H) Péréquation directe'!C32</f>
        <v>14.808976098381118</v>
      </c>
      <c r="F21" s="242">
        <f>'I) Dépenses thématiques'!P21</f>
        <v>0</v>
      </c>
      <c r="G21" s="190">
        <f t="shared" si="1"/>
        <v>39.352863023159095</v>
      </c>
      <c r="H21" s="161">
        <f t="shared" si="0"/>
        <v>0</v>
      </c>
      <c r="I21" s="206">
        <f t="shared" si="2"/>
        <v>0</v>
      </c>
      <c r="J21" s="63">
        <f t="shared" si="3"/>
        <v>39.352863023159095</v>
      </c>
    </row>
    <row r="22" spans="1:10" x14ac:dyDescent="0.25">
      <c r="A22" s="82">
        <f>'A) Base RI'!A24</f>
        <v>5423</v>
      </c>
      <c r="B22" s="147" t="str">
        <f>'A) Base RI'!B24</f>
        <v>Ballens</v>
      </c>
      <c r="C22" s="158">
        <f>'B) D RI'!U24</f>
        <v>16056.117971014495</v>
      </c>
      <c r="D22" s="247">
        <f>'E) Fact soc'!G28/C22</f>
        <v>15.877748038701949</v>
      </c>
      <c r="E22" s="247">
        <f>'H) Péréquation directe'!I33/'H) Péréquation directe'!C33</f>
        <v>8.1109395882116857</v>
      </c>
      <c r="F22" s="242">
        <f>'I) Dépenses thématiques'!P22</f>
        <v>-3.302728598265861</v>
      </c>
      <c r="G22" s="190">
        <f t="shared" si="1"/>
        <v>20.685959028647773</v>
      </c>
      <c r="H22" s="161">
        <f t="shared" si="0"/>
        <v>0</v>
      </c>
      <c r="I22" s="206">
        <f t="shared" si="2"/>
        <v>0</v>
      </c>
      <c r="J22" s="63">
        <f t="shared" si="3"/>
        <v>20.685959028647773</v>
      </c>
    </row>
    <row r="23" spans="1:10" x14ac:dyDescent="0.25">
      <c r="A23" s="82">
        <f>'A) Base RI'!A25</f>
        <v>5424</v>
      </c>
      <c r="B23" s="147" t="str">
        <f>'A) Base RI'!B25</f>
        <v>Berolle</v>
      </c>
      <c r="C23" s="158">
        <f>'B) D RI'!U25</f>
        <v>9358.0229870129861</v>
      </c>
      <c r="D23" s="247">
        <f>'E) Fact soc'!G29/C23</f>
        <v>15.477477325511234</v>
      </c>
      <c r="E23" s="247">
        <f>'H) Péréquation directe'!I34/'H) Péréquation directe'!C34</f>
        <v>5.534780903798989</v>
      </c>
      <c r="F23" s="242">
        <f>'I) Dépenses thématiques'!P23</f>
        <v>-3.6182856194081512</v>
      </c>
      <c r="G23" s="190">
        <f t="shared" si="1"/>
        <v>17.393972609902072</v>
      </c>
      <c r="H23" s="161">
        <f t="shared" si="0"/>
        <v>0</v>
      </c>
      <c r="I23" s="206">
        <f t="shared" si="2"/>
        <v>0</v>
      </c>
      <c r="J23" s="63">
        <f t="shared" si="3"/>
        <v>17.393972609902072</v>
      </c>
    </row>
    <row r="24" spans="1:10" x14ac:dyDescent="0.25">
      <c r="A24" s="82">
        <f>'A) Base RI'!A26</f>
        <v>5425</v>
      </c>
      <c r="B24" s="147" t="str">
        <f>'A) Base RI'!B26</f>
        <v>Bière</v>
      </c>
      <c r="C24" s="158">
        <f>'B) D RI'!U26</f>
        <v>37126.422058823526</v>
      </c>
      <c r="D24" s="247">
        <f>'E) Fact soc'!G30/C24</f>
        <v>16.50244016767461</v>
      </c>
      <c r="E24" s="247">
        <f>'H) Péréquation directe'!I35/'H) Péréquation directe'!C35</f>
        <v>-3.8575326859650887</v>
      </c>
      <c r="F24" s="242">
        <f>'I) Dépenses thématiques'!P24</f>
        <v>-12.351553814516198</v>
      </c>
      <c r="G24" s="190">
        <f t="shared" si="1"/>
        <v>0.29335366719332434</v>
      </c>
      <c r="H24" s="161">
        <f t="shared" si="0"/>
        <v>0</v>
      </c>
      <c r="I24" s="206">
        <f t="shared" si="2"/>
        <v>0</v>
      </c>
      <c r="J24" s="63">
        <f t="shared" si="3"/>
        <v>0.29335366719332434</v>
      </c>
    </row>
    <row r="25" spans="1:10" x14ac:dyDescent="0.25">
      <c r="A25" s="82">
        <f>'A) Base RI'!A27</f>
        <v>5426</v>
      </c>
      <c r="B25" s="147" t="str">
        <f>'A) Base RI'!B27</f>
        <v>Bougy-Villars</v>
      </c>
      <c r="C25" s="158">
        <f>'B) D RI'!U27</f>
        <v>52784.469677419351</v>
      </c>
      <c r="D25" s="247">
        <f>'E) Fact soc'!G31/C25</f>
        <v>31.418490769234673</v>
      </c>
      <c r="E25" s="247">
        <f>'H) Péréquation directe'!I36/'H) Péréquation directe'!C36</f>
        <v>17.423256387922134</v>
      </c>
      <c r="F25" s="242">
        <f>'I) Dépenses thématiques'!P25</f>
        <v>0</v>
      </c>
      <c r="G25" s="190">
        <f t="shared" si="1"/>
        <v>48.841747157156803</v>
      </c>
      <c r="H25" s="161">
        <f t="shared" si="0"/>
        <v>0</v>
      </c>
      <c r="I25" s="206">
        <f t="shared" si="2"/>
        <v>0</v>
      </c>
      <c r="J25" s="63">
        <f t="shared" si="3"/>
        <v>48.841747157156803</v>
      </c>
    </row>
    <row r="26" spans="1:10" x14ac:dyDescent="0.25">
      <c r="A26" s="82">
        <f>'A) Base RI'!A28</f>
        <v>5427</v>
      </c>
      <c r="B26" s="147" t="str">
        <f>'A) Base RI'!B28</f>
        <v>Féchy</v>
      </c>
      <c r="C26" s="158">
        <f>'B) D RI'!U28</f>
        <v>75059.583293269228</v>
      </c>
      <c r="D26" s="247">
        <f>'E) Fact soc'!G32/C26</f>
        <v>24.915116110721655</v>
      </c>
      <c r="E26" s="247">
        <f>'H) Péréquation directe'!I37/'H) Péréquation directe'!C37</f>
        <v>17.205891304340501</v>
      </c>
      <c r="F26" s="242">
        <f>'I) Dépenses thématiques'!P26</f>
        <v>0</v>
      </c>
      <c r="G26" s="190">
        <f t="shared" si="1"/>
        <v>42.121007415062152</v>
      </c>
      <c r="H26" s="161">
        <f t="shared" si="0"/>
        <v>0</v>
      </c>
      <c r="I26" s="206">
        <f t="shared" si="2"/>
        <v>0</v>
      </c>
      <c r="J26" s="63">
        <f t="shared" si="3"/>
        <v>42.121007415062152</v>
      </c>
    </row>
    <row r="27" spans="1:10" x14ac:dyDescent="0.25">
      <c r="A27" s="82">
        <f>'A) Base RI'!A29</f>
        <v>5428</v>
      </c>
      <c r="B27" s="147" t="str">
        <f>'A) Base RI'!B29</f>
        <v>Gimel</v>
      </c>
      <c r="C27" s="158">
        <f>'B) D RI'!U29</f>
        <v>54244.883403263411</v>
      </c>
      <c r="D27" s="247">
        <f>'E) Fact soc'!G33/C27</f>
        <v>18.485510438408216</v>
      </c>
      <c r="E27" s="247">
        <f>'H) Péréquation directe'!I38/'H) Péréquation directe'!C38</f>
        <v>-0.52223853853332547</v>
      </c>
      <c r="F27" s="242">
        <f>'I) Dépenses thématiques'!P27</f>
        <v>-4.9117074880461642</v>
      </c>
      <c r="G27" s="190">
        <f t="shared" si="1"/>
        <v>13.051564411828725</v>
      </c>
      <c r="H27" s="161">
        <f t="shared" si="0"/>
        <v>0</v>
      </c>
      <c r="I27" s="206">
        <f t="shared" si="2"/>
        <v>0</v>
      </c>
      <c r="J27" s="63">
        <f t="shared" si="3"/>
        <v>13.051564411828725</v>
      </c>
    </row>
    <row r="28" spans="1:10" x14ac:dyDescent="0.25">
      <c r="A28" s="82">
        <f>'A) Base RI'!A30</f>
        <v>5429</v>
      </c>
      <c r="B28" s="147" t="str">
        <f>'A) Base RI'!B30</f>
        <v>Longirod</v>
      </c>
      <c r="C28" s="158">
        <f>'B) D RI'!U30</f>
        <v>14621.746419753083</v>
      </c>
      <c r="D28" s="247">
        <f>'E) Fact soc'!G34/C28</f>
        <v>17.956973892399283</v>
      </c>
      <c r="E28" s="247">
        <f>'H) Péréquation directe'!I39/'H) Péréquation directe'!C39</f>
        <v>7.1182260371914303</v>
      </c>
      <c r="F28" s="242">
        <f>'I) Dépenses thématiques'!P28</f>
        <v>-5.0127391007809399</v>
      </c>
      <c r="G28" s="190">
        <f t="shared" si="1"/>
        <v>20.062460828809773</v>
      </c>
      <c r="H28" s="161">
        <f t="shared" si="0"/>
        <v>0</v>
      </c>
      <c r="I28" s="206">
        <f t="shared" si="2"/>
        <v>0</v>
      </c>
      <c r="J28" s="63">
        <f t="shared" si="3"/>
        <v>20.062460828809773</v>
      </c>
    </row>
    <row r="29" spans="1:10" x14ac:dyDescent="0.25">
      <c r="A29" s="82">
        <f>'A) Base RI'!A31</f>
        <v>5430</v>
      </c>
      <c r="B29" s="147" t="str">
        <f>'A) Base RI'!B31</f>
        <v>Marchissy</v>
      </c>
      <c r="C29" s="158">
        <f>'B) D RI'!U31</f>
        <v>13069.378271604934</v>
      </c>
      <c r="D29" s="247">
        <f>'E) Fact soc'!G35/C29</f>
        <v>17.93767060585968</v>
      </c>
      <c r="E29" s="247">
        <f>'H) Péréquation directe'!I40/'H) Péréquation directe'!C40</f>
        <v>2.3743067063056609</v>
      </c>
      <c r="F29" s="242">
        <f>'I) Dépenses thématiques'!P29</f>
        <v>-20.986231655403643</v>
      </c>
      <c r="G29" s="190">
        <f t="shared" si="1"/>
        <v>-0.67425434323830302</v>
      </c>
      <c r="H29" s="161">
        <f t="shared" si="0"/>
        <v>0</v>
      </c>
      <c r="I29" s="206">
        <f t="shared" si="2"/>
        <v>0</v>
      </c>
      <c r="J29" s="63">
        <f t="shared" si="3"/>
        <v>-0.67425434323830302</v>
      </c>
    </row>
    <row r="30" spans="1:10" x14ac:dyDescent="0.25">
      <c r="A30" s="82">
        <f>'A) Base RI'!A32</f>
        <v>5431</v>
      </c>
      <c r="B30" s="147" t="str">
        <f>'A) Base RI'!B32</f>
        <v>Mollens</v>
      </c>
      <c r="C30" s="158">
        <f>'B) D RI'!U32</f>
        <v>8024.3136486486483</v>
      </c>
      <c r="D30" s="247">
        <f>'E) Fact soc'!G36/C30</f>
        <v>17.456165300932323</v>
      </c>
      <c r="E30" s="247">
        <f>'H) Péréquation directe'!I41/'H) Péréquation directe'!C41</f>
        <v>2.4641445001286595</v>
      </c>
      <c r="F30" s="242">
        <f>'I) Dépenses thématiques'!P30</f>
        <v>-1.4500928689346018</v>
      </c>
      <c r="G30" s="190">
        <f t="shared" si="1"/>
        <v>18.47021693212638</v>
      </c>
      <c r="H30" s="161">
        <f t="shared" si="0"/>
        <v>0</v>
      </c>
      <c r="I30" s="206">
        <f t="shared" si="2"/>
        <v>0</v>
      </c>
      <c r="J30" s="63">
        <f t="shared" si="3"/>
        <v>18.47021693212638</v>
      </c>
    </row>
    <row r="31" spans="1:10" x14ac:dyDescent="0.25">
      <c r="A31" s="82">
        <f>'A) Base RI'!A33</f>
        <v>5432</v>
      </c>
      <c r="B31" s="147" t="str">
        <f>'A) Base RI'!B33</f>
        <v>Montherod</v>
      </c>
      <c r="C31" s="158">
        <f>'B) D RI'!U33</f>
        <v>17799.430540540543</v>
      </c>
      <c r="D31" s="247">
        <f>'E) Fact soc'!G37/C31</f>
        <v>18.775248361082514</v>
      </c>
      <c r="E31" s="247">
        <f>'H) Péréquation directe'!I42/'H) Péréquation directe'!C42</f>
        <v>9.4499607134325387</v>
      </c>
      <c r="F31" s="242">
        <f>'I) Dépenses thématiques'!P31</f>
        <v>0</v>
      </c>
      <c r="G31" s="190">
        <f t="shared" si="1"/>
        <v>28.225209074515053</v>
      </c>
      <c r="H31" s="161">
        <f t="shared" si="0"/>
        <v>0</v>
      </c>
      <c r="I31" s="206">
        <f t="shared" si="2"/>
        <v>0</v>
      </c>
      <c r="J31" s="63">
        <f t="shared" si="3"/>
        <v>28.225209074515053</v>
      </c>
    </row>
    <row r="32" spans="1:10" x14ac:dyDescent="0.25">
      <c r="A32" s="82">
        <f>'A) Base RI'!A34</f>
        <v>5434</v>
      </c>
      <c r="B32" s="147" t="str">
        <f>'A) Base RI'!B34</f>
        <v>Saint-George</v>
      </c>
      <c r="C32" s="158">
        <f>'B) D RI'!U34</f>
        <v>35135.099562043797</v>
      </c>
      <c r="D32" s="247">
        <f>'E) Fact soc'!G38/C32</f>
        <v>20.351375686469499</v>
      </c>
      <c r="E32" s="247">
        <f>'H) Péréquation directe'!I43/'H) Péréquation directe'!C43</f>
        <v>12.358354142637081</v>
      </c>
      <c r="F32" s="242">
        <f>'I) Dépenses thématiques'!P32</f>
        <v>-1.6184954848237272</v>
      </c>
      <c r="G32" s="190">
        <f t="shared" si="1"/>
        <v>31.091234344282853</v>
      </c>
      <c r="H32" s="161">
        <f t="shared" si="0"/>
        <v>0</v>
      </c>
      <c r="I32" s="206">
        <f t="shared" si="2"/>
        <v>0</v>
      </c>
      <c r="J32" s="63">
        <f t="shared" si="3"/>
        <v>31.091234344282853</v>
      </c>
    </row>
    <row r="33" spans="1:10" x14ac:dyDescent="0.25">
      <c r="A33" s="82">
        <f>'A) Base RI'!A35</f>
        <v>5435</v>
      </c>
      <c r="B33" s="147" t="str">
        <f>'A) Base RI'!B35</f>
        <v>Saint-Livres</v>
      </c>
      <c r="C33" s="158">
        <f>'B) D RI'!U35</f>
        <v>21558.748985507245</v>
      </c>
      <c r="D33" s="247">
        <f>'E) Fact soc'!G39/C33</f>
        <v>18.369879018902925</v>
      </c>
      <c r="E33" s="247">
        <f>'H) Péréquation directe'!I44/'H) Péréquation directe'!C44</f>
        <v>7.3234695067391797</v>
      </c>
      <c r="F33" s="242">
        <f>'I) Dépenses thématiques'!P33</f>
        <v>-4.1659189065365361</v>
      </c>
      <c r="G33" s="190">
        <f t="shared" si="1"/>
        <v>21.527429619105568</v>
      </c>
      <c r="H33" s="161">
        <f t="shared" si="0"/>
        <v>0</v>
      </c>
      <c r="I33" s="206">
        <f t="shared" si="2"/>
        <v>0</v>
      </c>
      <c r="J33" s="63">
        <f t="shared" si="3"/>
        <v>21.527429619105568</v>
      </c>
    </row>
    <row r="34" spans="1:10" x14ac:dyDescent="0.25">
      <c r="A34" s="82">
        <f>'A) Base RI'!A36</f>
        <v>5436</v>
      </c>
      <c r="B34" s="147" t="str">
        <f>'A) Base RI'!B36</f>
        <v>Saint-Oyens</v>
      </c>
      <c r="C34" s="158">
        <f>'B) D RI'!U36</f>
        <v>11369.478086419756</v>
      </c>
      <c r="D34" s="247">
        <f>'E) Fact soc'!G40/C34</f>
        <v>19.452089949314978</v>
      </c>
      <c r="E34" s="247">
        <f>'H) Péréquation directe'!I45/'H) Péréquation directe'!C45</f>
        <v>8.9691027327952852</v>
      </c>
      <c r="F34" s="242">
        <f>'I) Dépenses thématiques'!P34</f>
        <v>-20.009273800503721</v>
      </c>
      <c r="G34" s="190">
        <f t="shared" si="1"/>
        <v>8.4119188816065424</v>
      </c>
      <c r="H34" s="161">
        <f t="shared" si="0"/>
        <v>0</v>
      </c>
      <c r="I34" s="206">
        <f t="shared" si="2"/>
        <v>0</v>
      </c>
      <c r="J34" s="63">
        <f t="shared" si="3"/>
        <v>8.4119188816065424</v>
      </c>
    </row>
    <row r="35" spans="1:10" x14ac:dyDescent="0.25">
      <c r="A35" s="82">
        <f>'A) Base RI'!A37</f>
        <v>5437</v>
      </c>
      <c r="B35" s="147" t="str">
        <f>'A) Base RI'!B37</f>
        <v>Saubraz</v>
      </c>
      <c r="C35" s="158">
        <f>'B) D RI'!U37</f>
        <v>8208.7877108433731</v>
      </c>
      <c r="D35" s="247">
        <f>'E) Fact soc'!G41/C35</f>
        <v>21.897151611088631</v>
      </c>
      <c r="E35" s="247">
        <f>'H) Péréquation directe'!I46/'H) Péréquation directe'!C46</f>
        <v>-15.093540759795394</v>
      </c>
      <c r="F35" s="242">
        <f>'I) Dépenses thématiques'!P35</f>
        <v>-7.6915133176849064</v>
      </c>
      <c r="G35" s="190">
        <f t="shared" si="1"/>
        <v>-0.88790246639166881</v>
      </c>
      <c r="H35" s="161">
        <f t="shared" si="0"/>
        <v>0</v>
      </c>
      <c r="I35" s="206">
        <f t="shared" si="2"/>
        <v>0</v>
      </c>
      <c r="J35" s="63">
        <f t="shared" si="3"/>
        <v>-0.88790246639166881</v>
      </c>
    </row>
    <row r="36" spans="1:10" x14ac:dyDescent="0.25">
      <c r="A36" s="82">
        <f>'A) Base RI'!A38</f>
        <v>5451</v>
      </c>
      <c r="B36" s="147" t="str">
        <f>'A) Base RI'!B38</f>
        <v>Avenches</v>
      </c>
      <c r="C36" s="158">
        <f>'B) D RI'!U38</f>
        <v>103750.47926470588</v>
      </c>
      <c r="D36" s="247">
        <f>'E) Fact soc'!G42/C36</f>
        <v>19.566921278624001</v>
      </c>
      <c r="E36" s="247">
        <f>'H) Péréquation directe'!I47/'H) Péréquation directe'!C47</f>
        <v>-7.0573708640556223</v>
      </c>
      <c r="F36" s="242">
        <f>'I) Dépenses thématiques'!P36</f>
        <v>-14.605359037753219</v>
      </c>
      <c r="G36" s="190">
        <f t="shared" si="1"/>
        <v>-2.0958086231848405</v>
      </c>
      <c r="H36" s="161">
        <f t="shared" si="0"/>
        <v>0</v>
      </c>
      <c r="I36" s="206">
        <f t="shared" si="2"/>
        <v>0</v>
      </c>
      <c r="J36" s="63">
        <f t="shared" si="3"/>
        <v>-2.0958086231848405</v>
      </c>
    </row>
    <row r="37" spans="1:10" x14ac:dyDescent="0.25">
      <c r="A37" s="82">
        <f>'A) Base RI'!A39</f>
        <v>5456</v>
      </c>
      <c r="B37" s="147" t="str">
        <f>'A) Base RI'!B39</f>
        <v>Cudrefin</v>
      </c>
      <c r="C37" s="158">
        <f>'B) D RI'!U39</f>
        <v>45260.404011299433</v>
      </c>
      <c r="D37" s="247">
        <f>'E) Fact soc'!G43/C37</f>
        <v>19.899870620696131</v>
      </c>
      <c r="E37" s="247">
        <f>'H) Péréquation directe'!I48/'H) Péréquation directe'!C48</f>
        <v>6.963033607911095</v>
      </c>
      <c r="F37" s="242">
        <f>'I) Dépenses thématiques'!P37</f>
        <v>-6.5968920632139927</v>
      </c>
      <c r="G37" s="190">
        <f t="shared" si="1"/>
        <v>20.266012165393235</v>
      </c>
      <c r="H37" s="161">
        <f t="shared" si="0"/>
        <v>0</v>
      </c>
      <c r="I37" s="206">
        <f t="shared" si="2"/>
        <v>0</v>
      </c>
      <c r="J37" s="63">
        <f t="shared" si="3"/>
        <v>20.266012165393235</v>
      </c>
    </row>
    <row r="38" spans="1:10" x14ac:dyDescent="0.25">
      <c r="A38" s="82">
        <f>'A) Base RI'!A40</f>
        <v>5458</v>
      </c>
      <c r="B38" s="147" t="str">
        <f>'A) Base RI'!B40</f>
        <v>Faoug</v>
      </c>
      <c r="C38" s="158">
        <f>'B) D RI'!U40</f>
        <v>26731.83262295082</v>
      </c>
      <c r="D38" s="247">
        <f>'E) Fact soc'!G44/C38</f>
        <v>21.295909758400548</v>
      </c>
      <c r="E38" s="247">
        <f>'H) Péréquation directe'!I49/'H) Péréquation directe'!C49</f>
        <v>10.238100598218153</v>
      </c>
      <c r="F38" s="242">
        <f>'I) Dépenses thématiques'!P38</f>
        <v>-4.438640690056153</v>
      </c>
      <c r="G38" s="190">
        <f t="shared" si="1"/>
        <v>27.095369666562547</v>
      </c>
      <c r="H38" s="161">
        <f t="shared" si="0"/>
        <v>0</v>
      </c>
      <c r="I38" s="206">
        <f t="shared" si="2"/>
        <v>0</v>
      </c>
      <c r="J38" s="63">
        <f t="shared" si="3"/>
        <v>27.095369666562547</v>
      </c>
    </row>
    <row r="39" spans="1:10" x14ac:dyDescent="0.25">
      <c r="A39" s="82">
        <f>'A) Base RI'!A41</f>
        <v>5464</v>
      </c>
      <c r="B39" s="147" t="str">
        <f>'A) Base RI'!B41</f>
        <v>Vully-les-Lacs</v>
      </c>
      <c r="C39" s="158">
        <f>'B) D RI'!U41</f>
        <v>91629.911044776149</v>
      </c>
      <c r="D39" s="247">
        <f>'E) Fact soc'!G45/C39</f>
        <v>17.983403960716362</v>
      </c>
      <c r="E39" s="247">
        <f>'H) Péréquation directe'!I50/'H) Péréquation directe'!C50</f>
        <v>4.5407696701665978</v>
      </c>
      <c r="F39" s="242">
        <f>'I) Dépenses thématiques'!P39</f>
        <v>-7.5601623105525562</v>
      </c>
      <c r="G39" s="190">
        <f t="shared" si="1"/>
        <v>14.964011320330403</v>
      </c>
      <c r="H39" s="161">
        <f t="shared" si="0"/>
        <v>0</v>
      </c>
      <c r="I39" s="206">
        <f t="shared" si="2"/>
        <v>0</v>
      </c>
      <c r="J39" s="63">
        <f t="shared" si="3"/>
        <v>14.964011320330403</v>
      </c>
    </row>
    <row r="40" spans="1:10" x14ac:dyDescent="0.25">
      <c r="A40" s="82">
        <f>'A) Base RI'!A42</f>
        <v>5471</v>
      </c>
      <c r="B40" s="147" t="str">
        <f>'A) Base RI'!B42</f>
        <v>Bettens</v>
      </c>
      <c r="C40" s="158">
        <f>'B) D RI'!U42</f>
        <v>18668.279507936502</v>
      </c>
      <c r="D40" s="247">
        <f>'E) Fact soc'!G46/C40</f>
        <v>21.697929772262693</v>
      </c>
      <c r="E40" s="247">
        <f>'H) Péréquation directe'!I51/'H) Péréquation directe'!C51</f>
        <v>10.889138841171148</v>
      </c>
      <c r="F40" s="242">
        <f>'I) Dépenses thématiques'!P40</f>
        <v>0</v>
      </c>
      <c r="G40" s="190">
        <f t="shared" si="1"/>
        <v>32.587068613433843</v>
      </c>
      <c r="H40" s="161">
        <f t="shared" si="0"/>
        <v>0</v>
      </c>
      <c r="I40" s="206">
        <f t="shared" si="2"/>
        <v>0</v>
      </c>
      <c r="J40" s="63">
        <f t="shared" si="3"/>
        <v>32.587068613433843</v>
      </c>
    </row>
    <row r="41" spans="1:10" x14ac:dyDescent="0.25">
      <c r="A41" s="82">
        <f>'A) Base RI'!A43</f>
        <v>5472</v>
      </c>
      <c r="B41" s="147" t="str">
        <f>'A) Base RI'!B43</f>
        <v>Bournens</v>
      </c>
      <c r="C41" s="158">
        <f>'B) D RI'!U43</f>
        <v>12834.669250000001</v>
      </c>
      <c r="D41" s="247">
        <f>'E) Fact soc'!G47/C41</f>
        <v>16.987393430074412</v>
      </c>
      <c r="E41" s="247">
        <f>'H) Péréquation directe'!I52/'H) Péréquation directe'!C52</f>
        <v>9.7037535853157451</v>
      </c>
      <c r="F41" s="242">
        <f>'I) Dépenses thématiques'!P41</f>
        <v>-2.3574429080048165</v>
      </c>
      <c r="G41" s="190">
        <f t="shared" si="1"/>
        <v>24.333704107385341</v>
      </c>
      <c r="H41" s="161">
        <f t="shared" si="0"/>
        <v>0</v>
      </c>
      <c r="I41" s="206">
        <f t="shared" si="2"/>
        <v>0</v>
      </c>
      <c r="J41" s="63">
        <f t="shared" si="3"/>
        <v>24.333704107385341</v>
      </c>
    </row>
    <row r="42" spans="1:10" x14ac:dyDescent="0.25">
      <c r="A42" s="82">
        <f>'A) Base RI'!A44</f>
        <v>5473</v>
      </c>
      <c r="B42" s="147" t="str">
        <f>'A) Base RI'!B44</f>
        <v>Boussens</v>
      </c>
      <c r="C42" s="158">
        <f>'B) D RI'!U44</f>
        <v>32904.507681159426</v>
      </c>
      <c r="D42" s="247">
        <f>'E) Fact soc'!G48/C42</f>
        <v>16.661399987517722</v>
      </c>
      <c r="E42" s="247">
        <f>'H) Péréquation directe'!I53/'H) Péréquation directe'!C53</f>
        <v>10.797830820738538</v>
      </c>
      <c r="F42" s="242">
        <f>'I) Dépenses thématiques'!P42</f>
        <v>0</v>
      </c>
      <c r="G42" s="190">
        <f t="shared" si="1"/>
        <v>27.459230808256258</v>
      </c>
      <c r="H42" s="161">
        <f t="shared" si="0"/>
        <v>0</v>
      </c>
      <c r="I42" s="206">
        <f t="shared" si="2"/>
        <v>0</v>
      </c>
      <c r="J42" s="63">
        <f t="shared" si="3"/>
        <v>27.459230808256258</v>
      </c>
    </row>
    <row r="43" spans="1:10" x14ac:dyDescent="0.25">
      <c r="A43" s="82">
        <f>'A) Base RI'!A45</f>
        <v>5474</v>
      </c>
      <c r="B43" s="147" t="str">
        <f>'A) Base RI'!B45</f>
        <v>La Chaux (Cossonay)</v>
      </c>
      <c r="C43" s="158">
        <f>'B) D RI'!U45</f>
        <v>12942.370952380952</v>
      </c>
      <c r="D43" s="247">
        <f>'E) Fact soc'!G49/C43</f>
        <v>17.23863767370203</v>
      </c>
      <c r="E43" s="247">
        <f>'H) Péréquation directe'!I54/'H) Péréquation directe'!C54</f>
        <v>5.1556323057986679</v>
      </c>
      <c r="F43" s="242">
        <f>'I) Dépenses thématiques'!P43</f>
        <v>-10.820969396974037</v>
      </c>
      <c r="G43" s="190">
        <f t="shared" si="1"/>
        <v>11.573300582526661</v>
      </c>
      <c r="H43" s="161">
        <f t="shared" si="0"/>
        <v>0</v>
      </c>
      <c r="I43" s="206">
        <f t="shared" si="2"/>
        <v>0</v>
      </c>
      <c r="J43" s="63">
        <f t="shared" si="3"/>
        <v>11.573300582526661</v>
      </c>
    </row>
    <row r="44" spans="1:10" x14ac:dyDescent="0.25">
      <c r="A44" s="82">
        <f>'A) Base RI'!A46</f>
        <v>5475</v>
      </c>
      <c r="B44" s="147" t="str">
        <f>'A) Base RI'!B46</f>
        <v>Chavannes-le-Veyron</v>
      </c>
      <c r="C44" s="158">
        <f>'B) D RI'!U46</f>
        <v>2876.9510389610391</v>
      </c>
      <c r="D44" s="247">
        <f>'E) Fact soc'!G50/C44</f>
        <v>20.517107482312518</v>
      </c>
      <c r="E44" s="247">
        <f>'H) Péréquation directe'!I55/'H) Péréquation directe'!C55</f>
        <v>-7.9310217810783241</v>
      </c>
      <c r="F44" s="242">
        <f>'I) Dépenses thématiques'!P44</f>
        <v>-10.1690990231677</v>
      </c>
      <c r="G44" s="190">
        <f t="shared" si="1"/>
        <v>2.4169866780664933</v>
      </c>
      <c r="H44" s="161">
        <f t="shared" si="0"/>
        <v>0</v>
      </c>
      <c r="I44" s="206">
        <f t="shared" si="2"/>
        <v>0</v>
      </c>
      <c r="J44" s="63">
        <f t="shared" si="3"/>
        <v>2.4169866780664933</v>
      </c>
    </row>
    <row r="45" spans="1:10" x14ac:dyDescent="0.25">
      <c r="A45" s="82">
        <f>'A) Base RI'!A47</f>
        <v>5476</v>
      </c>
      <c r="B45" s="147" t="str">
        <f>'A) Base RI'!B47</f>
        <v>Chevilly</v>
      </c>
      <c r="C45" s="158">
        <f>'B) D RI'!U47</f>
        <v>7286.6650000000009</v>
      </c>
      <c r="D45" s="247">
        <f>'E) Fact soc'!G51/C45</f>
        <v>20.678964537478691</v>
      </c>
      <c r="E45" s="247">
        <f>'H) Péréquation directe'!I56/'H) Péréquation directe'!C56</f>
        <v>4.2780419915443675</v>
      </c>
      <c r="F45" s="242">
        <f>'I) Dépenses thématiques'!P45</f>
        <v>-5.1161951317921153</v>
      </c>
      <c r="G45" s="190">
        <f t="shared" si="1"/>
        <v>19.840811397230944</v>
      </c>
      <c r="H45" s="161">
        <f t="shared" si="0"/>
        <v>0</v>
      </c>
      <c r="I45" s="206">
        <f t="shared" si="2"/>
        <v>0</v>
      </c>
      <c r="J45" s="63">
        <f t="shared" si="3"/>
        <v>19.840811397230944</v>
      </c>
    </row>
    <row r="46" spans="1:10" x14ac:dyDescent="0.25">
      <c r="A46" s="82">
        <f>'A) Base RI'!A48</f>
        <v>5477</v>
      </c>
      <c r="B46" s="147" t="str">
        <f>'A) Base RI'!B48</f>
        <v>Cossonay</v>
      </c>
      <c r="C46" s="158">
        <f>'B) D RI'!U48</f>
        <v>125737.979346211</v>
      </c>
      <c r="D46" s="247">
        <f>'E) Fact soc'!G52/C46</f>
        <v>17.393846210051191</v>
      </c>
      <c r="E46" s="247">
        <f>'H) Péréquation directe'!I57/'H) Péréquation directe'!C57</f>
        <v>5.1201775725662939</v>
      </c>
      <c r="F46" s="242">
        <f>'I) Dépenses thématiques'!P46</f>
        <v>-4.4578575456238303</v>
      </c>
      <c r="G46" s="190">
        <f t="shared" si="1"/>
        <v>18.056166236993654</v>
      </c>
      <c r="H46" s="161">
        <f t="shared" si="0"/>
        <v>0</v>
      </c>
      <c r="I46" s="206">
        <f t="shared" si="2"/>
        <v>0</v>
      </c>
      <c r="J46" s="63">
        <f t="shared" si="3"/>
        <v>18.056166236993654</v>
      </c>
    </row>
    <row r="47" spans="1:10" x14ac:dyDescent="0.25">
      <c r="A47" s="82">
        <f>'A) Base RI'!A49</f>
        <v>5478</v>
      </c>
      <c r="B47" s="147" t="str">
        <f>'A) Base RI'!B49</f>
        <v>Cottens</v>
      </c>
      <c r="C47" s="158">
        <f>'B) D RI'!U49</f>
        <v>15613.399583333334</v>
      </c>
      <c r="D47" s="247">
        <f>'E) Fact soc'!G53/C47</f>
        <v>16.268002940251652</v>
      </c>
      <c r="E47" s="247">
        <f>'H) Péréquation directe'!I58/'H) Péréquation directe'!C58</f>
        <v>8.8155420249506484</v>
      </c>
      <c r="F47" s="242">
        <f>'I) Dépenses thématiques'!P47</f>
        <v>0</v>
      </c>
      <c r="G47" s="190">
        <f t="shared" si="1"/>
        <v>25.0835449652023</v>
      </c>
      <c r="H47" s="161">
        <f t="shared" si="0"/>
        <v>0</v>
      </c>
      <c r="I47" s="206">
        <f t="shared" si="2"/>
        <v>0</v>
      </c>
      <c r="J47" s="63">
        <f t="shared" si="3"/>
        <v>25.0835449652023</v>
      </c>
    </row>
    <row r="48" spans="1:10" x14ac:dyDescent="0.25">
      <c r="A48" s="82">
        <f>'A) Base RI'!A50</f>
        <v>5479</v>
      </c>
      <c r="B48" s="147" t="str">
        <f>'A) Base RI'!B50</f>
        <v>Cuarnens</v>
      </c>
      <c r="C48" s="158">
        <f>'B) D RI'!U50</f>
        <v>12479.493246753247</v>
      </c>
      <c r="D48" s="247">
        <f>'E) Fact soc'!G54/C48</f>
        <v>20.872761330451539</v>
      </c>
      <c r="E48" s="247">
        <f>'H) Péréquation directe'!I59/'H) Péréquation directe'!C59</f>
        <v>2.6023846618196309</v>
      </c>
      <c r="F48" s="242">
        <f>'I) Dépenses thématiques'!P48</f>
        <v>-18.083025932059471</v>
      </c>
      <c r="G48" s="190">
        <f t="shared" si="1"/>
        <v>5.392120060211699</v>
      </c>
      <c r="H48" s="161">
        <f t="shared" si="0"/>
        <v>0</v>
      </c>
      <c r="I48" s="206">
        <f t="shared" si="2"/>
        <v>0</v>
      </c>
      <c r="J48" s="63">
        <f t="shared" si="3"/>
        <v>5.392120060211699</v>
      </c>
    </row>
    <row r="49" spans="1:10" x14ac:dyDescent="0.25">
      <c r="A49" s="82">
        <f>'A) Base RI'!A51</f>
        <v>5480</v>
      </c>
      <c r="B49" s="147" t="str">
        <f>'A) Base RI'!B51</f>
        <v>Daillens</v>
      </c>
      <c r="C49" s="158">
        <f>'B) D RI'!U51</f>
        <v>38475.41492957747</v>
      </c>
      <c r="D49" s="247">
        <f>'E) Fact soc'!G55/C49</f>
        <v>18.251484107781309</v>
      </c>
      <c r="E49" s="247">
        <f>'H) Péréquation directe'!I60/'H) Péréquation directe'!C60</f>
        <v>14.680184227955698</v>
      </c>
      <c r="F49" s="242">
        <f>'I) Dépenses thématiques'!P49</f>
        <v>-3.9471958984190691</v>
      </c>
      <c r="G49" s="190">
        <f t="shared" si="1"/>
        <v>28.98447243731794</v>
      </c>
      <c r="H49" s="161">
        <f t="shared" si="0"/>
        <v>0</v>
      </c>
      <c r="I49" s="206">
        <f t="shared" si="2"/>
        <v>0</v>
      </c>
      <c r="J49" s="63">
        <f t="shared" si="3"/>
        <v>28.98447243731794</v>
      </c>
    </row>
    <row r="50" spans="1:10" x14ac:dyDescent="0.25">
      <c r="A50" s="82">
        <f>'A) Base RI'!A52</f>
        <v>5481</v>
      </c>
      <c r="B50" s="147" t="str">
        <f>'A) Base RI'!B52</f>
        <v>Dizy</v>
      </c>
      <c r="C50" s="158">
        <f>'B) D RI'!U52</f>
        <v>8070.2010810810825</v>
      </c>
      <c r="D50" s="247">
        <f>'E) Fact soc'!G56/C50</f>
        <v>17.884687221530502</v>
      </c>
      <c r="E50" s="247">
        <f>'H) Péréquation directe'!I61/'H) Péréquation directe'!C61</f>
        <v>11.047761041917308</v>
      </c>
      <c r="F50" s="242">
        <f>'I) Dépenses thématiques'!P50</f>
        <v>-1.8490245596211403</v>
      </c>
      <c r="G50" s="190">
        <f t="shared" si="1"/>
        <v>27.083423703826671</v>
      </c>
      <c r="H50" s="161">
        <f t="shared" si="0"/>
        <v>0</v>
      </c>
      <c r="I50" s="206">
        <f t="shared" si="2"/>
        <v>0</v>
      </c>
      <c r="J50" s="63">
        <f t="shared" si="3"/>
        <v>27.083423703826671</v>
      </c>
    </row>
    <row r="51" spans="1:10" x14ac:dyDescent="0.25">
      <c r="A51" s="82">
        <f>'A) Base RI'!A53</f>
        <v>5482</v>
      </c>
      <c r="B51" s="147" t="str">
        <f>'A) Base RI'!B53</f>
        <v>Eclépens</v>
      </c>
      <c r="C51" s="158">
        <f>'B) D RI'!U53</f>
        <v>68499.201739130425</v>
      </c>
      <c r="D51" s="247">
        <f>'E) Fact soc'!G57/C51</f>
        <v>19.203335415728198</v>
      </c>
      <c r="E51" s="247">
        <f>'H) Péréquation directe'!I62/'H) Péréquation directe'!C62</f>
        <v>16.936561627681755</v>
      </c>
      <c r="F51" s="242">
        <f>'I) Dépenses thématiques'!P51</f>
        <v>-2.4857751002022619</v>
      </c>
      <c r="G51" s="190">
        <f t="shared" si="1"/>
        <v>33.654121943207691</v>
      </c>
      <c r="H51" s="161">
        <f t="shared" si="0"/>
        <v>0</v>
      </c>
      <c r="I51" s="206">
        <f t="shared" si="2"/>
        <v>0</v>
      </c>
      <c r="J51" s="63">
        <f t="shared" si="3"/>
        <v>33.654121943207691</v>
      </c>
    </row>
    <row r="52" spans="1:10" x14ac:dyDescent="0.25">
      <c r="A52" s="82">
        <f>'A) Base RI'!A54</f>
        <v>5483</v>
      </c>
      <c r="B52" s="147" t="str">
        <f>'A) Base RI'!B54</f>
        <v>Ferreyres</v>
      </c>
      <c r="C52" s="158">
        <f>'B) D RI'!U54</f>
        <v>10043.857368421051</v>
      </c>
      <c r="D52" s="247">
        <f>'E) Fact soc'!G58/C52</f>
        <v>15.564763345132954</v>
      </c>
      <c r="E52" s="247">
        <f>'H) Péréquation directe'!I63/'H) Péréquation directe'!C63</f>
        <v>8.2282066915031322</v>
      </c>
      <c r="F52" s="242">
        <f>'I) Dépenses thématiques'!P52</f>
        <v>-0.51872500861877935</v>
      </c>
      <c r="G52" s="190">
        <f t="shared" si="1"/>
        <v>23.274245028017305</v>
      </c>
      <c r="H52" s="161">
        <f t="shared" si="0"/>
        <v>0</v>
      </c>
      <c r="I52" s="206">
        <f t="shared" si="2"/>
        <v>0</v>
      </c>
      <c r="J52" s="63">
        <f t="shared" si="3"/>
        <v>23.274245028017305</v>
      </c>
    </row>
    <row r="53" spans="1:10" x14ac:dyDescent="0.25">
      <c r="A53" s="82">
        <f>'A) Base RI'!A55</f>
        <v>5484</v>
      </c>
      <c r="B53" s="147" t="str">
        <f>'A) Base RI'!B55</f>
        <v>Gollion</v>
      </c>
      <c r="C53" s="158">
        <f>'B) D RI'!U55</f>
        <v>24450.824189189188</v>
      </c>
      <c r="D53" s="247">
        <f>'E) Fact soc'!G59/C53</f>
        <v>18.455316550737869</v>
      </c>
      <c r="E53" s="247">
        <f>'H) Péréquation directe'!I64/'H) Péréquation directe'!C64</f>
        <v>5.2504643986859785</v>
      </c>
      <c r="F53" s="242">
        <f>'I) Dépenses thématiques'!P53</f>
        <v>-6.7971532866970898</v>
      </c>
      <c r="G53" s="190">
        <f t="shared" si="1"/>
        <v>16.908627662726758</v>
      </c>
      <c r="H53" s="161">
        <f t="shared" si="0"/>
        <v>0</v>
      </c>
      <c r="I53" s="206">
        <f t="shared" si="2"/>
        <v>0</v>
      </c>
      <c r="J53" s="63">
        <f t="shared" si="3"/>
        <v>16.908627662726758</v>
      </c>
    </row>
    <row r="54" spans="1:10" x14ac:dyDescent="0.25">
      <c r="A54" s="82">
        <f>'A) Base RI'!A56</f>
        <v>5485</v>
      </c>
      <c r="B54" s="147" t="str">
        <f>'A) Base RI'!B56</f>
        <v>Grancy</v>
      </c>
      <c r="C54" s="158">
        <f>'B) D RI'!U56</f>
        <v>18011.997142857144</v>
      </c>
      <c r="D54" s="247">
        <f>'E) Fact soc'!G60/C54</f>
        <v>17.376590299605347</v>
      </c>
      <c r="E54" s="247">
        <f>'H) Péréquation directe'!I65/'H) Péréquation directe'!C65</f>
        <v>16.401790298815122</v>
      </c>
      <c r="F54" s="242">
        <f>'I) Dépenses thématiques'!P54</f>
        <v>-6.8510448353549744</v>
      </c>
      <c r="G54" s="190">
        <f t="shared" si="1"/>
        <v>26.927335763065493</v>
      </c>
      <c r="H54" s="161">
        <f t="shared" si="0"/>
        <v>0</v>
      </c>
      <c r="I54" s="206">
        <f t="shared" si="2"/>
        <v>0</v>
      </c>
      <c r="J54" s="63">
        <f t="shared" si="3"/>
        <v>26.927335763065493</v>
      </c>
    </row>
    <row r="55" spans="1:10" x14ac:dyDescent="0.25">
      <c r="A55" s="82">
        <f>'A) Base RI'!A57</f>
        <v>5486</v>
      </c>
      <c r="B55" s="147" t="str">
        <f>'A) Base RI'!B57</f>
        <v>L'Isle</v>
      </c>
      <c r="C55" s="158">
        <f>'B) D RI'!U57</f>
        <v>26627.790138888886</v>
      </c>
      <c r="D55" s="247">
        <f>'E) Fact soc'!G61/C55</f>
        <v>20.697624885950795</v>
      </c>
      <c r="E55" s="247">
        <f>'H) Péréquation directe'!I66/'H) Péréquation directe'!C66</f>
        <v>1.2715012517532116</v>
      </c>
      <c r="F55" s="242">
        <f>'I) Dépenses thématiques'!P55</f>
        <v>-10.299540388800885</v>
      </c>
      <c r="G55" s="190">
        <f t="shared" si="1"/>
        <v>11.669585748903121</v>
      </c>
      <c r="H55" s="161">
        <f t="shared" si="0"/>
        <v>0</v>
      </c>
      <c r="I55" s="206">
        <f t="shared" si="2"/>
        <v>0</v>
      </c>
      <c r="J55" s="63">
        <f t="shared" si="3"/>
        <v>11.669585748903121</v>
      </c>
    </row>
    <row r="56" spans="1:10" x14ac:dyDescent="0.25">
      <c r="A56" s="82">
        <f>'A) Base RI'!A58</f>
        <v>5487</v>
      </c>
      <c r="B56" s="147" t="str">
        <f>'A) Base RI'!B58</f>
        <v>Lussery-Villars</v>
      </c>
      <c r="C56" s="158">
        <f>'B) D RI'!U58</f>
        <v>14161.564</v>
      </c>
      <c r="D56" s="247">
        <f>'E) Fact soc'!G62/C56</f>
        <v>18.847860724993296</v>
      </c>
      <c r="E56" s="247">
        <f>'H) Péréquation directe'!I67/'H) Péréquation directe'!C67</f>
        <v>11.483125236510823</v>
      </c>
      <c r="F56" s="242">
        <f>'I) Dépenses thématiques'!P56</f>
        <v>-1.2569233172268262</v>
      </c>
      <c r="G56" s="190">
        <f t="shared" si="1"/>
        <v>29.074062644277294</v>
      </c>
      <c r="H56" s="161">
        <f t="shared" si="0"/>
        <v>0</v>
      </c>
      <c r="I56" s="206">
        <f t="shared" si="2"/>
        <v>0</v>
      </c>
      <c r="J56" s="63">
        <f t="shared" si="3"/>
        <v>29.074062644277294</v>
      </c>
    </row>
    <row r="57" spans="1:10" x14ac:dyDescent="0.25">
      <c r="A57" s="82">
        <f>'A) Base RI'!A59</f>
        <v>5488</v>
      </c>
      <c r="B57" s="147" t="str">
        <f>'A) Base RI'!B59</f>
        <v>Mauraz</v>
      </c>
      <c r="C57" s="158">
        <f>'B) D RI'!U59</f>
        <v>1648.4024324324325</v>
      </c>
      <c r="D57" s="247">
        <f>'E) Fact soc'!G63/C57</f>
        <v>14.785675220623862</v>
      </c>
      <c r="E57" s="247">
        <f>'H) Péréquation directe'!I68/'H) Péréquation directe'!C68</f>
        <v>8.9699562696110533</v>
      </c>
      <c r="F57" s="242">
        <f>'I) Dépenses thématiques'!P57</f>
        <v>-1.4759745266875102</v>
      </c>
      <c r="G57" s="190">
        <f t="shared" si="1"/>
        <v>22.279656963547406</v>
      </c>
      <c r="H57" s="161">
        <f t="shared" si="0"/>
        <v>0</v>
      </c>
      <c r="I57" s="206">
        <f t="shared" si="2"/>
        <v>0</v>
      </c>
      <c r="J57" s="63">
        <f t="shared" si="3"/>
        <v>22.279656963547406</v>
      </c>
    </row>
    <row r="58" spans="1:10" x14ac:dyDescent="0.25">
      <c r="A58" s="82">
        <f>'A) Base RI'!A60</f>
        <v>5489</v>
      </c>
      <c r="B58" s="147" t="str">
        <f>'A) Base RI'!B60</f>
        <v>Mex</v>
      </c>
      <c r="C58" s="158">
        <f>'B) D RI'!U60</f>
        <v>53932.616065573762</v>
      </c>
      <c r="D58" s="247">
        <f>'E) Fact soc'!G64/C58</f>
        <v>22.357677746288299</v>
      </c>
      <c r="E58" s="247">
        <f>'H) Péréquation directe'!I69/'H) Péréquation directe'!C69</f>
        <v>17.132337896745618</v>
      </c>
      <c r="F58" s="242">
        <f>'I) Dépenses thématiques'!P58</f>
        <v>-0.26448314871975775</v>
      </c>
      <c r="G58" s="190">
        <f t="shared" si="1"/>
        <v>39.225532494314159</v>
      </c>
      <c r="H58" s="161">
        <f t="shared" si="0"/>
        <v>0</v>
      </c>
      <c r="I58" s="206">
        <f t="shared" si="2"/>
        <v>0</v>
      </c>
      <c r="J58" s="63">
        <f t="shared" si="3"/>
        <v>39.225532494314159</v>
      </c>
    </row>
    <row r="59" spans="1:10" x14ac:dyDescent="0.25">
      <c r="A59" s="82">
        <f>'A) Base RI'!A61</f>
        <v>5490</v>
      </c>
      <c r="B59" s="147" t="str">
        <f>'A) Base RI'!B61</f>
        <v>Moiry</v>
      </c>
      <c r="C59" s="158">
        <f>'B) D RI'!U61</f>
        <v>7150.2259259259263</v>
      </c>
      <c r="D59" s="247">
        <f>'E) Fact soc'!G65/C59</f>
        <v>19.762587890050003</v>
      </c>
      <c r="E59" s="247">
        <f>'H) Péréquation directe'!I70/'H) Péréquation directe'!C70</f>
        <v>-1.1220160252542148</v>
      </c>
      <c r="F59" s="242">
        <f>'I) Dépenses thématiques'!P59</f>
        <v>-2.5767017980783824</v>
      </c>
      <c r="G59" s="190">
        <f t="shared" si="1"/>
        <v>16.063870066717406</v>
      </c>
      <c r="H59" s="161">
        <f t="shared" si="0"/>
        <v>0</v>
      </c>
      <c r="I59" s="206">
        <f t="shared" si="2"/>
        <v>0</v>
      </c>
      <c r="J59" s="63">
        <f t="shared" si="3"/>
        <v>16.063870066717406</v>
      </c>
    </row>
    <row r="60" spans="1:10" x14ac:dyDescent="0.25">
      <c r="A60" s="82">
        <f>'A) Base RI'!A62</f>
        <v>5491</v>
      </c>
      <c r="B60" s="147" t="str">
        <f>'A) Base RI'!B62</f>
        <v>Mont-la-Ville</v>
      </c>
      <c r="C60" s="158">
        <f>'B) D RI'!U62</f>
        <v>9158.0513157894729</v>
      </c>
      <c r="D60" s="247">
        <f>'E) Fact soc'!G66/C60</f>
        <v>23.556214632378172</v>
      </c>
      <c r="E60" s="247">
        <f>'H) Péréquation directe'!I71/'H) Péréquation directe'!C71</f>
        <v>-3.4583667046211306</v>
      </c>
      <c r="F60" s="242">
        <f>'I) Dépenses thématiques'!P60</f>
        <v>-10.060546378589217</v>
      </c>
      <c r="G60" s="190">
        <f t="shared" si="1"/>
        <v>10.037301549167823</v>
      </c>
      <c r="H60" s="161">
        <f t="shared" ref="H60:H113" si="4">IF(G60&gt;H$4,H$4-G60,0)</f>
        <v>0</v>
      </c>
      <c r="I60" s="206">
        <f t="shared" si="2"/>
        <v>0</v>
      </c>
      <c r="J60" s="63">
        <f t="shared" ref="J60:J113" si="5">G60+H60</f>
        <v>10.037301549167823</v>
      </c>
    </row>
    <row r="61" spans="1:10" x14ac:dyDescent="0.25">
      <c r="A61" s="82">
        <f>'A) Base RI'!A63</f>
        <v>5492</v>
      </c>
      <c r="B61" s="147" t="str">
        <f>'A) Base RI'!B63</f>
        <v>Montricher</v>
      </c>
      <c r="C61" s="158">
        <f>'B) D RI'!U63</f>
        <v>150474.39203125</v>
      </c>
      <c r="D61" s="247">
        <f>'E) Fact soc'!G67/C61</f>
        <v>33.544762809440087</v>
      </c>
      <c r="E61" s="247">
        <f>'H) Péréquation directe'!I72/'H) Péréquation directe'!C72</f>
        <v>17.601667375074538</v>
      </c>
      <c r="F61" s="242">
        <f>'I) Dépenses thématiques'!P61</f>
        <v>-3.1499594461085896</v>
      </c>
      <c r="G61" s="190">
        <f t="shared" si="1"/>
        <v>47.996470738406039</v>
      </c>
      <c r="H61" s="161">
        <f t="shared" si="4"/>
        <v>0</v>
      </c>
      <c r="I61" s="206">
        <f t="shared" ref="I61:I115" si="6">H61*C61</f>
        <v>0</v>
      </c>
      <c r="J61" s="63">
        <f t="shared" si="5"/>
        <v>47.996470738406039</v>
      </c>
    </row>
    <row r="62" spans="1:10" x14ac:dyDescent="0.25">
      <c r="A62" s="82">
        <f>'A) Base RI'!A64</f>
        <v>5493</v>
      </c>
      <c r="B62" s="147" t="str">
        <f>'A) Base RI'!B64</f>
        <v>Orny</v>
      </c>
      <c r="C62" s="158">
        <f>'B) D RI'!U64</f>
        <v>9474.9746364594321</v>
      </c>
      <c r="D62" s="247">
        <f>'E) Fact soc'!G68/C62</f>
        <v>19.597909738334192</v>
      </c>
      <c r="E62" s="247">
        <f>'H) Péréquation directe'!I73/'H) Péréquation directe'!C73</f>
        <v>0.19910051273393758</v>
      </c>
      <c r="F62" s="242">
        <f>'I) Dépenses thématiques'!P62</f>
        <v>-5.6186957794214605</v>
      </c>
      <c r="G62" s="190">
        <f t="shared" ref="G62:G116" si="7">SUM(D62:F62)</f>
        <v>14.178314471646669</v>
      </c>
      <c r="H62" s="161">
        <f t="shared" si="4"/>
        <v>0</v>
      </c>
      <c r="I62" s="206">
        <f t="shared" si="6"/>
        <v>0</v>
      </c>
      <c r="J62" s="63">
        <f t="shared" si="5"/>
        <v>14.178314471646669</v>
      </c>
    </row>
    <row r="63" spans="1:10" x14ac:dyDescent="0.25">
      <c r="A63" s="82">
        <f>'A) Base RI'!A65</f>
        <v>5494</v>
      </c>
      <c r="B63" s="147" t="str">
        <f>'A) Base RI'!B65</f>
        <v>Pampigny</v>
      </c>
      <c r="C63" s="158">
        <f>'B) D RI'!U65</f>
        <v>34918.82189206349</v>
      </c>
      <c r="D63" s="247">
        <f>'E) Fact soc'!G69/C63</f>
        <v>16.591881489407946</v>
      </c>
      <c r="E63" s="247">
        <f>'H) Péréquation directe'!I74/'H) Péréquation directe'!C74</f>
        <v>6.0012330903294471</v>
      </c>
      <c r="F63" s="242">
        <f>'I) Dépenses thématiques'!P63</f>
        <v>-5.5861563887507497</v>
      </c>
      <c r="G63" s="190">
        <f t="shared" si="7"/>
        <v>17.006958190986644</v>
      </c>
      <c r="H63" s="161">
        <f t="shared" si="4"/>
        <v>0</v>
      </c>
      <c r="I63" s="206">
        <f t="shared" si="6"/>
        <v>0</v>
      </c>
      <c r="J63" s="63">
        <f t="shared" si="5"/>
        <v>17.006958190986644</v>
      </c>
    </row>
    <row r="64" spans="1:10" x14ac:dyDescent="0.25">
      <c r="A64" s="82">
        <f>'A) Base RI'!A66</f>
        <v>5495</v>
      </c>
      <c r="B64" s="147" t="str">
        <f>'A) Base RI'!B66</f>
        <v>Penthalaz</v>
      </c>
      <c r="C64" s="158">
        <f>'B) D RI'!U66</f>
        <v>87716.055405405408</v>
      </c>
      <c r="D64" s="247">
        <f>'E) Fact soc'!G70/C64</f>
        <v>17.464629363214264</v>
      </c>
      <c r="E64" s="247">
        <f>'H) Péréquation directe'!I75/'H) Péréquation directe'!C75</f>
        <v>-3.941584550863523</v>
      </c>
      <c r="F64" s="242">
        <f>'I) Dépenses thématiques'!P64</f>
        <v>-5.1616776188512805</v>
      </c>
      <c r="G64" s="190">
        <f t="shared" si="7"/>
        <v>8.3613671934994613</v>
      </c>
      <c r="H64" s="161">
        <f t="shared" si="4"/>
        <v>0</v>
      </c>
      <c r="I64" s="206">
        <f t="shared" si="6"/>
        <v>0</v>
      </c>
      <c r="J64" s="63">
        <f t="shared" si="5"/>
        <v>8.3613671934994613</v>
      </c>
    </row>
    <row r="65" spans="1:10" x14ac:dyDescent="0.25">
      <c r="A65" s="82">
        <f>'A) Base RI'!A67</f>
        <v>5496</v>
      </c>
      <c r="B65" s="147" t="str">
        <f>'A) Base RI'!B67</f>
        <v>Penthaz</v>
      </c>
      <c r="C65" s="158">
        <f>'B) D RI'!U67</f>
        <v>51566.366901408452</v>
      </c>
      <c r="D65" s="247">
        <f>'E) Fact soc'!G71/C65</f>
        <v>16.965164910383841</v>
      </c>
      <c r="E65" s="247">
        <f>'H) Péréquation directe'!I76/'H) Péréquation directe'!C76</f>
        <v>3.7374756145833556</v>
      </c>
      <c r="F65" s="242">
        <f>'I) Dépenses thématiques'!P65</f>
        <v>-4.416405763768859</v>
      </c>
      <c r="G65" s="190">
        <f t="shared" si="7"/>
        <v>16.286234761198337</v>
      </c>
      <c r="H65" s="161">
        <f t="shared" si="4"/>
        <v>0</v>
      </c>
      <c r="I65" s="206">
        <f t="shared" si="6"/>
        <v>0</v>
      </c>
      <c r="J65" s="63">
        <f t="shared" si="5"/>
        <v>16.286234761198337</v>
      </c>
    </row>
    <row r="66" spans="1:10" x14ac:dyDescent="0.25">
      <c r="A66" s="82">
        <f>'A) Base RI'!A68</f>
        <v>5497</v>
      </c>
      <c r="B66" s="147" t="str">
        <f>'A) Base RI'!B68</f>
        <v>Pompaples</v>
      </c>
      <c r="C66" s="158">
        <f>'B) D RI'!U68</f>
        <v>20299.313939393938</v>
      </c>
      <c r="D66" s="247">
        <f>'E) Fact soc'!G72/C66</f>
        <v>18.756408676968768</v>
      </c>
      <c r="E66" s="247">
        <f>'H) Péréquation directe'!I77/'H) Péréquation directe'!C77</f>
        <v>0.34336205034611345</v>
      </c>
      <c r="F66" s="242">
        <f>'I) Dépenses thématiques'!P66</f>
        <v>-7.6867622455549185</v>
      </c>
      <c r="G66" s="190">
        <f t="shared" si="7"/>
        <v>11.413008481759961</v>
      </c>
      <c r="H66" s="161">
        <f t="shared" si="4"/>
        <v>0</v>
      </c>
      <c r="I66" s="206">
        <f t="shared" si="6"/>
        <v>0</v>
      </c>
      <c r="J66" s="63">
        <f t="shared" si="5"/>
        <v>11.413008481759961</v>
      </c>
    </row>
    <row r="67" spans="1:10" x14ac:dyDescent="0.25">
      <c r="A67" s="82">
        <f>'A) Base RI'!A69</f>
        <v>5498</v>
      </c>
      <c r="B67" s="147" t="str">
        <f>'A) Base RI'!B69</f>
        <v>La Sarraz</v>
      </c>
      <c r="C67" s="158">
        <f>'B) D RI'!U69</f>
        <v>72296.623593750002</v>
      </c>
      <c r="D67" s="247">
        <f>'E) Fact soc'!G73/C67</f>
        <v>16.604423503238916</v>
      </c>
      <c r="E67" s="247">
        <f>'H) Péréquation directe'!I78/'H) Péréquation directe'!C78</f>
        <v>1.3486626590380884</v>
      </c>
      <c r="F67" s="242">
        <f>'I) Dépenses thématiques'!P67</f>
        <v>-6.0653593238883774</v>
      </c>
      <c r="G67" s="190">
        <f t="shared" si="7"/>
        <v>11.887726838388627</v>
      </c>
      <c r="H67" s="161">
        <f t="shared" si="4"/>
        <v>0</v>
      </c>
      <c r="I67" s="206">
        <f t="shared" si="6"/>
        <v>0</v>
      </c>
      <c r="J67" s="63">
        <f t="shared" si="5"/>
        <v>11.887726838388627</v>
      </c>
    </row>
    <row r="68" spans="1:10" x14ac:dyDescent="0.25">
      <c r="A68" s="82">
        <f>'A) Base RI'!A70</f>
        <v>5499</v>
      </c>
      <c r="B68" s="147" t="str">
        <f>'A) Base RI'!B70</f>
        <v>Senarclens</v>
      </c>
      <c r="C68" s="158">
        <f>'B) D RI'!U70</f>
        <v>17459.062919708031</v>
      </c>
      <c r="D68" s="247">
        <f>'E) Fact soc'!G74/C68</f>
        <v>15.517728542086648</v>
      </c>
      <c r="E68" s="247">
        <f>'H) Péréquation directe'!I79/'H) Péréquation directe'!C79</f>
        <v>14.334486721024916</v>
      </c>
      <c r="F68" s="242">
        <f>'I) Dépenses thématiques'!P68</f>
        <v>-0.86808782749111346</v>
      </c>
      <c r="G68" s="190">
        <f t="shared" si="7"/>
        <v>28.984127435620451</v>
      </c>
      <c r="H68" s="161">
        <f t="shared" si="4"/>
        <v>0</v>
      </c>
      <c r="I68" s="206">
        <f t="shared" si="6"/>
        <v>0</v>
      </c>
      <c r="J68" s="63">
        <f t="shared" si="5"/>
        <v>28.984127435620451</v>
      </c>
    </row>
    <row r="69" spans="1:10" x14ac:dyDescent="0.25">
      <c r="A69" s="82">
        <f>'A) Base RI'!A71</f>
        <v>5500</v>
      </c>
      <c r="B69" s="147" t="str">
        <f>'A) Base RI'!B71</f>
        <v>Sévery</v>
      </c>
      <c r="C69" s="158">
        <f>'B) D RI'!U71</f>
        <v>6102.0277564102553</v>
      </c>
      <c r="D69" s="247">
        <f>'E) Fact soc'!G75/C69</f>
        <v>15.42892286824012</v>
      </c>
      <c r="E69" s="247">
        <f>'H) Péréquation directe'!I80/'H) Péréquation directe'!C80</f>
        <v>0.31626383921389478</v>
      </c>
      <c r="F69" s="242">
        <f>'I) Dépenses thématiques'!P69</f>
        <v>-1.1075006980918167</v>
      </c>
      <c r="G69" s="190">
        <f t="shared" si="7"/>
        <v>14.637686009362197</v>
      </c>
      <c r="H69" s="161">
        <f t="shared" si="4"/>
        <v>0</v>
      </c>
      <c r="I69" s="206">
        <f t="shared" si="6"/>
        <v>0</v>
      </c>
      <c r="J69" s="63">
        <f t="shared" si="5"/>
        <v>14.637686009362197</v>
      </c>
    </row>
    <row r="70" spans="1:10" x14ac:dyDescent="0.25">
      <c r="A70" s="82">
        <f>'A) Base RI'!A72</f>
        <v>5501</v>
      </c>
      <c r="B70" s="147" t="str">
        <f>'A) Base RI'!B72</f>
        <v>Sullens</v>
      </c>
      <c r="C70" s="158">
        <f>'B) D RI'!U72</f>
        <v>37787.89666666666</v>
      </c>
      <c r="D70" s="247">
        <f>'E) Fact soc'!G76/C70</f>
        <v>20.441172584903377</v>
      </c>
      <c r="E70" s="247">
        <f>'H) Péréquation directe'!I81/'H) Péréquation directe'!C81</f>
        <v>15.203037113871369</v>
      </c>
      <c r="F70" s="242">
        <f>'I) Dépenses thématiques'!P70</f>
        <v>-0.14711059599418477</v>
      </c>
      <c r="G70" s="190">
        <f t="shared" si="7"/>
        <v>35.49709910278056</v>
      </c>
      <c r="H70" s="161">
        <f t="shared" si="4"/>
        <v>0</v>
      </c>
      <c r="I70" s="206">
        <f t="shared" si="6"/>
        <v>0</v>
      </c>
      <c r="J70" s="63">
        <f t="shared" si="5"/>
        <v>35.49709910278056</v>
      </c>
    </row>
    <row r="71" spans="1:10" x14ac:dyDescent="0.25">
      <c r="A71" s="82">
        <f>'A) Base RI'!A73</f>
        <v>5503</v>
      </c>
      <c r="B71" s="147" t="str">
        <f>'A) Base RI'!B73</f>
        <v>Vufflens-la-Ville</v>
      </c>
      <c r="C71" s="158">
        <f>'B) D RI'!U73</f>
        <v>57812.991915422885</v>
      </c>
      <c r="D71" s="247">
        <f>'E) Fact soc'!G77/C71</f>
        <v>16.165376778306452</v>
      </c>
      <c r="E71" s="247">
        <f>'H) Péréquation directe'!I82/'H) Péréquation directe'!C82</f>
        <v>15.457978741307684</v>
      </c>
      <c r="F71" s="242">
        <f>'I) Dépenses thématiques'!P71</f>
        <v>0</v>
      </c>
      <c r="G71" s="190">
        <f t="shared" si="7"/>
        <v>31.623355519614137</v>
      </c>
      <c r="H71" s="161">
        <f t="shared" si="4"/>
        <v>0</v>
      </c>
      <c r="I71" s="206">
        <f t="shared" si="6"/>
        <v>0</v>
      </c>
      <c r="J71" s="63">
        <f t="shared" si="5"/>
        <v>31.623355519614137</v>
      </c>
    </row>
    <row r="72" spans="1:10" x14ac:dyDescent="0.25">
      <c r="A72" s="82">
        <f>'A) Base RI'!A74</f>
        <v>5511</v>
      </c>
      <c r="B72" s="147" t="str">
        <f>'A) Base RI'!B74</f>
        <v>Assens</v>
      </c>
      <c r="C72" s="158">
        <f>'B) D RI'!U74</f>
        <v>39783.593571428566</v>
      </c>
      <c r="D72" s="247">
        <f>'E) Fact soc'!G78/C72</f>
        <v>16.721336584691901</v>
      </c>
      <c r="E72" s="247">
        <f>'H) Péréquation directe'!I83/'H) Péréquation directe'!C83</f>
        <v>13.320575434774062</v>
      </c>
      <c r="F72" s="242">
        <f>'I) Dépenses thématiques'!P72</f>
        <v>-4.5019814431401208</v>
      </c>
      <c r="G72" s="190">
        <f t="shared" si="7"/>
        <v>25.53993057632584</v>
      </c>
      <c r="H72" s="161">
        <f t="shared" si="4"/>
        <v>0</v>
      </c>
      <c r="I72" s="206">
        <f t="shared" si="6"/>
        <v>0</v>
      </c>
      <c r="J72" s="63">
        <f t="shared" si="5"/>
        <v>25.53993057632584</v>
      </c>
    </row>
    <row r="73" spans="1:10" x14ac:dyDescent="0.25">
      <c r="A73" s="82">
        <f>'A) Base RI'!A75</f>
        <v>5512</v>
      </c>
      <c r="B73" s="147" t="str">
        <f>'A) Base RI'!B75</f>
        <v>Bercher</v>
      </c>
      <c r="C73" s="158">
        <f>'B) D RI'!U75</f>
        <v>36622.722911392411</v>
      </c>
      <c r="D73" s="247">
        <f>'E) Fact soc'!G79/C73</f>
        <v>16.132832970728035</v>
      </c>
      <c r="E73" s="247">
        <f>'H) Péréquation directe'!I84/'H) Péréquation directe'!C84</f>
        <v>5.3051905646826434</v>
      </c>
      <c r="F73" s="242">
        <f>'I) Dépenses thématiques'!P73</f>
        <v>-4.4353064733335588</v>
      </c>
      <c r="G73" s="190">
        <f t="shared" si="7"/>
        <v>17.002717062077121</v>
      </c>
      <c r="H73" s="161">
        <f t="shared" si="4"/>
        <v>0</v>
      </c>
      <c r="I73" s="206">
        <f t="shared" si="6"/>
        <v>0</v>
      </c>
      <c r="J73" s="63">
        <f t="shared" si="5"/>
        <v>17.002717062077121</v>
      </c>
    </row>
    <row r="74" spans="1:10" x14ac:dyDescent="0.25">
      <c r="A74" s="82">
        <f>'A) Base RI'!A76</f>
        <v>5513</v>
      </c>
      <c r="B74" s="147" t="str">
        <f>'A) Base RI'!B76</f>
        <v>Bioley-Orjulaz</v>
      </c>
      <c r="C74" s="158">
        <f>'B) D RI'!U76</f>
        <v>30506.038333333338</v>
      </c>
      <c r="D74" s="247">
        <f>'E) Fact soc'!G80/C74</f>
        <v>24.872267654931612</v>
      </c>
      <c r="E74" s="247">
        <f>'H) Péréquation directe'!I85/'H) Péréquation directe'!C85</f>
        <v>16.951269801678301</v>
      </c>
      <c r="F74" s="242">
        <f>'I) Dépenses thématiques'!P74</f>
        <v>0</v>
      </c>
      <c r="G74" s="190">
        <f t="shared" si="7"/>
        <v>41.823537456609913</v>
      </c>
      <c r="H74" s="161">
        <f t="shared" si="4"/>
        <v>0</v>
      </c>
      <c r="I74" s="206">
        <f t="shared" si="6"/>
        <v>0</v>
      </c>
      <c r="J74" s="63">
        <f t="shared" si="5"/>
        <v>41.823537456609913</v>
      </c>
    </row>
    <row r="75" spans="1:10" x14ac:dyDescent="0.25">
      <c r="A75" s="82">
        <f>'A) Base RI'!A77</f>
        <v>5514</v>
      </c>
      <c r="B75" s="147" t="str">
        <f>'A) Base RI'!B77</f>
        <v>Bottens</v>
      </c>
      <c r="C75" s="158">
        <f>'B) D RI'!U77</f>
        <v>42846.050910973077</v>
      </c>
      <c r="D75" s="247">
        <f>'E) Fact soc'!G81/C75</f>
        <v>16.401337890302276</v>
      </c>
      <c r="E75" s="247">
        <f>'H) Péréquation directe'!I86/'H) Péréquation directe'!C86</f>
        <v>8.0336232404546681</v>
      </c>
      <c r="F75" s="242">
        <f>'I) Dépenses thématiques'!P75</f>
        <v>-4.6538711447250955E-2</v>
      </c>
      <c r="G75" s="190">
        <f t="shared" si="7"/>
        <v>24.388422419309695</v>
      </c>
      <c r="H75" s="161">
        <f t="shared" si="4"/>
        <v>0</v>
      </c>
      <c r="I75" s="206">
        <f t="shared" si="6"/>
        <v>0</v>
      </c>
      <c r="J75" s="63">
        <f t="shared" si="5"/>
        <v>24.388422419309695</v>
      </c>
    </row>
    <row r="76" spans="1:10" x14ac:dyDescent="0.25">
      <c r="A76" s="82">
        <f>'A) Base RI'!A78</f>
        <v>5515</v>
      </c>
      <c r="B76" s="147" t="str">
        <f>'A) Base RI'!B78</f>
        <v>Bretigny-sur-Morrens</v>
      </c>
      <c r="C76" s="158">
        <f>'B) D RI'!U78</f>
        <v>22223.6698630137</v>
      </c>
      <c r="D76" s="247">
        <f>'E) Fact soc'!G82/C76</f>
        <v>19.381519904673247</v>
      </c>
      <c r="E76" s="247">
        <f>'H) Péréquation directe'!I87/'H) Péréquation directe'!C87</f>
        <v>3.3848258157639965</v>
      </c>
      <c r="F76" s="242">
        <f>'I) Dépenses thématiques'!P76</f>
        <v>-3.734441724142203</v>
      </c>
      <c r="G76" s="190">
        <f t="shared" si="7"/>
        <v>19.031903996295039</v>
      </c>
      <c r="H76" s="161">
        <f t="shared" si="4"/>
        <v>0</v>
      </c>
      <c r="I76" s="206">
        <f t="shared" si="6"/>
        <v>0</v>
      </c>
      <c r="J76" s="63">
        <f t="shared" si="5"/>
        <v>19.031903996295039</v>
      </c>
    </row>
    <row r="77" spans="1:10" x14ac:dyDescent="0.25">
      <c r="A77" s="82">
        <f>'A) Base RI'!A79</f>
        <v>5516</v>
      </c>
      <c r="B77" s="147" t="str">
        <f>'A) Base RI'!B79</f>
        <v>Cugy</v>
      </c>
      <c r="C77" s="158">
        <f>'B) D RI'!U79</f>
        <v>117631.39925373136</v>
      </c>
      <c r="D77" s="247">
        <f>'E) Fact soc'!G83/C77</f>
        <v>16.155000639023072</v>
      </c>
      <c r="E77" s="247">
        <f>'H) Péréquation directe'!I88/'H) Péréquation directe'!C88</f>
        <v>12.163295711375421</v>
      </c>
      <c r="F77" s="242">
        <f>'I) Dépenses thématiques'!P77</f>
        <v>-0.79125982170145381</v>
      </c>
      <c r="G77" s="190">
        <f t="shared" si="7"/>
        <v>27.527036528697035</v>
      </c>
      <c r="H77" s="161">
        <f t="shared" si="4"/>
        <v>0</v>
      </c>
      <c r="I77" s="206">
        <f t="shared" si="6"/>
        <v>0</v>
      </c>
      <c r="J77" s="63">
        <f t="shared" si="5"/>
        <v>27.527036528697035</v>
      </c>
    </row>
    <row r="78" spans="1:10" x14ac:dyDescent="0.25">
      <c r="A78" s="82">
        <f>'A) Base RI'!A80</f>
        <v>5518</v>
      </c>
      <c r="B78" s="147" t="str">
        <f>'A) Base RI'!B80</f>
        <v>Echallens</v>
      </c>
      <c r="C78" s="158">
        <f>'B) D RI'!U80</f>
        <v>173156.24540540541</v>
      </c>
      <c r="D78" s="247">
        <f>'E) Fact soc'!G84/C78</f>
        <v>17.792338559743296</v>
      </c>
      <c r="E78" s="247">
        <f>'H) Péréquation directe'!I89/'H) Péréquation directe'!C89</f>
        <v>-1.9969764676434807</v>
      </c>
      <c r="F78" s="242">
        <f>'I) Dépenses thématiques'!P78</f>
        <v>-4.1740625543584207</v>
      </c>
      <c r="G78" s="190">
        <f t="shared" si="7"/>
        <v>11.621299537741393</v>
      </c>
      <c r="H78" s="161">
        <f t="shared" si="4"/>
        <v>0</v>
      </c>
      <c r="I78" s="206">
        <f t="shared" si="6"/>
        <v>0</v>
      </c>
      <c r="J78" s="63">
        <f t="shared" si="5"/>
        <v>11.621299537741393</v>
      </c>
    </row>
    <row r="79" spans="1:10" x14ac:dyDescent="0.25">
      <c r="A79" s="82">
        <f>'A) Base RI'!A81</f>
        <v>5520</v>
      </c>
      <c r="B79" s="147" t="str">
        <f>'A) Base RI'!B81</f>
        <v>Essertines-sur-Yverdon</v>
      </c>
      <c r="C79" s="158">
        <f>'B) D RI'!U81</f>
        <v>27983.283972602738</v>
      </c>
      <c r="D79" s="247">
        <f>'E) Fact soc'!G85/C79</f>
        <v>17.261044268367449</v>
      </c>
      <c r="E79" s="247">
        <f>'H) Péréquation directe'!I90/'H) Péréquation directe'!C90</f>
        <v>6.3445770954635421</v>
      </c>
      <c r="F79" s="242">
        <f>'I) Dépenses thématiques'!P79</f>
        <v>-3.4076772437917233</v>
      </c>
      <c r="G79" s="190">
        <f t="shared" si="7"/>
        <v>20.197944120039267</v>
      </c>
      <c r="H79" s="161">
        <f t="shared" si="4"/>
        <v>0</v>
      </c>
      <c r="I79" s="206">
        <f t="shared" si="6"/>
        <v>0</v>
      </c>
      <c r="J79" s="63">
        <f t="shared" si="5"/>
        <v>20.197944120039267</v>
      </c>
    </row>
    <row r="80" spans="1:10" x14ac:dyDescent="0.25">
      <c r="A80" s="82">
        <f>'A) Base RI'!A82</f>
        <v>5521</v>
      </c>
      <c r="B80" s="147" t="str">
        <f>'A) Base RI'!B82</f>
        <v>Etagnières</v>
      </c>
      <c r="C80" s="158">
        <f>'B) D RI'!U82</f>
        <v>36300.178904109591</v>
      </c>
      <c r="D80" s="247">
        <f>'E) Fact soc'!G86/C80</f>
        <v>18.033823537233161</v>
      </c>
      <c r="E80" s="247">
        <f>'H) Péréquation directe'!I91/'H) Péréquation directe'!C91</f>
        <v>7.6528423351162553</v>
      </c>
      <c r="F80" s="242">
        <f>'I) Dépenses thématiques'!P80</f>
        <v>-0.83487191840173047</v>
      </c>
      <c r="G80" s="190">
        <f t="shared" si="7"/>
        <v>24.851793953947684</v>
      </c>
      <c r="H80" s="161">
        <f t="shared" si="4"/>
        <v>0</v>
      </c>
      <c r="I80" s="206">
        <f t="shared" si="6"/>
        <v>0</v>
      </c>
      <c r="J80" s="63">
        <f t="shared" si="5"/>
        <v>24.851793953947684</v>
      </c>
    </row>
    <row r="81" spans="1:10" x14ac:dyDescent="0.25">
      <c r="A81" s="82">
        <f>'A) Base RI'!A83</f>
        <v>5522</v>
      </c>
      <c r="B81" s="147" t="str">
        <f>'A) Base RI'!B83</f>
        <v>Fey</v>
      </c>
      <c r="C81" s="158">
        <f>'B) D RI'!U83</f>
        <v>16159.379733333333</v>
      </c>
      <c r="D81" s="247">
        <f>'E) Fact soc'!G87/C81</f>
        <v>20.280297010892578</v>
      </c>
      <c r="E81" s="247">
        <f>'H) Péréquation directe'!I92/'H) Péréquation directe'!C92</f>
        <v>-0.55399452824799211</v>
      </c>
      <c r="F81" s="242">
        <f>'I) Dépenses thématiques'!P81</f>
        <v>-11.511580460992612</v>
      </c>
      <c r="G81" s="190">
        <f t="shared" si="7"/>
        <v>8.2147220216519763</v>
      </c>
      <c r="H81" s="161">
        <f t="shared" si="4"/>
        <v>0</v>
      </c>
      <c r="I81" s="206">
        <f t="shared" si="6"/>
        <v>0</v>
      </c>
      <c r="J81" s="63">
        <f t="shared" si="5"/>
        <v>8.2147220216519763</v>
      </c>
    </row>
    <row r="82" spans="1:10" x14ac:dyDescent="0.25">
      <c r="A82" s="82">
        <f>'A) Base RI'!A84</f>
        <v>5523</v>
      </c>
      <c r="B82" s="147" t="str">
        <f>'A) Base RI'!B84</f>
        <v>Froideville</v>
      </c>
      <c r="C82" s="158">
        <f>'B) D RI'!U84</f>
        <v>72242.876052631575</v>
      </c>
      <c r="D82" s="247">
        <f>'E) Fact soc'!G88/C82</f>
        <v>17.960465767900882</v>
      </c>
      <c r="E82" s="247">
        <f>'H) Péréquation directe'!I93/'H) Péréquation directe'!C93</f>
        <v>1.6763681322109474</v>
      </c>
      <c r="F82" s="242">
        <f>'I) Dépenses thématiques'!P82</f>
        <v>-2.559906389458638</v>
      </c>
      <c r="G82" s="190">
        <f t="shared" si="7"/>
        <v>17.076927510653189</v>
      </c>
      <c r="H82" s="161">
        <f t="shared" si="4"/>
        <v>0</v>
      </c>
      <c r="I82" s="206">
        <f t="shared" si="6"/>
        <v>0</v>
      </c>
      <c r="J82" s="63">
        <f t="shared" si="5"/>
        <v>17.076927510653189</v>
      </c>
    </row>
    <row r="83" spans="1:10" x14ac:dyDescent="0.25">
      <c r="A83" s="82">
        <f>'A) Base RI'!A85</f>
        <v>5527</v>
      </c>
      <c r="B83" s="147" t="str">
        <f>'A) Base RI'!B85</f>
        <v>Morrens</v>
      </c>
      <c r="C83" s="158">
        <f>'B) D RI'!U85</f>
        <v>37759.681126760574</v>
      </c>
      <c r="D83" s="247">
        <f>'E) Fact soc'!G89/C83</f>
        <v>17.06032830129114</v>
      </c>
      <c r="E83" s="247">
        <f>'H) Péréquation directe'!I94/'H) Péréquation directe'!C94</f>
        <v>11.10780665554234</v>
      </c>
      <c r="F83" s="242">
        <f>'I) Dépenses thématiques'!P83</f>
        <v>-0.50524791075312536</v>
      </c>
      <c r="G83" s="190">
        <f t="shared" si="7"/>
        <v>27.662887046080353</v>
      </c>
      <c r="H83" s="161">
        <f t="shared" si="4"/>
        <v>0</v>
      </c>
      <c r="I83" s="206">
        <f t="shared" si="6"/>
        <v>0</v>
      </c>
      <c r="J83" s="63">
        <f t="shared" si="5"/>
        <v>27.662887046080353</v>
      </c>
    </row>
    <row r="84" spans="1:10" x14ac:dyDescent="0.25">
      <c r="A84" s="82">
        <f>'A) Base RI'!A86</f>
        <v>5529</v>
      </c>
      <c r="B84" s="147" t="str">
        <f>'A) Base RI'!B86</f>
        <v>Oulens-sous-Echallens</v>
      </c>
      <c r="C84" s="158">
        <f>'B) D RI'!U86</f>
        <v>19397.63972972973</v>
      </c>
      <c r="D84" s="247">
        <f>'E) Fact soc'!G90/C84</f>
        <v>15.664544517998813</v>
      </c>
      <c r="E84" s="247">
        <f>'H) Péréquation directe'!I95/'H) Péréquation directe'!C95</f>
        <v>11.559612100595675</v>
      </c>
      <c r="F84" s="242">
        <f>'I) Dépenses thématiques'!P84</f>
        <v>-8.5067050578889738</v>
      </c>
      <c r="G84" s="190">
        <f t="shared" si="7"/>
        <v>18.717451560705513</v>
      </c>
      <c r="H84" s="161">
        <f t="shared" si="4"/>
        <v>0</v>
      </c>
      <c r="I84" s="206">
        <f t="shared" si="6"/>
        <v>0</v>
      </c>
      <c r="J84" s="63">
        <f t="shared" si="5"/>
        <v>18.717451560705513</v>
      </c>
    </row>
    <row r="85" spans="1:10" x14ac:dyDescent="0.25">
      <c r="A85" s="82">
        <f>'A) Base RI'!A87</f>
        <v>5530</v>
      </c>
      <c r="B85" s="147" t="str">
        <f>'A) Base RI'!B87</f>
        <v>Pailly</v>
      </c>
      <c r="C85" s="158">
        <f>'B) D RI'!U87</f>
        <v>13906.482623655915</v>
      </c>
      <c r="D85" s="247">
        <f>'E) Fact soc'!G91/C85</f>
        <v>17.889820328213368</v>
      </c>
      <c r="E85" s="247">
        <f>'H) Péréquation directe'!I96/'H) Péréquation directe'!C96</f>
        <v>-0.80011483346467571</v>
      </c>
      <c r="F85" s="242">
        <f>'I) Dépenses thématiques'!P85</f>
        <v>-13.353700214898771</v>
      </c>
      <c r="G85" s="190">
        <f t="shared" si="7"/>
        <v>3.7360052798499215</v>
      </c>
      <c r="H85" s="161">
        <f t="shared" si="4"/>
        <v>0</v>
      </c>
      <c r="I85" s="206">
        <f t="shared" si="6"/>
        <v>0</v>
      </c>
      <c r="J85" s="63">
        <f t="shared" si="5"/>
        <v>3.7360052798499215</v>
      </c>
    </row>
    <row r="86" spans="1:10" x14ac:dyDescent="0.25">
      <c r="A86" s="82">
        <f>'A) Base RI'!A88</f>
        <v>5531</v>
      </c>
      <c r="B86" s="147" t="str">
        <f>'A) Base RI'!B88</f>
        <v>Penthéréaz</v>
      </c>
      <c r="C86" s="158">
        <f>'B) D RI'!U88</f>
        <v>13188.510897435897</v>
      </c>
      <c r="D86" s="247">
        <f>'E) Fact soc'!G92/C86</f>
        <v>14.78567522062386</v>
      </c>
      <c r="E86" s="247">
        <f>'H) Péréquation directe'!I97/'H) Péréquation directe'!C97</f>
        <v>8.679057141649027</v>
      </c>
      <c r="F86" s="242">
        <f>'I) Dépenses thématiques'!P86</f>
        <v>-0.74890941644672571</v>
      </c>
      <c r="G86" s="190">
        <f t="shared" si="7"/>
        <v>22.715822945826162</v>
      </c>
      <c r="H86" s="161">
        <f t="shared" si="4"/>
        <v>0</v>
      </c>
      <c r="I86" s="206">
        <f t="shared" si="6"/>
        <v>0</v>
      </c>
      <c r="J86" s="63">
        <f t="shared" si="5"/>
        <v>22.715822945826162</v>
      </c>
    </row>
    <row r="87" spans="1:10" x14ac:dyDescent="0.25">
      <c r="A87" s="82">
        <f>'A) Base RI'!A89</f>
        <v>5533</v>
      </c>
      <c r="B87" s="147" t="str">
        <f>'A) Base RI'!B89</f>
        <v>Poliez-Pittet</v>
      </c>
      <c r="C87" s="158">
        <f>'B) D RI'!U89</f>
        <v>23278.194178403755</v>
      </c>
      <c r="D87" s="247">
        <f>'E) Fact soc'!G93/C87</f>
        <v>15.981023527573507</v>
      </c>
      <c r="E87" s="247">
        <f>'H) Péréquation directe'!I98/'H) Péréquation directe'!C98</f>
        <v>4.8657186280799314</v>
      </c>
      <c r="F87" s="242">
        <f>'I) Dépenses thématiques'!P87</f>
        <v>-1.0622817135420795</v>
      </c>
      <c r="G87" s="190">
        <f t="shared" si="7"/>
        <v>19.784460442111357</v>
      </c>
      <c r="H87" s="161">
        <f t="shared" si="4"/>
        <v>0</v>
      </c>
      <c r="I87" s="206">
        <f t="shared" si="6"/>
        <v>0</v>
      </c>
      <c r="J87" s="63">
        <f t="shared" si="5"/>
        <v>19.784460442111357</v>
      </c>
    </row>
    <row r="88" spans="1:10" x14ac:dyDescent="0.25">
      <c r="A88" s="82">
        <f>'A) Base RI'!A90</f>
        <v>5534</v>
      </c>
      <c r="B88" s="147" t="str">
        <f>'A) Base RI'!B90</f>
        <v>Rueyres</v>
      </c>
      <c r="C88" s="158">
        <f>'B) D RI'!U90</f>
        <v>7491.8463013698638</v>
      </c>
      <c r="D88" s="247">
        <f>'E) Fact soc'!G94/C88</f>
        <v>15.952797402295046</v>
      </c>
      <c r="E88" s="247">
        <f>'H) Péréquation directe'!I99/'H) Péréquation directe'!C99</f>
        <v>3.883998779034759</v>
      </c>
      <c r="F88" s="242">
        <f>'I) Dépenses thématiques'!P88</f>
        <v>-6.4233832441544934</v>
      </c>
      <c r="G88" s="190">
        <f t="shared" si="7"/>
        <v>13.413412937175313</v>
      </c>
      <c r="H88" s="161">
        <f t="shared" si="4"/>
        <v>0</v>
      </c>
      <c r="I88" s="206">
        <f t="shared" si="6"/>
        <v>0</v>
      </c>
      <c r="J88" s="63">
        <f t="shared" si="5"/>
        <v>13.413412937175313</v>
      </c>
    </row>
    <row r="89" spans="1:10" x14ac:dyDescent="0.25">
      <c r="A89" s="82">
        <f>'A) Base RI'!A91</f>
        <v>5535</v>
      </c>
      <c r="B89" s="147" t="str">
        <f>'A) Base RI'!B91</f>
        <v>Saint-Barthélemy</v>
      </c>
      <c r="C89" s="158">
        <f>'B) D RI'!U91</f>
        <v>20337.444935064934</v>
      </c>
      <c r="D89" s="247">
        <f>'E) Fact soc'!G95/C89</f>
        <v>16.591660196478582</v>
      </c>
      <c r="E89" s="247">
        <f>'H) Péréquation directe'!I100/'H) Péréquation directe'!C100</f>
        <v>-1.139470516741633</v>
      </c>
      <c r="F89" s="242">
        <f>'I) Dépenses thématiques'!P89</f>
        <v>0</v>
      </c>
      <c r="G89" s="190">
        <f t="shared" si="7"/>
        <v>15.452189679736948</v>
      </c>
      <c r="H89" s="161">
        <f t="shared" si="4"/>
        <v>0</v>
      </c>
      <c r="I89" s="206">
        <f t="shared" si="6"/>
        <v>0</v>
      </c>
      <c r="J89" s="63">
        <f t="shared" si="5"/>
        <v>15.452189679736948</v>
      </c>
    </row>
    <row r="90" spans="1:10" x14ac:dyDescent="0.25">
      <c r="A90" s="82">
        <f>'A) Base RI'!A92</f>
        <v>5537</v>
      </c>
      <c r="B90" s="147" t="str">
        <f>'A) Base RI'!B92</f>
        <v>Villars-le-Terroir</v>
      </c>
      <c r="C90" s="158">
        <f>'B) D RI'!U92</f>
        <v>28392.00020547945</v>
      </c>
      <c r="D90" s="247">
        <f>'E) Fact soc'!G96/C90</f>
        <v>18.977758347512175</v>
      </c>
      <c r="E90" s="247">
        <f>'H) Péréquation directe'!I101/'H) Péréquation directe'!C101</f>
        <v>5.5200383171598624</v>
      </c>
      <c r="F90" s="242">
        <f>'I) Dépenses thématiques'!P90</f>
        <v>-0.15550154860691839</v>
      </c>
      <c r="G90" s="190">
        <f t="shared" si="7"/>
        <v>24.34229511606512</v>
      </c>
      <c r="H90" s="161">
        <f t="shared" si="4"/>
        <v>0</v>
      </c>
      <c r="I90" s="206">
        <f t="shared" si="6"/>
        <v>0</v>
      </c>
      <c r="J90" s="63">
        <f t="shared" si="5"/>
        <v>24.34229511606512</v>
      </c>
    </row>
    <row r="91" spans="1:10" x14ac:dyDescent="0.25">
      <c r="A91" s="82">
        <f>'A) Base RI'!A93</f>
        <v>5539</v>
      </c>
      <c r="B91" s="147" t="str">
        <f>'A) Base RI'!B93</f>
        <v>Vuarrens</v>
      </c>
      <c r="C91" s="158">
        <f>'B) D RI'!U93</f>
        <v>22715.815066666666</v>
      </c>
      <c r="D91" s="247">
        <f>'E) Fact soc'!G97/C91</f>
        <v>20.403918705414103</v>
      </c>
      <c r="E91" s="247">
        <f>'H) Péréquation directe'!I102/'H) Péréquation directe'!C102</f>
        <v>-3.3357558692976528</v>
      </c>
      <c r="F91" s="242">
        <f>'I) Dépenses thématiques'!P91</f>
        <v>-2.1791425865514324</v>
      </c>
      <c r="G91" s="190">
        <f t="shared" si="7"/>
        <v>14.889020249565018</v>
      </c>
      <c r="H91" s="161">
        <f t="shared" si="4"/>
        <v>0</v>
      </c>
      <c r="I91" s="206">
        <f t="shared" si="6"/>
        <v>0</v>
      </c>
      <c r="J91" s="63">
        <f t="shared" si="5"/>
        <v>14.889020249565018</v>
      </c>
    </row>
    <row r="92" spans="1:10" x14ac:dyDescent="0.25">
      <c r="A92" s="82">
        <f>'A) Base RI'!A94</f>
        <v>5540</v>
      </c>
      <c r="B92" s="147" t="str">
        <f>'A) Base RI'!B94</f>
        <v>Montilliez</v>
      </c>
      <c r="C92" s="158">
        <f>'B) D RI'!U94</f>
        <v>49229.090304054065</v>
      </c>
      <c r="D92" s="247">
        <f>'E) Fact soc'!G98/C92</f>
        <v>17.416827638838122</v>
      </c>
      <c r="E92" s="247">
        <f>'H) Péréquation directe'!I103/'H) Péréquation directe'!C103</f>
        <v>2.0662049563522316</v>
      </c>
      <c r="F92" s="242">
        <f>'I) Dépenses thématiques'!P92</f>
        <v>-2.9744608136287529</v>
      </c>
      <c r="G92" s="190">
        <f>SUM(D92:F92)</f>
        <v>16.508571781561599</v>
      </c>
      <c r="H92" s="161">
        <f t="shared" si="4"/>
        <v>0</v>
      </c>
      <c r="I92" s="206">
        <f>H92*C92</f>
        <v>0</v>
      </c>
      <c r="J92" s="63">
        <f>G92+H92</f>
        <v>16.508571781561599</v>
      </c>
    </row>
    <row r="93" spans="1:10" x14ac:dyDescent="0.25">
      <c r="A93" s="82">
        <f>'A) Base RI'!A95</f>
        <v>5541</v>
      </c>
      <c r="B93" s="147" t="str">
        <f>'A) Base RI'!B95</f>
        <v>Goumoëns</v>
      </c>
      <c r="C93" s="158">
        <f>'B) D RI'!U95</f>
        <v>28419.250909090908</v>
      </c>
      <c r="D93" s="247">
        <f>'E) Fact soc'!G99/C93</f>
        <v>17.661682588356925</v>
      </c>
      <c r="E93" s="247">
        <f>'H) Péréquation directe'!I104/'H) Péréquation directe'!C104</f>
        <v>3.7444503866091576</v>
      </c>
      <c r="F93" s="242">
        <f>'I) Dépenses thématiques'!P93</f>
        <v>-2.2999198750552443</v>
      </c>
      <c r="G93" s="190">
        <f>SUM(D93:F93)</f>
        <v>19.106213099910839</v>
      </c>
      <c r="H93" s="161">
        <f t="shared" si="4"/>
        <v>0</v>
      </c>
      <c r="I93" s="206">
        <f>H93*C93</f>
        <v>0</v>
      </c>
      <c r="J93" s="63">
        <f>G93+H93</f>
        <v>19.106213099910839</v>
      </c>
    </row>
    <row r="94" spans="1:10" x14ac:dyDescent="0.25">
      <c r="A94" s="82">
        <f>'A) Base RI'!A96</f>
        <v>5551</v>
      </c>
      <c r="B94" s="147" t="str">
        <f>'A) Base RI'!B96</f>
        <v>Bonvillars</v>
      </c>
      <c r="C94" s="158">
        <f>'B) D RI'!U96</f>
        <v>20657.866545454548</v>
      </c>
      <c r="D94" s="247">
        <f>'E) Fact soc'!G100/C94</f>
        <v>18.963043430943145</v>
      </c>
      <c r="E94" s="247">
        <f>'H) Péréquation directe'!I105/'H) Péréquation directe'!C105</f>
        <v>14.970407772951802</v>
      </c>
      <c r="F94" s="242">
        <f>'I) Dépenses thématiques'!P94</f>
        <v>-2.2108769024867883</v>
      </c>
      <c r="G94" s="190">
        <f>SUM(D94:F94)</f>
        <v>31.722574301408159</v>
      </c>
      <c r="H94" s="161">
        <f t="shared" si="4"/>
        <v>0</v>
      </c>
      <c r="I94" s="206">
        <f>H94*C94</f>
        <v>0</v>
      </c>
      <c r="J94" s="63">
        <f>G94+H94</f>
        <v>31.722574301408159</v>
      </c>
    </row>
    <row r="95" spans="1:10" x14ac:dyDescent="0.25">
      <c r="A95" s="82">
        <f>'A) Base RI'!A97</f>
        <v>5552</v>
      </c>
      <c r="B95" s="147" t="str">
        <f>'A) Base RI'!B97</f>
        <v>Bullet</v>
      </c>
      <c r="C95" s="158">
        <f>'B) D RI'!U97</f>
        <v>15344.039999999997</v>
      </c>
      <c r="D95" s="247">
        <f>'E) Fact soc'!G101/C95</f>
        <v>20.576965193799115</v>
      </c>
      <c r="E95" s="247">
        <f>'H) Péréquation directe'!I106/'H) Péréquation directe'!C106</f>
        <v>0.96135301636757819</v>
      </c>
      <c r="F95" s="242">
        <f>'I) Dépenses thématiques'!P95</f>
        <v>-10.707936110698357</v>
      </c>
      <c r="G95" s="190">
        <f t="shared" si="7"/>
        <v>10.830382099468336</v>
      </c>
      <c r="H95" s="161">
        <f t="shared" si="4"/>
        <v>0</v>
      </c>
      <c r="I95" s="206">
        <f t="shared" si="6"/>
        <v>0</v>
      </c>
      <c r="J95" s="63">
        <f t="shared" si="5"/>
        <v>10.830382099468336</v>
      </c>
    </row>
    <row r="96" spans="1:10" x14ac:dyDescent="0.25">
      <c r="A96" s="82">
        <f>'A) Base RI'!A98</f>
        <v>5553</v>
      </c>
      <c r="B96" s="147" t="str">
        <f>'A) Base RI'!B98</f>
        <v>Champagne</v>
      </c>
      <c r="C96" s="158">
        <f>'B) D RI'!U98</f>
        <v>34561.95904761905</v>
      </c>
      <c r="D96" s="247">
        <f>'E) Fact soc'!G102/C96</f>
        <v>16.887976913068162</v>
      </c>
      <c r="E96" s="247">
        <f>'H) Péréquation directe'!I107/'H) Péréquation directe'!C107</f>
        <v>11.26667183727117</v>
      </c>
      <c r="F96" s="242">
        <f>'I) Dépenses thématiques'!P96</f>
        <v>-3.3120807718764396</v>
      </c>
      <c r="G96" s="190">
        <f t="shared" si="7"/>
        <v>24.842567978462895</v>
      </c>
      <c r="H96" s="161">
        <f t="shared" si="4"/>
        <v>0</v>
      </c>
      <c r="I96" s="206">
        <f t="shared" si="6"/>
        <v>0</v>
      </c>
      <c r="J96" s="63">
        <f t="shared" si="5"/>
        <v>24.842567978462895</v>
      </c>
    </row>
    <row r="97" spans="1:10" x14ac:dyDescent="0.25">
      <c r="A97" s="82">
        <f>'A) Base RI'!A99</f>
        <v>5554</v>
      </c>
      <c r="B97" s="147" t="str">
        <f>'A) Base RI'!B99</f>
        <v>Concise</v>
      </c>
      <c r="C97" s="158">
        <f>'B) D RI'!U99</f>
        <v>28927.786533333336</v>
      </c>
      <c r="D97" s="247">
        <f>'E) Fact soc'!G103/C97</f>
        <v>17.388908963144242</v>
      </c>
      <c r="E97" s="247">
        <f>'H) Péréquation directe'!I108/'H) Péréquation directe'!C108</f>
        <v>6.0949692440734715</v>
      </c>
      <c r="F97" s="242">
        <f>'I) Dépenses thématiques'!P97</f>
        <v>-2.6913569730019993</v>
      </c>
      <c r="G97" s="190">
        <f t="shared" si="7"/>
        <v>20.792521234215716</v>
      </c>
      <c r="H97" s="161">
        <f t="shared" si="4"/>
        <v>0</v>
      </c>
      <c r="I97" s="206">
        <f t="shared" si="6"/>
        <v>0</v>
      </c>
      <c r="J97" s="63">
        <f t="shared" si="5"/>
        <v>20.792521234215716</v>
      </c>
    </row>
    <row r="98" spans="1:10" x14ac:dyDescent="0.25">
      <c r="A98" s="82">
        <f>'A) Base RI'!A100</f>
        <v>5555</v>
      </c>
      <c r="B98" s="147" t="str">
        <f>'A) Base RI'!B100</f>
        <v>Corcelles-près-Concise</v>
      </c>
      <c r="C98" s="158">
        <f>'B) D RI'!U100</f>
        <v>9553.9681690140824</v>
      </c>
      <c r="D98" s="247">
        <f>'E) Fact soc'!G104/C98</f>
        <v>19.567773526977621</v>
      </c>
      <c r="E98" s="247">
        <f>'H) Péréquation directe'!I109/'H) Péréquation directe'!C109</f>
        <v>4.6771945916679307</v>
      </c>
      <c r="F98" s="242">
        <f>'I) Dépenses thématiques'!P98</f>
        <v>-13.142392540853244</v>
      </c>
      <c r="G98" s="190">
        <f t="shared" si="7"/>
        <v>11.102575577792308</v>
      </c>
      <c r="H98" s="161">
        <f t="shared" si="4"/>
        <v>0</v>
      </c>
      <c r="I98" s="206">
        <f t="shared" si="6"/>
        <v>0</v>
      </c>
      <c r="J98" s="63">
        <f t="shared" si="5"/>
        <v>11.102575577792308</v>
      </c>
    </row>
    <row r="99" spans="1:10" x14ac:dyDescent="0.25">
      <c r="A99" s="82">
        <f>'A) Base RI'!A101</f>
        <v>5556</v>
      </c>
      <c r="B99" s="147" t="str">
        <f>'A) Base RI'!B101</f>
        <v>Fiez</v>
      </c>
      <c r="C99" s="158">
        <f>'B) D RI'!U101</f>
        <v>10930.395096618358</v>
      </c>
      <c r="D99" s="247">
        <f>'E) Fact soc'!G105/C99</f>
        <v>18.795169352593408</v>
      </c>
      <c r="E99" s="247">
        <f>'H) Péréquation directe'!I110/'H) Péréquation directe'!C110</f>
        <v>2.5048929116823646</v>
      </c>
      <c r="F99" s="242">
        <f>'I) Dépenses thématiques'!P99</f>
        <v>-4.4883098521459539</v>
      </c>
      <c r="G99" s="190">
        <f t="shared" si="7"/>
        <v>16.81175241212982</v>
      </c>
      <c r="H99" s="161">
        <f t="shared" si="4"/>
        <v>0</v>
      </c>
      <c r="I99" s="206">
        <f t="shared" si="6"/>
        <v>0</v>
      </c>
      <c r="J99" s="63">
        <f t="shared" si="5"/>
        <v>16.81175241212982</v>
      </c>
    </row>
    <row r="100" spans="1:10" x14ac:dyDescent="0.25">
      <c r="A100" s="82">
        <f>'A) Base RI'!A102</f>
        <v>5557</v>
      </c>
      <c r="B100" s="147" t="str">
        <f>'A) Base RI'!B102</f>
        <v>Fontaines-sur-Grandson</v>
      </c>
      <c r="C100" s="158">
        <f>'B) D RI'!U102</f>
        <v>4594.8315942028985</v>
      </c>
      <c r="D100" s="247">
        <f>'E) Fact soc'!G106/C100</f>
        <v>22.803330328262444</v>
      </c>
      <c r="E100" s="247">
        <f>'H) Péréquation directe'!I111/'H) Péréquation directe'!C111</f>
        <v>0.43380927305757822</v>
      </c>
      <c r="F100" s="242">
        <f>'I) Dépenses thématiques'!P100</f>
        <v>-0.8352863258018508</v>
      </c>
      <c r="G100" s="190">
        <f t="shared" si="7"/>
        <v>22.401853275518171</v>
      </c>
      <c r="H100" s="161">
        <f t="shared" si="4"/>
        <v>0</v>
      </c>
      <c r="I100" s="206">
        <f t="shared" si="6"/>
        <v>0</v>
      </c>
      <c r="J100" s="63">
        <f t="shared" si="5"/>
        <v>22.401853275518171</v>
      </c>
    </row>
    <row r="101" spans="1:10" x14ac:dyDescent="0.25">
      <c r="A101" s="82">
        <f>'A) Base RI'!A103</f>
        <v>5559</v>
      </c>
      <c r="B101" s="147" t="str">
        <f>'A) Base RI'!B103</f>
        <v>Giez</v>
      </c>
      <c r="C101" s="158">
        <f>'B) D RI'!U103</f>
        <v>14748.809242424242</v>
      </c>
      <c r="D101" s="247">
        <f>'E) Fact soc'!G107/C101</f>
        <v>24.097438478430156</v>
      </c>
      <c r="E101" s="247">
        <f>'H) Péréquation directe'!I112/'H) Péréquation directe'!C112</f>
        <v>13.494942706598538</v>
      </c>
      <c r="F101" s="242">
        <f>'I) Dépenses thématiques'!P101</f>
        <v>-1.200435893432835</v>
      </c>
      <c r="G101" s="190">
        <f t="shared" si="7"/>
        <v>36.39194529159586</v>
      </c>
      <c r="H101" s="161">
        <f t="shared" si="4"/>
        <v>0</v>
      </c>
      <c r="I101" s="206">
        <f t="shared" si="6"/>
        <v>0</v>
      </c>
      <c r="J101" s="63">
        <f t="shared" si="5"/>
        <v>36.39194529159586</v>
      </c>
    </row>
    <row r="102" spans="1:10" x14ac:dyDescent="0.25">
      <c r="A102" s="82">
        <f>'A) Base RI'!A104</f>
        <v>5560</v>
      </c>
      <c r="B102" s="147" t="str">
        <f>'A) Base RI'!B104</f>
        <v>Grandevent</v>
      </c>
      <c r="C102" s="158">
        <f>'B) D RI'!U104</f>
        <v>6117.1622727272734</v>
      </c>
      <c r="D102" s="247">
        <f>'E) Fact soc'!G108/C102</f>
        <v>22.334302008876911</v>
      </c>
      <c r="E102" s="247">
        <f>'H) Péréquation directe'!I113/'H) Péréquation directe'!C113</f>
        <v>4.1147214884547534</v>
      </c>
      <c r="F102" s="242">
        <f>'I) Dépenses thématiques'!P102</f>
        <v>0</v>
      </c>
      <c r="G102" s="190">
        <f t="shared" si="7"/>
        <v>26.449023497331666</v>
      </c>
      <c r="H102" s="161">
        <f t="shared" si="4"/>
        <v>0</v>
      </c>
      <c r="I102" s="206">
        <f t="shared" si="6"/>
        <v>0</v>
      </c>
      <c r="J102" s="63">
        <f t="shared" si="5"/>
        <v>26.449023497331666</v>
      </c>
    </row>
    <row r="103" spans="1:10" x14ac:dyDescent="0.25">
      <c r="A103" s="82">
        <f>'A) Base RI'!A105</f>
        <v>5561</v>
      </c>
      <c r="B103" s="147" t="str">
        <f>'A) Base RI'!B105</f>
        <v>Grandson</v>
      </c>
      <c r="C103" s="158">
        <f>'B) D RI'!U105</f>
        <v>108535.21144927538</v>
      </c>
      <c r="D103" s="247">
        <f>'E) Fact soc'!G109/C103</f>
        <v>18.055685480528041</v>
      </c>
      <c r="E103" s="247">
        <f>'H) Péréquation directe'!I114/'H) Péréquation directe'!C114</f>
        <v>4.1753700595698797</v>
      </c>
      <c r="F103" s="242">
        <f>'I) Dépenses thématiques'!P103</f>
        <v>-5.3139805257536139</v>
      </c>
      <c r="G103" s="190">
        <f t="shared" si="7"/>
        <v>16.917075014344306</v>
      </c>
      <c r="H103" s="161">
        <f t="shared" si="4"/>
        <v>0</v>
      </c>
      <c r="I103" s="206">
        <f t="shared" si="6"/>
        <v>0</v>
      </c>
      <c r="J103" s="63">
        <f t="shared" si="5"/>
        <v>16.917075014344306</v>
      </c>
    </row>
    <row r="104" spans="1:10" x14ac:dyDescent="0.25">
      <c r="A104" s="82">
        <f>'A) Base RI'!A106</f>
        <v>5562</v>
      </c>
      <c r="B104" s="147" t="str">
        <f>'A) Base RI'!B106</f>
        <v>Mauborget</v>
      </c>
      <c r="C104" s="158">
        <f>'B) D RI'!U106</f>
        <v>3378.0009047619046</v>
      </c>
      <c r="D104" s="247">
        <f>'E) Fact soc'!G110/C104</f>
        <v>22.994169173633743</v>
      </c>
      <c r="E104" s="247">
        <f>'H) Péréquation directe'!I115/'H) Péréquation directe'!C115</f>
        <v>6.9559965839043318</v>
      </c>
      <c r="F104" s="242">
        <f>'I) Dépenses thématiques'!P104</f>
        <v>-4.5213131762250089</v>
      </c>
      <c r="G104" s="190">
        <f t="shared" si="7"/>
        <v>25.428852581313066</v>
      </c>
      <c r="H104" s="161">
        <f t="shared" si="4"/>
        <v>0</v>
      </c>
      <c r="I104" s="206">
        <f t="shared" si="6"/>
        <v>0</v>
      </c>
      <c r="J104" s="63">
        <f t="shared" si="5"/>
        <v>25.428852581313066</v>
      </c>
    </row>
    <row r="105" spans="1:10" x14ac:dyDescent="0.25">
      <c r="A105" s="82">
        <f>'A) Base RI'!A107</f>
        <v>5563</v>
      </c>
      <c r="B105" s="147" t="str">
        <f>'A) Base RI'!B107</f>
        <v>Mutrux</v>
      </c>
      <c r="C105" s="158">
        <f>'B) D RI'!U107</f>
        <v>3733.6552866242037</v>
      </c>
      <c r="D105" s="247">
        <f>'E) Fact soc'!G111/C105</f>
        <v>17.247773163337673</v>
      </c>
      <c r="E105" s="247">
        <f>'H) Péréquation directe'!I116/'H) Péréquation directe'!C116</f>
        <v>-3.8215799779045536</v>
      </c>
      <c r="F105" s="242">
        <f>'I) Dépenses thématiques'!P105</f>
        <v>-10.736663382827928</v>
      </c>
      <c r="G105" s="190">
        <f t="shared" si="7"/>
        <v>2.6895298026051915</v>
      </c>
      <c r="H105" s="161">
        <f t="shared" si="4"/>
        <v>0</v>
      </c>
      <c r="I105" s="206">
        <f t="shared" si="6"/>
        <v>0</v>
      </c>
      <c r="J105" s="63">
        <f t="shared" si="5"/>
        <v>2.6895298026051915</v>
      </c>
    </row>
    <row r="106" spans="1:10" x14ac:dyDescent="0.25">
      <c r="A106" s="82">
        <f>'A) Base RI'!A108</f>
        <v>5564</v>
      </c>
      <c r="B106" s="147" t="str">
        <f>'A) Base RI'!B108</f>
        <v>Novalles</v>
      </c>
      <c r="C106" s="158">
        <f>'B) D RI'!U108</f>
        <v>2399.5770723684213</v>
      </c>
      <c r="D106" s="247">
        <f>'E) Fact soc'!G112/C106</f>
        <v>18.299919500211345</v>
      </c>
      <c r="E106" s="247">
        <f>'H) Péréquation directe'!I117/'H) Péréquation directe'!C117</f>
        <v>-5.5489779287400527</v>
      </c>
      <c r="F106" s="242">
        <f>'I) Dépenses thématiques'!P106</f>
        <v>-3.6018847235730669</v>
      </c>
      <c r="G106" s="190">
        <f t="shared" si="7"/>
        <v>9.1490568478982262</v>
      </c>
      <c r="H106" s="161">
        <f t="shared" si="4"/>
        <v>0</v>
      </c>
      <c r="I106" s="206">
        <f t="shared" si="6"/>
        <v>0</v>
      </c>
      <c r="J106" s="63">
        <f t="shared" si="5"/>
        <v>9.1490568478982262</v>
      </c>
    </row>
    <row r="107" spans="1:10" x14ac:dyDescent="0.25">
      <c r="A107" s="82">
        <f>'A) Base RI'!A109</f>
        <v>5565</v>
      </c>
      <c r="B107" s="147" t="str">
        <f>'A) Base RI'!B109</f>
        <v>Onnens</v>
      </c>
      <c r="C107" s="158">
        <f>'B) D RI'!U109</f>
        <v>18028.040615384612</v>
      </c>
      <c r="D107" s="247">
        <f>'E) Fact soc'!G113/C107</f>
        <v>31.401775738190246</v>
      </c>
      <c r="E107" s="247">
        <f>'H) Péréquation directe'!I118/'H) Péréquation directe'!C118</f>
        <v>12.147160121819109</v>
      </c>
      <c r="F107" s="242">
        <f>'I) Dépenses thématiques'!P107</f>
        <v>-0.59424095100261942</v>
      </c>
      <c r="G107" s="190">
        <f t="shared" si="7"/>
        <v>42.954694909006733</v>
      </c>
      <c r="H107" s="161">
        <f t="shared" si="4"/>
        <v>0</v>
      </c>
      <c r="I107" s="206">
        <f t="shared" si="6"/>
        <v>0</v>
      </c>
      <c r="J107" s="63">
        <f t="shared" si="5"/>
        <v>42.954694909006733</v>
      </c>
    </row>
    <row r="108" spans="1:10" x14ac:dyDescent="0.25">
      <c r="A108" s="82">
        <f>'A) Base RI'!A110</f>
        <v>5566</v>
      </c>
      <c r="B108" s="147" t="str">
        <f>'A) Base RI'!B110</f>
        <v>Provence</v>
      </c>
      <c r="C108" s="158">
        <f>'B) D RI'!U110</f>
        <v>6953.5259259259255</v>
      </c>
      <c r="D108" s="247">
        <f>'E) Fact soc'!G114/C108</f>
        <v>18.003206907186289</v>
      </c>
      <c r="E108" s="247">
        <f>'H) Péréquation directe'!I119/'H) Péréquation directe'!C119</f>
        <v>-22.10348264108363</v>
      </c>
      <c r="F108" s="242">
        <f>'I) Dépenses thématiques'!P108</f>
        <v>-16.154538171947937</v>
      </c>
      <c r="G108" s="190">
        <f t="shared" si="7"/>
        <v>-20.254813905845278</v>
      </c>
      <c r="H108" s="161">
        <f t="shared" si="4"/>
        <v>0</v>
      </c>
      <c r="I108" s="206">
        <f t="shared" si="6"/>
        <v>0</v>
      </c>
      <c r="J108" s="63">
        <f t="shared" si="5"/>
        <v>-20.254813905845278</v>
      </c>
    </row>
    <row r="109" spans="1:10" x14ac:dyDescent="0.25">
      <c r="A109" s="82">
        <f>'A) Base RI'!A111</f>
        <v>5568</v>
      </c>
      <c r="B109" s="147" t="str">
        <f>'A) Base RI'!B111</f>
        <v>Sainte-Croix</v>
      </c>
      <c r="C109" s="158">
        <f>'B) D RI'!U111</f>
        <v>95577.709714285724</v>
      </c>
      <c r="D109" s="247">
        <f>'E) Fact soc'!G115/C109</f>
        <v>25.600470721478001</v>
      </c>
      <c r="E109" s="247">
        <f>'H) Péréquation directe'!I120/'H) Péréquation directe'!C120</f>
        <v>-21.702638482045302</v>
      </c>
      <c r="F109" s="242">
        <f>'I) Dépenses thématiques'!P109</f>
        <v>-9.2476896824813757</v>
      </c>
      <c r="G109" s="190">
        <f t="shared" si="7"/>
        <v>-5.3498574430486769</v>
      </c>
      <c r="H109" s="161">
        <f t="shared" si="4"/>
        <v>0</v>
      </c>
      <c r="I109" s="206">
        <f t="shared" si="6"/>
        <v>0</v>
      </c>
      <c r="J109" s="63">
        <f t="shared" si="5"/>
        <v>-5.3498574430486769</v>
      </c>
    </row>
    <row r="110" spans="1:10" x14ac:dyDescent="0.25">
      <c r="A110" s="82">
        <f>'A) Base RI'!A112</f>
        <v>5571</v>
      </c>
      <c r="B110" s="147" t="str">
        <f>'A) Base RI'!B112</f>
        <v>Tévenon</v>
      </c>
      <c r="C110" s="158">
        <f>'B) D RI'!U112</f>
        <v>19746.460639269408</v>
      </c>
      <c r="D110" s="247">
        <f>'E) Fact soc'!G116/C110</f>
        <v>18.538758436591113</v>
      </c>
      <c r="E110" s="247">
        <f>'H) Péréquation directe'!I121/'H) Péréquation directe'!C121</f>
        <v>0.12603199609857565</v>
      </c>
      <c r="F110" s="242">
        <f>'I) Dépenses thématiques'!P110</f>
        <v>-3.8175955365937977</v>
      </c>
      <c r="G110" s="190">
        <f t="shared" si="7"/>
        <v>14.847194896095891</v>
      </c>
      <c r="H110" s="161">
        <f t="shared" si="4"/>
        <v>0</v>
      </c>
      <c r="I110" s="206">
        <f t="shared" si="6"/>
        <v>0</v>
      </c>
      <c r="J110" s="63">
        <f t="shared" si="5"/>
        <v>14.847194896095891</v>
      </c>
    </row>
    <row r="111" spans="1:10" x14ac:dyDescent="0.25">
      <c r="A111" s="82">
        <f>'A) Base RI'!A113</f>
        <v>5581</v>
      </c>
      <c r="B111" s="147" t="str">
        <f>'A) Base RI'!B113</f>
        <v>Belmont-sur-Lausanne</v>
      </c>
      <c r="C111" s="158">
        <f>'B) D RI'!U113</f>
        <v>180220.53318944844</v>
      </c>
      <c r="D111" s="247">
        <f>'E) Fact soc'!G117/C111</f>
        <v>17.892860040742825</v>
      </c>
      <c r="E111" s="247">
        <f>'H) Péréquation directe'!I122/'H) Péréquation directe'!C122</f>
        <v>12.579881769724658</v>
      </c>
      <c r="F111" s="242">
        <f>'I) Dépenses thématiques'!P111</f>
        <v>-3.2084468388081215</v>
      </c>
      <c r="G111" s="190">
        <f t="shared" si="7"/>
        <v>27.264294971659361</v>
      </c>
      <c r="H111" s="161">
        <f t="shared" si="4"/>
        <v>0</v>
      </c>
      <c r="I111" s="206">
        <f t="shared" si="6"/>
        <v>0</v>
      </c>
      <c r="J111" s="63">
        <f t="shared" si="5"/>
        <v>27.264294971659361</v>
      </c>
    </row>
    <row r="112" spans="1:10" x14ac:dyDescent="0.25">
      <c r="A112" s="82">
        <f>'A) Base RI'!A114</f>
        <v>5582</v>
      </c>
      <c r="B112" s="147" t="str">
        <f>'A) Base RI'!B114</f>
        <v>Cheseaux-sur-Lausanne</v>
      </c>
      <c r="C112" s="158">
        <f>'B) D RI'!U114</f>
        <v>145388.39302013422</v>
      </c>
      <c r="D112" s="247">
        <f>'E) Fact soc'!G118/C112</f>
        <v>17.004988594252769</v>
      </c>
      <c r="E112" s="247">
        <f>'H) Péréquation directe'!I123/'H) Péréquation directe'!C123</f>
        <v>4.2459393268330636</v>
      </c>
      <c r="F112" s="242">
        <f>'I) Dépenses thématiques'!P112</f>
        <v>-1.4748976554841218</v>
      </c>
      <c r="G112" s="190">
        <f t="shared" si="7"/>
        <v>19.776030265601712</v>
      </c>
      <c r="H112" s="161">
        <f t="shared" si="4"/>
        <v>0</v>
      </c>
      <c r="I112" s="206">
        <f t="shared" si="6"/>
        <v>0</v>
      </c>
      <c r="J112" s="63">
        <f t="shared" si="5"/>
        <v>19.776030265601712</v>
      </c>
    </row>
    <row r="113" spans="1:10" x14ac:dyDescent="0.25">
      <c r="A113" s="82">
        <f>'A) Base RI'!A115</f>
        <v>5583</v>
      </c>
      <c r="B113" s="147" t="str">
        <f>'A) Base RI'!B115</f>
        <v>Crissier</v>
      </c>
      <c r="C113" s="158">
        <f>'B) D RI'!U115</f>
        <v>300610.54815384618</v>
      </c>
      <c r="D113" s="247">
        <f>'E) Fact soc'!G119/C113</f>
        <v>18.623447421516737</v>
      </c>
      <c r="E113" s="247">
        <f>'H) Péréquation directe'!I124/'H) Péréquation directe'!C124</f>
        <v>6.4093700516275769</v>
      </c>
      <c r="F113" s="242">
        <f>'I) Dépenses thématiques'!P113</f>
        <v>-6.6956632505453459</v>
      </c>
      <c r="G113" s="190">
        <f t="shared" si="7"/>
        <v>18.337154222598969</v>
      </c>
      <c r="H113" s="161">
        <f t="shared" si="4"/>
        <v>0</v>
      </c>
      <c r="I113" s="206">
        <f t="shared" si="6"/>
        <v>0</v>
      </c>
      <c r="J113" s="63">
        <f t="shared" si="5"/>
        <v>18.337154222598969</v>
      </c>
    </row>
    <row r="114" spans="1:10" x14ac:dyDescent="0.25">
      <c r="A114" s="82">
        <f>'A) Base RI'!A116</f>
        <v>5584</v>
      </c>
      <c r="B114" s="147" t="str">
        <f>'A) Base RI'!B116</f>
        <v>Epalinges</v>
      </c>
      <c r="C114" s="158">
        <f>'B) D RI'!U116</f>
        <v>461506.63590909087</v>
      </c>
      <c r="D114" s="247">
        <f>'E) Fact soc'!G120/C114</f>
        <v>16.974449035349636</v>
      </c>
      <c r="E114" s="247">
        <f>'H) Péréquation directe'!I125/'H) Péréquation directe'!C125</f>
        <v>9.5696717151212756</v>
      </c>
      <c r="F114" s="242">
        <f>'I) Dépenses thématiques'!P114</f>
        <v>-5.4457418473503116</v>
      </c>
      <c r="G114" s="190">
        <f t="shared" si="7"/>
        <v>21.098378903120597</v>
      </c>
      <c r="H114" s="161">
        <f t="shared" ref="H114:H168" si="8">IF(G114&gt;H$4,H$4-G114,0)</f>
        <v>0</v>
      </c>
      <c r="I114" s="206">
        <f t="shared" si="6"/>
        <v>0</v>
      </c>
      <c r="J114" s="63">
        <f t="shared" ref="J114:J168" si="9">G114+H114</f>
        <v>21.098378903120597</v>
      </c>
    </row>
    <row r="115" spans="1:10" x14ac:dyDescent="0.25">
      <c r="A115" s="82">
        <f>'A) Base RI'!A117</f>
        <v>5585</v>
      </c>
      <c r="B115" s="147" t="str">
        <f>'A) Base RI'!B117</f>
        <v>Jouxtens-Mézery</v>
      </c>
      <c r="C115" s="158">
        <f>'B) D RI'!U117</f>
        <v>191565.37515151518</v>
      </c>
      <c r="D115" s="247">
        <f>'E) Fact soc'!G121/C115</f>
        <v>28.783794807108723</v>
      </c>
      <c r="E115" s="247">
        <f>'H) Péréquation directe'!I126/'H) Péréquation directe'!C126</f>
        <v>16.777901149330791</v>
      </c>
      <c r="F115" s="242">
        <f>'I) Dépenses thématiques'!P115</f>
        <v>0</v>
      </c>
      <c r="G115" s="190">
        <f t="shared" si="7"/>
        <v>45.561695956439515</v>
      </c>
      <c r="H115" s="161">
        <f t="shared" si="8"/>
        <v>0</v>
      </c>
      <c r="I115" s="206">
        <f t="shared" si="6"/>
        <v>0</v>
      </c>
      <c r="J115" s="63">
        <f t="shared" si="9"/>
        <v>45.561695956439515</v>
      </c>
    </row>
    <row r="116" spans="1:10" x14ac:dyDescent="0.25">
      <c r="A116" s="82">
        <f>'A) Base RI'!A118</f>
        <v>5586</v>
      </c>
      <c r="B116" s="147" t="str">
        <f>'A) Base RI'!B118</f>
        <v>Lausanne</v>
      </c>
      <c r="C116" s="158">
        <f>'B) D RI'!U118</f>
        <v>6035853.3985654004</v>
      </c>
      <c r="D116" s="247">
        <f>'E) Fact soc'!G122/C116</f>
        <v>17.711347487481298</v>
      </c>
      <c r="E116" s="247">
        <f>'H) Péréquation directe'!I127/'H) Péréquation directe'!C127</f>
        <v>-3.6774264605690448</v>
      </c>
      <c r="F116" s="242">
        <f>'I) Dépenses thématiques'!P116</f>
        <v>-7.6976196955086751</v>
      </c>
      <c r="G116" s="190">
        <f t="shared" si="7"/>
        <v>6.3363013314035781</v>
      </c>
      <c r="H116" s="161">
        <f t="shared" si="8"/>
        <v>0</v>
      </c>
      <c r="I116" s="206">
        <f t="shared" ref="I116:I169" si="10">H116*C116</f>
        <v>0</v>
      </c>
      <c r="J116" s="63">
        <f t="shared" si="9"/>
        <v>6.3363013314035781</v>
      </c>
    </row>
    <row r="117" spans="1:10" x14ac:dyDescent="0.25">
      <c r="A117" s="82">
        <f>'A) Base RI'!A119</f>
        <v>5587</v>
      </c>
      <c r="B117" s="147" t="str">
        <f>'A) Base RI'!B119</f>
        <v>Le Mont-sur-Lausanne</v>
      </c>
      <c r="C117" s="158">
        <f>'B) D RI'!U119</f>
        <v>349051.38502222218</v>
      </c>
      <c r="D117" s="247">
        <f>'E) Fact soc'!G123/C117</f>
        <v>18.076940215681425</v>
      </c>
      <c r="E117" s="247">
        <f>'H) Péréquation directe'!I128/'H) Péréquation directe'!C128</f>
        <v>10.069462981148849</v>
      </c>
      <c r="F117" s="242">
        <f>'I) Dépenses thématiques'!P117</f>
        <v>-5.8504767138224922</v>
      </c>
      <c r="G117" s="190">
        <f t="shared" ref="G117:G170" si="11">SUM(D117:F117)</f>
        <v>22.295926483007783</v>
      </c>
      <c r="H117" s="161">
        <f t="shared" si="8"/>
        <v>0</v>
      </c>
      <c r="I117" s="206">
        <f t="shared" si="10"/>
        <v>0</v>
      </c>
      <c r="J117" s="63">
        <f t="shared" si="9"/>
        <v>22.295926483007783</v>
      </c>
    </row>
    <row r="118" spans="1:10" x14ac:dyDescent="0.25">
      <c r="A118" s="82">
        <f>'A) Base RI'!A120</f>
        <v>5588</v>
      </c>
      <c r="B118" s="147" t="str">
        <f>'A) Base RI'!B120</f>
        <v>Paudex</v>
      </c>
      <c r="C118" s="158">
        <f>'B) D RI'!U120</f>
        <v>152550.33605110337</v>
      </c>
      <c r="D118" s="247">
        <f>'E) Fact soc'!G124/C118</f>
        <v>25.338087443848185</v>
      </c>
      <c r="E118" s="247">
        <f>'H) Péréquation directe'!I129/'H) Péréquation directe'!C129</f>
        <v>16.388247797646539</v>
      </c>
      <c r="F118" s="242">
        <f>'I) Dépenses thématiques'!P118</f>
        <v>0</v>
      </c>
      <c r="G118" s="190">
        <f t="shared" si="11"/>
        <v>41.726335241494724</v>
      </c>
      <c r="H118" s="161">
        <f t="shared" si="8"/>
        <v>0</v>
      </c>
      <c r="I118" s="206">
        <f t="shared" si="10"/>
        <v>0</v>
      </c>
      <c r="J118" s="63">
        <f t="shared" si="9"/>
        <v>41.726335241494724</v>
      </c>
    </row>
    <row r="119" spans="1:10" x14ac:dyDescent="0.25">
      <c r="A119" s="82">
        <f>'A) Base RI'!A121</f>
        <v>5589</v>
      </c>
      <c r="B119" s="147" t="str">
        <f>'A) Base RI'!B121</f>
        <v>Prilly</v>
      </c>
      <c r="C119" s="158">
        <f>'B) D RI'!U121</f>
        <v>409964.00829931977</v>
      </c>
      <c r="D119" s="247">
        <f>'E) Fact soc'!G125/C119</f>
        <v>16.94202416127175</v>
      </c>
      <c r="E119" s="247">
        <f>'H) Péréquation directe'!I130/'H) Péréquation directe'!C130</f>
        <v>-3.2353907903456567</v>
      </c>
      <c r="F119" s="242">
        <f>'I) Dépenses thématiques'!P119</f>
        <v>-6.8568433889143048</v>
      </c>
      <c r="G119" s="190">
        <f t="shared" si="11"/>
        <v>6.8497899820117887</v>
      </c>
      <c r="H119" s="161">
        <f t="shared" si="8"/>
        <v>0</v>
      </c>
      <c r="I119" s="206">
        <f t="shared" si="10"/>
        <v>0</v>
      </c>
      <c r="J119" s="63">
        <f t="shared" si="9"/>
        <v>6.8497899820117887</v>
      </c>
    </row>
    <row r="120" spans="1:10" x14ac:dyDescent="0.25">
      <c r="A120" s="82">
        <f>'A) Base RI'!A122</f>
        <v>5590</v>
      </c>
      <c r="B120" s="147" t="str">
        <f>'A) Base RI'!B122</f>
        <v>Pully</v>
      </c>
      <c r="C120" s="158">
        <f>'B) D RI'!U122</f>
        <v>1412228.1927210884</v>
      </c>
      <c r="D120" s="247">
        <f>'E) Fact soc'!G126/C120</f>
        <v>24.888324104430261</v>
      </c>
      <c r="E120" s="247">
        <f>'H) Péréquation directe'!I131/'H) Péréquation directe'!C131</f>
        <v>8.4429598427966326</v>
      </c>
      <c r="F120" s="242">
        <f>'I) Dépenses thématiques'!P120</f>
        <v>-1.468252606983655</v>
      </c>
      <c r="G120" s="190">
        <f t="shared" si="11"/>
        <v>31.863031340243239</v>
      </c>
      <c r="H120" s="161">
        <f t="shared" si="8"/>
        <v>0</v>
      </c>
      <c r="I120" s="206">
        <f t="shared" si="10"/>
        <v>0</v>
      </c>
      <c r="J120" s="63">
        <f t="shared" si="9"/>
        <v>31.863031340243239</v>
      </c>
    </row>
    <row r="121" spans="1:10" x14ac:dyDescent="0.25">
      <c r="A121" s="82">
        <f>'A) Base RI'!A123</f>
        <v>5591</v>
      </c>
      <c r="B121" s="147" t="str">
        <f>'A) Base RI'!B123</f>
        <v>Renens</v>
      </c>
      <c r="C121" s="158">
        <f>'B) D RI'!U123</f>
        <v>507224.92132848047</v>
      </c>
      <c r="D121" s="247">
        <f>'E) Fact soc'!G127/C121</f>
        <v>19.237964392625152</v>
      </c>
      <c r="E121" s="247">
        <f>'H) Péréquation directe'!I132/'H) Péréquation directe'!C132</f>
        <v>-30.176793028504171</v>
      </c>
      <c r="F121" s="242">
        <f>'I) Dépenses thématiques'!P121</f>
        <v>-10.061246570128752</v>
      </c>
      <c r="G121" s="190">
        <f t="shared" si="11"/>
        <v>-21.000075206007772</v>
      </c>
      <c r="H121" s="161">
        <f t="shared" si="8"/>
        <v>0</v>
      </c>
      <c r="I121" s="206">
        <f t="shared" si="10"/>
        <v>0</v>
      </c>
      <c r="J121" s="63">
        <f t="shared" si="9"/>
        <v>-21.000075206007772</v>
      </c>
    </row>
    <row r="122" spans="1:10" x14ac:dyDescent="0.25">
      <c r="A122" s="82">
        <f>'A) Base RI'!A124</f>
        <v>5592</v>
      </c>
      <c r="B122" s="147" t="str">
        <f>'A) Base RI'!B124</f>
        <v>Romanel-sur-Lausanne</v>
      </c>
      <c r="C122" s="158">
        <f>'B) D RI'!U124</f>
        <v>115467.46028571429</v>
      </c>
      <c r="D122" s="247">
        <f>'E) Fact soc'!G128/C122</f>
        <v>17.557660888343616</v>
      </c>
      <c r="E122" s="247">
        <f>'H) Péréquation directe'!I133/'H) Péréquation directe'!C133</f>
        <v>5.5075914248961757</v>
      </c>
      <c r="F122" s="242">
        <f>'I) Dépenses thématiques'!P122</f>
        <v>-1.0978677428803187</v>
      </c>
      <c r="G122" s="190">
        <f t="shared" si="11"/>
        <v>21.967384570359474</v>
      </c>
      <c r="H122" s="161">
        <f t="shared" si="8"/>
        <v>0</v>
      </c>
      <c r="I122" s="206">
        <f t="shared" si="10"/>
        <v>0</v>
      </c>
      <c r="J122" s="63">
        <f t="shared" si="9"/>
        <v>21.967384570359474</v>
      </c>
    </row>
    <row r="123" spans="1:10" x14ac:dyDescent="0.25">
      <c r="A123" s="82">
        <f>'A) Base RI'!A125</f>
        <v>5601</v>
      </c>
      <c r="B123" s="147" t="str">
        <f>'A) Base RI'!B125</f>
        <v>Chexbres</v>
      </c>
      <c r="C123" s="158">
        <f>'B) D RI'!U125</f>
        <v>102004.96828125001</v>
      </c>
      <c r="D123" s="247">
        <f>'E) Fact soc'!G129/C123</f>
        <v>18.371135430675487</v>
      </c>
      <c r="E123" s="247">
        <f>'H) Péréquation directe'!I134/'H) Péréquation directe'!C134</f>
        <v>13.526723484640561</v>
      </c>
      <c r="F123" s="242">
        <f>'I) Dépenses thématiques'!P123</f>
        <v>-1.5535223692543272</v>
      </c>
      <c r="G123" s="190">
        <f t="shared" si="11"/>
        <v>30.344336546061722</v>
      </c>
      <c r="H123" s="161">
        <f t="shared" si="8"/>
        <v>0</v>
      </c>
      <c r="I123" s="206">
        <f t="shared" si="10"/>
        <v>0</v>
      </c>
      <c r="J123" s="63">
        <f t="shared" si="9"/>
        <v>30.344336546061722</v>
      </c>
    </row>
    <row r="124" spans="1:10" x14ac:dyDescent="0.25">
      <c r="A124" s="82">
        <f>'A) Base RI'!A126</f>
        <v>5604</v>
      </c>
      <c r="B124" s="147" t="str">
        <f>'A) Base RI'!B126</f>
        <v>Forel (Lavaux)</v>
      </c>
      <c r="C124" s="158">
        <f>'B) D RI'!U126</f>
        <v>73679.184999999969</v>
      </c>
      <c r="D124" s="247">
        <f>'E) Fact soc'!G130/C124</f>
        <v>17.129768128274783</v>
      </c>
      <c r="E124" s="247">
        <f>'H) Péréquation directe'!I135/'H) Péréquation directe'!C135</f>
        <v>8.0640211654050997</v>
      </c>
      <c r="F124" s="242">
        <f>'I) Dépenses thématiques'!P124</f>
        <v>-2.8202944970143209</v>
      </c>
      <c r="G124" s="190">
        <f t="shared" si="11"/>
        <v>22.373494796665565</v>
      </c>
      <c r="H124" s="161">
        <f t="shared" si="8"/>
        <v>0</v>
      </c>
      <c r="I124" s="206">
        <f t="shared" si="10"/>
        <v>0</v>
      </c>
      <c r="J124" s="63">
        <f t="shared" si="9"/>
        <v>22.373494796665565</v>
      </c>
    </row>
    <row r="125" spans="1:10" x14ac:dyDescent="0.25">
      <c r="A125" s="82">
        <f>'A) Base RI'!A127</f>
        <v>5606</v>
      </c>
      <c r="B125" s="147" t="str">
        <f>'A) Base RI'!B127</f>
        <v>Lutry</v>
      </c>
      <c r="C125" s="158">
        <f>'B) D RI'!U127</f>
        <v>810972.19494897977</v>
      </c>
      <c r="D125" s="247">
        <f>'E) Fact soc'!G131/C125</f>
        <v>24.061886577475111</v>
      </c>
      <c r="E125" s="247">
        <f>'H) Péréquation directe'!I136/'H) Péréquation directe'!C136</f>
        <v>11.73283799198879</v>
      </c>
      <c r="F125" s="242">
        <f>'I) Dépenses thématiques'!P125</f>
        <v>-2.1195845769661812</v>
      </c>
      <c r="G125" s="190">
        <f t="shared" si="11"/>
        <v>33.675139992497719</v>
      </c>
      <c r="H125" s="161">
        <f t="shared" si="8"/>
        <v>0</v>
      </c>
      <c r="I125" s="206">
        <f t="shared" si="10"/>
        <v>0</v>
      </c>
      <c r="J125" s="63">
        <f t="shared" si="9"/>
        <v>33.675139992497719</v>
      </c>
    </row>
    <row r="126" spans="1:10" x14ac:dyDescent="0.25">
      <c r="A126" s="82">
        <f>'A) Base RI'!A128</f>
        <v>5607</v>
      </c>
      <c r="B126" s="147" t="str">
        <f>'A) Base RI'!B128</f>
        <v>Puidoux</v>
      </c>
      <c r="C126" s="158">
        <f>'B) D RI'!U128</f>
        <v>102046.9552557545</v>
      </c>
      <c r="D126" s="247">
        <f>'E) Fact soc'!G132/C126</f>
        <v>17.920647931943044</v>
      </c>
      <c r="E126" s="247">
        <f>'H) Péréquation directe'!I137/'H) Péréquation directe'!C137</f>
        <v>7.4926818677044258</v>
      </c>
      <c r="F126" s="242">
        <f>'I) Dépenses thématiques'!P126</f>
        <v>-5.4264921340587797</v>
      </c>
      <c r="G126" s="190">
        <f t="shared" si="11"/>
        <v>19.986837665588691</v>
      </c>
      <c r="H126" s="161">
        <f t="shared" si="8"/>
        <v>0</v>
      </c>
      <c r="I126" s="206">
        <f t="shared" si="10"/>
        <v>0</v>
      </c>
      <c r="J126" s="63">
        <f t="shared" si="9"/>
        <v>19.986837665588691</v>
      </c>
    </row>
    <row r="127" spans="1:10" x14ac:dyDescent="0.25">
      <c r="A127" s="82">
        <f>'A) Base RI'!A129</f>
        <v>5609</v>
      </c>
      <c r="B127" s="147" t="str">
        <f>'A) Base RI'!B129</f>
        <v>Rivaz</v>
      </c>
      <c r="C127" s="158">
        <f>'B) D RI'!U129</f>
        <v>17457.580472440943</v>
      </c>
      <c r="D127" s="247">
        <f>'E) Fact soc'!G133/C127</f>
        <v>16.119319366601246</v>
      </c>
      <c r="E127" s="247">
        <f>'H) Péréquation directe'!I138/'H) Péréquation directe'!C138</f>
        <v>16.579674397429827</v>
      </c>
      <c r="F127" s="242">
        <f>'I) Dépenses thématiques'!P127</f>
        <v>-4.0269039636378977E-2</v>
      </c>
      <c r="G127" s="190">
        <f t="shared" si="11"/>
        <v>32.658724724394695</v>
      </c>
      <c r="H127" s="161">
        <f t="shared" si="8"/>
        <v>0</v>
      </c>
      <c r="I127" s="206">
        <f t="shared" si="10"/>
        <v>0</v>
      </c>
      <c r="J127" s="63">
        <f t="shared" si="9"/>
        <v>32.658724724394695</v>
      </c>
    </row>
    <row r="128" spans="1:10" x14ac:dyDescent="0.25">
      <c r="A128" s="82">
        <f>'A) Base RI'!A130</f>
        <v>5610</v>
      </c>
      <c r="B128" s="147" t="str">
        <f>'A) Base RI'!B130</f>
        <v>St-Saphorin (Lavaux)</v>
      </c>
      <c r="C128" s="158">
        <f>'B) D RI'!U130</f>
        <v>20355.755166666662</v>
      </c>
      <c r="D128" s="247">
        <f>'E) Fact soc'!G134/C128</f>
        <v>16.503102292906966</v>
      </c>
      <c r="E128" s="247">
        <f>'H) Péréquation directe'!I139/'H) Péréquation directe'!C139</f>
        <v>16.698913757649755</v>
      </c>
      <c r="F128" s="242">
        <f>'I) Dépenses thématiques'!P128</f>
        <v>-1.9582176968444742</v>
      </c>
      <c r="G128" s="190">
        <f t="shared" si="11"/>
        <v>31.243798353712247</v>
      </c>
      <c r="H128" s="161">
        <f t="shared" si="8"/>
        <v>0</v>
      </c>
      <c r="I128" s="206">
        <f t="shared" si="10"/>
        <v>0</v>
      </c>
      <c r="J128" s="63">
        <f t="shared" si="9"/>
        <v>31.243798353712247</v>
      </c>
    </row>
    <row r="129" spans="1:10" x14ac:dyDescent="0.25">
      <c r="A129" s="82">
        <f>'A) Base RI'!A131</f>
        <v>5611</v>
      </c>
      <c r="B129" s="147" t="str">
        <f>'A) Base RI'!B131</f>
        <v>Savigny</v>
      </c>
      <c r="C129" s="158">
        <f>'B) D RI'!U131</f>
        <v>133649.01597014922</v>
      </c>
      <c r="D129" s="247">
        <f>'E) Fact soc'!G135/C129</f>
        <v>16.414153952174054</v>
      </c>
      <c r="E129" s="247">
        <f>'H) Péréquation directe'!I140/'H) Péréquation directe'!C140</f>
        <v>9.9297301589537348</v>
      </c>
      <c r="F129" s="242">
        <f>'I) Dépenses thématiques'!P129</f>
        <v>-3.2039816895894044</v>
      </c>
      <c r="G129" s="190">
        <f t="shared" si="11"/>
        <v>23.139902421538384</v>
      </c>
      <c r="H129" s="161">
        <f t="shared" si="8"/>
        <v>0</v>
      </c>
      <c r="I129" s="206">
        <f t="shared" si="10"/>
        <v>0</v>
      </c>
      <c r="J129" s="63">
        <f t="shared" si="9"/>
        <v>23.139902421538384</v>
      </c>
    </row>
    <row r="130" spans="1:10" x14ac:dyDescent="0.25">
      <c r="A130" s="82">
        <f>'A) Base RI'!A132</f>
        <v>5613</v>
      </c>
      <c r="B130" s="147" t="str">
        <f>'A) Base RI'!B132</f>
        <v>Bourg-en-Lavaux</v>
      </c>
      <c r="C130" s="158">
        <f>'B) D RI'!U132</f>
        <v>319171.56765027321</v>
      </c>
      <c r="D130" s="247">
        <f>'E) Fact soc'!G136/C130</f>
        <v>19.084217152969671</v>
      </c>
      <c r="E130" s="247">
        <f>'H) Péréquation directe'!I141/'H) Péréquation directe'!C141</f>
        <v>12.339413552466103</v>
      </c>
      <c r="F130" s="242">
        <f>'I) Dépenses thématiques'!P130</f>
        <v>-0.55851986829964717</v>
      </c>
      <c r="G130" s="190">
        <f t="shared" si="11"/>
        <v>30.865110837136129</v>
      </c>
      <c r="H130" s="161">
        <f t="shared" si="8"/>
        <v>0</v>
      </c>
      <c r="I130" s="206">
        <f t="shared" si="10"/>
        <v>0</v>
      </c>
      <c r="J130" s="63">
        <f t="shared" si="9"/>
        <v>30.865110837136129</v>
      </c>
    </row>
    <row r="131" spans="1:10" x14ac:dyDescent="0.25">
      <c r="A131" s="82">
        <f>'A) Base RI'!A133</f>
        <v>5621</v>
      </c>
      <c r="B131" s="147" t="str">
        <f>'A) Base RI'!B133</f>
        <v>Aclens</v>
      </c>
      <c r="C131" s="158">
        <f>'B) D RI'!U133</f>
        <v>40747.294721407634</v>
      </c>
      <c r="D131" s="247">
        <f>'E) Fact soc'!G137/C131</f>
        <v>21.524953125604373</v>
      </c>
      <c r="E131" s="247">
        <f>'H) Péréquation directe'!I142/'H) Péréquation directe'!C142</f>
        <v>17.078310239906372</v>
      </c>
      <c r="F131" s="242">
        <f>'I) Dépenses thématiques'!P131</f>
        <v>0</v>
      </c>
      <c r="G131" s="190">
        <f t="shared" si="11"/>
        <v>38.603263365510742</v>
      </c>
      <c r="H131" s="161">
        <f t="shared" si="8"/>
        <v>0</v>
      </c>
      <c r="I131" s="206">
        <f t="shared" si="10"/>
        <v>0</v>
      </c>
      <c r="J131" s="63">
        <f t="shared" si="9"/>
        <v>38.603263365510742</v>
      </c>
    </row>
    <row r="132" spans="1:10" x14ac:dyDescent="0.25">
      <c r="A132" s="82">
        <f>'A) Base RI'!A134</f>
        <v>5622</v>
      </c>
      <c r="B132" s="147" t="str">
        <f>'A) Base RI'!B134</f>
        <v>Bremblens</v>
      </c>
      <c r="C132" s="158">
        <f>'B) D RI'!U134</f>
        <v>25805.300909090911</v>
      </c>
      <c r="D132" s="247">
        <f>'E) Fact soc'!G138/C132</f>
        <v>16.939208139917294</v>
      </c>
      <c r="E132" s="247">
        <f>'H) Péréquation directe'!I143/'H) Péréquation directe'!C143</f>
        <v>16.637666869784436</v>
      </c>
      <c r="F132" s="242">
        <f>'I) Dépenses thématiques'!P132</f>
        <v>0</v>
      </c>
      <c r="G132" s="190">
        <f t="shared" si="11"/>
        <v>33.57687500970173</v>
      </c>
      <c r="H132" s="161">
        <f t="shared" si="8"/>
        <v>0</v>
      </c>
      <c r="I132" s="206">
        <f t="shared" si="10"/>
        <v>0</v>
      </c>
      <c r="J132" s="63">
        <f t="shared" si="9"/>
        <v>33.57687500970173</v>
      </c>
    </row>
    <row r="133" spans="1:10" x14ac:dyDescent="0.25">
      <c r="A133" s="82">
        <f>'A) Base RI'!A135</f>
        <v>5623</v>
      </c>
      <c r="B133" s="147" t="str">
        <f>'A) Base RI'!B135</f>
        <v>Buchillon</v>
      </c>
      <c r="C133" s="158">
        <f>'B) D RI'!U135</f>
        <v>91715.647358490576</v>
      </c>
      <c r="D133" s="247">
        <f>'E) Fact soc'!G139/C133</f>
        <v>28.613423635494577</v>
      </c>
      <c r="E133" s="247">
        <f>'H) Péréquation directe'!I144/'H) Péréquation directe'!C144</f>
        <v>17.559939658163355</v>
      </c>
      <c r="F133" s="242">
        <f>'I) Dépenses thématiques'!P133</f>
        <v>0</v>
      </c>
      <c r="G133" s="190">
        <f t="shared" si="11"/>
        <v>46.173363293657928</v>
      </c>
      <c r="H133" s="161">
        <f t="shared" si="8"/>
        <v>0</v>
      </c>
      <c r="I133" s="206">
        <f t="shared" si="10"/>
        <v>0</v>
      </c>
      <c r="J133" s="63">
        <f t="shared" si="9"/>
        <v>46.173363293657928</v>
      </c>
    </row>
    <row r="134" spans="1:10" x14ac:dyDescent="0.25">
      <c r="A134" s="82">
        <f>'A) Base RI'!A136</f>
        <v>5624</v>
      </c>
      <c r="B134" s="147" t="str">
        <f>'A) Base RI'!B136</f>
        <v>Bussigny</v>
      </c>
      <c r="C134" s="158">
        <f>'B) D RI'!U136</f>
        <v>356632.38967741939</v>
      </c>
      <c r="D134" s="247">
        <f>'E) Fact soc'!G140/C134</f>
        <v>17.330849989581399</v>
      </c>
      <c r="E134" s="247">
        <f>'H) Péréquation directe'!I145/'H) Péréquation directe'!C145</f>
        <v>7.9684925344100632</v>
      </c>
      <c r="F134" s="242">
        <f>'I) Dépenses thématiques'!P134</f>
        <v>-3.1038908187819256</v>
      </c>
      <c r="G134" s="190">
        <f t="shared" si="11"/>
        <v>22.195451705209535</v>
      </c>
      <c r="H134" s="161">
        <f t="shared" si="8"/>
        <v>0</v>
      </c>
      <c r="I134" s="206">
        <f t="shared" si="10"/>
        <v>0</v>
      </c>
      <c r="J134" s="63">
        <f t="shared" si="9"/>
        <v>22.195451705209535</v>
      </c>
    </row>
    <row r="135" spans="1:10" x14ac:dyDescent="0.25">
      <c r="A135" s="82">
        <f>'A) Base RI'!A137</f>
        <v>5625</v>
      </c>
      <c r="B135" s="147" t="str">
        <f>'A) Base RI'!B137</f>
        <v>Bussy-Chardonney</v>
      </c>
      <c r="C135" s="158">
        <f>'B) D RI'!U137</f>
        <v>13870.18990740741</v>
      </c>
      <c r="D135" s="247">
        <f>'E) Fact soc'!G141/C135</f>
        <v>15.206001116586286</v>
      </c>
      <c r="E135" s="247">
        <f>'H) Péréquation directe'!I146/'H) Péréquation directe'!C146</f>
        <v>11.081951014264405</v>
      </c>
      <c r="F135" s="242">
        <f>'I) Dépenses thématiques'!P135</f>
        <v>-2.2983823734796118</v>
      </c>
      <c r="G135" s="190">
        <f t="shared" si="11"/>
        <v>23.989569757371079</v>
      </c>
      <c r="H135" s="161">
        <f t="shared" si="8"/>
        <v>0</v>
      </c>
      <c r="I135" s="206">
        <f t="shared" si="10"/>
        <v>0</v>
      </c>
      <c r="J135" s="63">
        <f t="shared" si="9"/>
        <v>23.989569757371079</v>
      </c>
    </row>
    <row r="136" spans="1:10" x14ac:dyDescent="0.25">
      <c r="A136" s="82">
        <f>'A) Base RI'!A138</f>
        <v>5627</v>
      </c>
      <c r="B136" s="147" t="str">
        <f>'A) Base RI'!B138</f>
        <v>Chavannes-près-Renens</v>
      </c>
      <c r="C136" s="158">
        <f>'B) D RI'!U138</f>
        <v>170689.33978902953</v>
      </c>
      <c r="D136" s="247">
        <f>'E) Fact soc'!G142/C136</f>
        <v>16.732489945027393</v>
      </c>
      <c r="E136" s="247">
        <f>'H) Péréquation directe'!I147/'H) Péréquation directe'!C147</f>
        <v>-20.514140954381201</v>
      </c>
      <c r="F136" s="242">
        <f>'I) Dépenses thématiques'!P136</f>
        <v>-6.4408064461367065</v>
      </c>
      <c r="G136" s="190">
        <f t="shared" si="11"/>
        <v>-10.222457455490515</v>
      </c>
      <c r="H136" s="161">
        <f t="shared" si="8"/>
        <v>0</v>
      </c>
      <c r="I136" s="206">
        <f t="shared" si="10"/>
        <v>0</v>
      </c>
      <c r="J136" s="63">
        <f t="shared" si="9"/>
        <v>-10.222457455490515</v>
      </c>
    </row>
    <row r="137" spans="1:10" x14ac:dyDescent="0.25">
      <c r="A137" s="82">
        <f>'A) Base RI'!A139</f>
        <v>5628</v>
      </c>
      <c r="B137" s="147" t="str">
        <f>'A) Base RI'!B139</f>
        <v>Chigny</v>
      </c>
      <c r="C137" s="158">
        <f>'B) D RI'!U139</f>
        <v>19182.221249999991</v>
      </c>
      <c r="D137" s="247">
        <f>'E) Fact soc'!G143/C137</f>
        <v>16.190787259700784</v>
      </c>
      <c r="E137" s="247">
        <f>'H) Péréquation directe'!I148/'H) Péréquation directe'!C148</f>
        <v>16.803906340094933</v>
      </c>
      <c r="F137" s="242">
        <f>'I) Dépenses thématiques'!P137</f>
        <v>0</v>
      </c>
      <c r="G137" s="190">
        <f t="shared" si="11"/>
        <v>32.994693599795717</v>
      </c>
      <c r="H137" s="161">
        <f t="shared" si="8"/>
        <v>0</v>
      </c>
      <c r="I137" s="206">
        <f t="shared" si="10"/>
        <v>0</v>
      </c>
      <c r="J137" s="63">
        <f t="shared" si="9"/>
        <v>32.994693599795717</v>
      </c>
    </row>
    <row r="138" spans="1:10" x14ac:dyDescent="0.25">
      <c r="A138" s="82">
        <f>'A) Base RI'!A140</f>
        <v>5629</v>
      </c>
      <c r="B138" s="147" t="str">
        <f>'A) Base RI'!B140</f>
        <v>Clarmont</v>
      </c>
      <c r="C138" s="158">
        <f>'B) D RI'!U140</f>
        <v>7795.3318666666655</v>
      </c>
      <c r="D138" s="247">
        <f>'E) Fact soc'!G144/C138</f>
        <v>16.531912614083392</v>
      </c>
      <c r="E138" s="247">
        <f>'H) Péréquation directe'!I149/'H) Péréquation directe'!C149</f>
        <v>16.567479384970039</v>
      </c>
      <c r="F138" s="242">
        <f>'I) Dépenses thématiques'!P138</f>
        <v>-9.4961960909630907</v>
      </c>
      <c r="G138" s="190">
        <f t="shared" si="11"/>
        <v>23.603195908090342</v>
      </c>
      <c r="H138" s="161">
        <f t="shared" si="8"/>
        <v>0</v>
      </c>
      <c r="I138" s="206">
        <f t="shared" si="10"/>
        <v>0</v>
      </c>
      <c r="J138" s="63">
        <f t="shared" si="9"/>
        <v>23.603195908090342</v>
      </c>
    </row>
    <row r="139" spans="1:10" x14ac:dyDescent="0.25">
      <c r="A139" s="82">
        <f>'A) Base RI'!A141</f>
        <v>5631</v>
      </c>
      <c r="B139" s="147" t="str">
        <f>'A) Base RI'!B141</f>
        <v>Denens</v>
      </c>
      <c r="C139" s="158">
        <f>'B) D RI'!U141</f>
        <v>35350.552500000005</v>
      </c>
      <c r="D139" s="247">
        <f>'E) Fact soc'!G145/C139</f>
        <v>16.777866856101127</v>
      </c>
      <c r="E139" s="247">
        <f>'H) Péréquation directe'!I150/'H) Péréquation directe'!C150</f>
        <v>16.578552768022504</v>
      </c>
      <c r="F139" s="242">
        <f>'I) Dépenses thématiques'!P139</f>
        <v>0</v>
      </c>
      <c r="G139" s="190">
        <f t="shared" si="11"/>
        <v>33.356419624123632</v>
      </c>
      <c r="H139" s="161">
        <f t="shared" si="8"/>
        <v>0</v>
      </c>
      <c r="I139" s="206">
        <f t="shared" si="10"/>
        <v>0</v>
      </c>
      <c r="J139" s="63">
        <f t="shared" si="9"/>
        <v>33.356419624123632</v>
      </c>
    </row>
    <row r="140" spans="1:10" x14ac:dyDescent="0.25">
      <c r="A140" s="82">
        <f>'A) Base RI'!A142</f>
        <v>5632</v>
      </c>
      <c r="B140" s="147" t="str">
        <f>'A) Base RI'!B142</f>
        <v>Denges</v>
      </c>
      <c r="C140" s="158">
        <f>'B) D RI'!U142</f>
        <v>61597.331370967739</v>
      </c>
      <c r="D140" s="247">
        <f>'E) Fact soc'!G146/C140</f>
        <v>18.586259430840794</v>
      </c>
      <c r="E140" s="247">
        <f>'H) Péréquation directe'!I151/'H) Péréquation directe'!C151</f>
        <v>11.196691479867177</v>
      </c>
      <c r="F140" s="242">
        <f>'I) Dépenses thématiques'!P140</f>
        <v>-1.7557416464793985</v>
      </c>
      <c r="G140" s="190">
        <f t="shared" si="11"/>
        <v>28.027209264228574</v>
      </c>
      <c r="H140" s="161">
        <f t="shared" si="8"/>
        <v>0</v>
      </c>
      <c r="I140" s="206">
        <f t="shared" si="10"/>
        <v>0</v>
      </c>
      <c r="J140" s="63">
        <f t="shared" si="9"/>
        <v>28.027209264228574</v>
      </c>
    </row>
    <row r="141" spans="1:10" x14ac:dyDescent="0.25">
      <c r="A141" s="82">
        <f>'A) Base RI'!A143</f>
        <v>5633</v>
      </c>
      <c r="B141" s="147" t="str">
        <f>'A) Base RI'!B143</f>
        <v>Echandens</v>
      </c>
      <c r="C141" s="158">
        <f>'B) D RI'!U143</f>
        <v>124899.1516129032</v>
      </c>
      <c r="D141" s="247">
        <f>'E) Fact soc'!G147/C141</f>
        <v>17.24776704453847</v>
      </c>
      <c r="E141" s="247">
        <f>'H) Péréquation directe'!I152/'H) Péréquation directe'!C152</f>
        <v>13.818068239157702</v>
      </c>
      <c r="F141" s="242">
        <f>'I) Dépenses thématiques'!P141</f>
        <v>-2.619641492954691</v>
      </c>
      <c r="G141" s="190">
        <f t="shared" si="11"/>
        <v>28.446193790741482</v>
      </c>
      <c r="H141" s="161">
        <f t="shared" si="8"/>
        <v>0</v>
      </c>
      <c r="I141" s="206">
        <f t="shared" si="10"/>
        <v>0</v>
      </c>
      <c r="J141" s="63">
        <f t="shared" si="9"/>
        <v>28.446193790741482</v>
      </c>
    </row>
    <row r="142" spans="1:10" x14ac:dyDescent="0.25">
      <c r="A142" s="82">
        <f>'A) Base RI'!A144</f>
        <v>5634</v>
      </c>
      <c r="B142" s="147" t="str">
        <f>'A) Base RI'!B144</f>
        <v>Echichens</v>
      </c>
      <c r="C142" s="158">
        <f>'B) D RI'!U144</f>
        <v>128757.51117647058</v>
      </c>
      <c r="D142" s="247">
        <f>'E) Fact soc'!G148/C142</f>
        <v>17.066929629133092</v>
      </c>
      <c r="E142" s="247">
        <f>'H) Péréquation directe'!I153/'H) Péréquation directe'!C153</f>
        <v>13.511522427733274</v>
      </c>
      <c r="F142" s="242">
        <f>'I) Dépenses thématiques'!P142</f>
        <v>0</v>
      </c>
      <c r="G142" s="190">
        <f t="shared" si="11"/>
        <v>30.578452056866368</v>
      </c>
      <c r="H142" s="161">
        <f t="shared" si="8"/>
        <v>0</v>
      </c>
      <c r="I142" s="206">
        <f t="shared" si="10"/>
        <v>0</v>
      </c>
      <c r="J142" s="63">
        <f t="shared" si="9"/>
        <v>30.578452056866368</v>
      </c>
    </row>
    <row r="143" spans="1:10" x14ac:dyDescent="0.25">
      <c r="A143" s="82">
        <f>'A) Base RI'!A145</f>
        <v>5635</v>
      </c>
      <c r="B143" s="147" t="str">
        <f>'A) Base RI'!B145</f>
        <v>Ecublens</v>
      </c>
      <c r="C143" s="158">
        <f>'B) D RI'!U145</f>
        <v>456934.05313242786</v>
      </c>
      <c r="D143" s="247">
        <f>'E) Fact soc'!G149/C143</f>
        <v>18.158556163584215</v>
      </c>
      <c r="E143" s="247">
        <f>'H) Péréquation directe'!I154/'H) Péréquation directe'!C154</f>
        <v>0.8017607701257693</v>
      </c>
      <c r="F143" s="242">
        <f>'I) Dépenses thématiques'!P143</f>
        <v>-5.1023314721617155</v>
      </c>
      <c r="G143" s="190">
        <f t="shared" si="11"/>
        <v>13.857985461548271</v>
      </c>
      <c r="H143" s="161">
        <f t="shared" si="8"/>
        <v>0</v>
      </c>
      <c r="I143" s="206">
        <f t="shared" si="10"/>
        <v>0</v>
      </c>
      <c r="J143" s="63">
        <f t="shared" si="9"/>
        <v>13.857985461548271</v>
      </c>
    </row>
    <row r="144" spans="1:10" x14ac:dyDescent="0.25">
      <c r="A144" s="82">
        <f>'A) Base RI'!A146</f>
        <v>5636</v>
      </c>
      <c r="B144" s="147" t="str">
        <f>'A) Base RI'!B146</f>
        <v>Etoy</v>
      </c>
      <c r="C144" s="158">
        <f>'B) D RI'!U146</f>
        <v>141771.26016393444</v>
      </c>
      <c r="D144" s="247">
        <f>'E) Fact soc'!G150/C144</f>
        <v>19.117127796342846</v>
      </c>
      <c r="E144" s="247">
        <f>'H) Péréquation directe'!I155/'H) Péréquation directe'!C155</f>
        <v>13.184562215491322</v>
      </c>
      <c r="F144" s="242">
        <f>'I) Dépenses thématiques'!P144</f>
        <v>-1.8009926673766974</v>
      </c>
      <c r="G144" s="190">
        <f t="shared" si="11"/>
        <v>30.500697344457471</v>
      </c>
      <c r="H144" s="161">
        <f t="shared" si="8"/>
        <v>0</v>
      </c>
      <c r="I144" s="206">
        <f t="shared" si="10"/>
        <v>0</v>
      </c>
      <c r="J144" s="63">
        <f t="shared" si="9"/>
        <v>30.500697344457471</v>
      </c>
    </row>
    <row r="145" spans="1:10" x14ac:dyDescent="0.25">
      <c r="A145" s="82">
        <f>'A) Base RI'!A147</f>
        <v>5637</v>
      </c>
      <c r="B145" s="147" t="str">
        <f>'A) Base RI'!B147</f>
        <v>Lavigny</v>
      </c>
      <c r="C145" s="158">
        <f>'B) D RI'!U147</f>
        <v>30305.948814317679</v>
      </c>
      <c r="D145" s="247">
        <f>'E) Fact soc'!G151/C145</f>
        <v>19.308727966467622</v>
      </c>
      <c r="E145" s="247">
        <f>'H) Péréquation directe'!I156/'H) Péréquation directe'!C156</f>
        <v>7.8532151957307441</v>
      </c>
      <c r="F145" s="242">
        <f>'I) Dépenses thématiques'!P145</f>
        <v>-1.1835300131918192</v>
      </c>
      <c r="G145" s="190">
        <f t="shared" si="11"/>
        <v>25.978413149006546</v>
      </c>
      <c r="H145" s="161">
        <f t="shared" si="8"/>
        <v>0</v>
      </c>
      <c r="I145" s="206">
        <f t="shared" si="10"/>
        <v>0</v>
      </c>
      <c r="J145" s="63">
        <f t="shared" si="9"/>
        <v>25.978413149006546</v>
      </c>
    </row>
    <row r="146" spans="1:10" x14ac:dyDescent="0.25">
      <c r="A146" s="82">
        <f>'A) Base RI'!A148</f>
        <v>5638</v>
      </c>
      <c r="B146" s="147" t="str">
        <f>'A) Base RI'!B148</f>
        <v>Lonay</v>
      </c>
      <c r="C146" s="158">
        <f>'B) D RI'!U148</f>
        <v>131856.2218181818</v>
      </c>
      <c r="D146" s="247">
        <f>'E) Fact soc'!G152/C146</f>
        <v>23.945879633772385</v>
      </c>
      <c r="E146" s="247">
        <f>'H) Péréquation directe'!I157/'H) Péréquation directe'!C157</f>
        <v>13.794646736565209</v>
      </c>
      <c r="F146" s="242">
        <f>'I) Dépenses thématiques'!P146</f>
        <v>-3.026531433232468</v>
      </c>
      <c r="G146" s="190">
        <f t="shared" si="11"/>
        <v>34.71399493710512</v>
      </c>
      <c r="H146" s="161">
        <f t="shared" si="8"/>
        <v>0</v>
      </c>
      <c r="I146" s="206">
        <f t="shared" si="10"/>
        <v>0</v>
      </c>
      <c r="J146" s="63">
        <f t="shared" si="9"/>
        <v>34.71399493710512</v>
      </c>
    </row>
    <row r="147" spans="1:10" x14ac:dyDescent="0.25">
      <c r="A147" s="82">
        <f>'A) Base RI'!A149</f>
        <v>5639</v>
      </c>
      <c r="B147" s="147" t="str">
        <f>'A) Base RI'!B149</f>
        <v>Lully</v>
      </c>
      <c r="C147" s="158">
        <f>'B) D RI'!U149</f>
        <v>41983.035245901636</v>
      </c>
      <c r="D147" s="247">
        <f>'E) Fact soc'!G153/C147</f>
        <v>16.192044594685825</v>
      </c>
      <c r="E147" s="247">
        <f>'H) Péréquation directe'!I158/'H) Péréquation directe'!C158</f>
        <v>16.736117240798848</v>
      </c>
      <c r="F147" s="242">
        <f>'I) Dépenses thématiques'!P147</f>
        <v>0</v>
      </c>
      <c r="G147" s="190">
        <f t="shared" si="11"/>
        <v>32.928161835484673</v>
      </c>
      <c r="H147" s="161">
        <f t="shared" si="8"/>
        <v>0</v>
      </c>
      <c r="I147" s="206">
        <f t="shared" si="10"/>
        <v>0</v>
      </c>
      <c r="J147" s="63">
        <f t="shared" si="9"/>
        <v>32.928161835484673</v>
      </c>
    </row>
    <row r="148" spans="1:10" x14ac:dyDescent="0.25">
      <c r="A148" s="82">
        <f>'A) Base RI'!A150</f>
        <v>5640</v>
      </c>
      <c r="B148" s="147" t="str">
        <f>'A) Base RI'!B150</f>
        <v>Lussy-sur-Morges</v>
      </c>
      <c r="C148" s="158">
        <f>'B) D RI'!U150</f>
        <v>50734.215909090912</v>
      </c>
      <c r="D148" s="247">
        <f>'E) Fact soc'!G154/C148</f>
        <v>22.908779067346018</v>
      </c>
      <c r="E148" s="247">
        <f>'H) Péréquation directe'!I159/'H) Péréquation directe'!C159</f>
        <v>17.100993858170035</v>
      </c>
      <c r="F148" s="242">
        <f>'I) Dépenses thématiques'!P148</f>
        <v>0</v>
      </c>
      <c r="G148" s="190">
        <f t="shared" si="11"/>
        <v>40.009772925516053</v>
      </c>
      <c r="H148" s="161">
        <f t="shared" si="8"/>
        <v>0</v>
      </c>
      <c r="I148" s="206">
        <f t="shared" si="10"/>
        <v>0</v>
      </c>
      <c r="J148" s="63">
        <f t="shared" si="9"/>
        <v>40.009772925516053</v>
      </c>
    </row>
    <row r="149" spans="1:10" x14ac:dyDescent="0.25">
      <c r="A149" s="82">
        <f>'A) Base RI'!A151</f>
        <v>5642</v>
      </c>
      <c r="B149" s="147" t="str">
        <f>'A) Base RI'!B151</f>
        <v>Morges</v>
      </c>
      <c r="C149" s="158">
        <f>'B) D RI'!U151</f>
        <v>722363.52321167884</v>
      </c>
      <c r="D149" s="247">
        <f>'E) Fact soc'!G155/C149</f>
        <v>18.547930245513331</v>
      </c>
      <c r="E149" s="247">
        <f>'H) Péréquation directe'!I160/'H) Péréquation directe'!C160</f>
        <v>4.4756537340446503</v>
      </c>
      <c r="F149" s="242">
        <f>'I) Dépenses thématiques'!P149</f>
        <v>-1.891938000860983</v>
      </c>
      <c r="G149" s="190">
        <f t="shared" si="11"/>
        <v>21.131645978697001</v>
      </c>
      <c r="H149" s="161">
        <f t="shared" si="8"/>
        <v>0</v>
      </c>
      <c r="I149" s="206">
        <f t="shared" si="10"/>
        <v>0</v>
      </c>
      <c r="J149" s="63">
        <f t="shared" si="9"/>
        <v>21.131645978697001</v>
      </c>
    </row>
    <row r="150" spans="1:10" x14ac:dyDescent="0.25">
      <c r="A150" s="82">
        <f>'A) Base RI'!A152</f>
        <v>5643</v>
      </c>
      <c r="B150" s="147" t="str">
        <f>'A) Base RI'!B152</f>
        <v>Préverenges</v>
      </c>
      <c r="C150" s="158">
        <f>'B) D RI'!U152</f>
        <v>265909.61515625002</v>
      </c>
      <c r="D150" s="247">
        <f>'E) Fact soc'!G156/C150</f>
        <v>19.325316855209664</v>
      </c>
      <c r="E150" s="247">
        <f>'H) Péréquation directe'!I161/'H) Péréquation directe'!C161</f>
        <v>11.371495529498636</v>
      </c>
      <c r="F150" s="242">
        <f>'I) Dépenses thématiques'!P150</f>
        <v>0</v>
      </c>
      <c r="G150" s="190">
        <f t="shared" si="11"/>
        <v>30.696812384708302</v>
      </c>
      <c r="H150" s="161">
        <f t="shared" si="8"/>
        <v>0</v>
      </c>
      <c r="I150" s="206">
        <f t="shared" si="10"/>
        <v>0</v>
      </c>
      <c r="J150" s="63">
        <f t="shared" si="9"/>
        <v>30.696812384708302</v>
      </c>
    </row>
    <row r="151" spans="1:10" x14ac:dyDescent="0.25">
      <c r="A151" s="82">
        <f>'A) Base RI'!A153</f>
        <v>5644</v>
      </c>
      <c r="B151" s="147" t="str">
        <f>'A) Base RI'!B153</f>
        <v>Reverolle</v>
      </c>
      <c r="C151" s="158">
        <f>'B) D RI'!U153</f>
        <v>14878.554871794875</v>
      </c>
      <c r="D151" s="247">
        <f>'E) Fact soc'!G157/C151</f>
        <v>16.248645595607208</v>
      </c>
      <c r="E151" s="247">
        <f>'H) Péréquation directe'!I162/'H) Péréquation directe'!C162</f>
        <v>14.969202522031052</v>
      </c>
      <c r="F151" s="242">
        <f>'I) Dépenses thématiques'!P151</f>
        <v>-5.3004475689705446</v>
      </c>
      <c r="G151" s="190">
        <f t="shared" si="11"/>
        <v>25.917400548667718</v>
      </c>
      <c r="H151" s="161">
        <f t="shared" si="8"/>
        <v>0</v>
      </c>
      <c r="I151" s="206">
        <f t="shared" si="10"/>
        <v>0</v>
      </c>
      <c r="J151" s="63">
        <f t="shared" si="9"/>
        <v>25.917400548667718</v>
      </c>
    </row>
    <row r="152" spans="1:10" x14ac:dyDescent="0.25">
      <c r="A152" s="82">
        <f>'A) Base RI'!A154</f>
        <v>5645</v>
      </c>
      <c r="B152" s="147" t="str">
        <f>'A) Base RI'!B154</f>
        <v>Romanel-sur-Morges</v>
      </c>
      <c r="C152" s="158">
        <f>'B) D RI'!U154</f>
        <v>25051.786919642858</v>
      </c>
      <c r="D152" s="247">
        <f>'E) Fact soc'!G158/C152</f>
        <v>19.021269973540928</v>
      </c>
      <c r="E152" s="247">
        <f>'H) Péréquation directe'!I163/'H) Péréquation directe'!C163</f>
        <v>16.79331244526621</v>
      </c>
      <c r="F152" s="242">
        <f>'I) Dépenses thématiques'!P152</f>
        <v>0</v>
      </c>
      <c r="G152" s="190">
        <f t="shared" si="11"/>
        <v>35.814582418807134</v>
      </c>
      <c r="H152" s="161">
        <f t="shared" si="8"/>
        <v>0</v>
      </c>
      <c r="I152" s="206">
        <f t="shared" si="10"/>
        <v>0</v>
      </c>
      <c r="J152" s="63">
        <f t="shared" si="9"/>
        <v>35.814582418807134</v>
      </c>
    </row>
    <row r="153" spans="1:10" x14ac:dyDescent="0.25">
      <c r="A153" s="82">
        <f>'A) Base RI'!A155</f>
        <v>5646</v>
      </c>
      <c r="B153" s="147" t="str">
        <f>'A) Base RI'!B155</f>
        <v>Saint-Prex</v>
      </c>
      <c r="C153" s="158">
        <f>'B) D RI'!U155</f>
        <v>375526.35254545452</v>
      </c>
      <c r="D153" s="247">
        <f>'E) Fact soc'!G159/C153</f>
        <v>30.932449799944195</v>
      </c>
      <c r="E153" s="247">
        <f>'H) Péréquation directe'!I164/'H) Péréquation directe'!C164</f>
        <v>12.623135366279357</v>
      </c>
      <c r="F153" s="242">
        <f>'I) Dépenses thématiques'!P153</f>
        <v>0</v>
      </c>
      <c r="G153" s="190">
        <f t="shared" si="11"/>
        <v>43.555585166223551</v>
      </c>
      <c r="H153" s="161">
        <f t="shared" si="8"/>
        <v>0</v>
      </c>
      <c r="I153" s="206">
        <f t="shared" si="10"/>
        <v>0</v>
      </c>
      <c r="J153" s="63">
        <f t="shared" si="9"/>
        <v>43.555585166223551</v>
      </c>
    </row>
    <row r="154" spans="1:10" x14ac:dyDescent="0.25">
      <c r="A154" s="82">
        <f>'A) Base RI'!A156</f>
        <v>5648</v>
      </c>
      <c r="B154" s="147" t="str">
        <f>'A) Base RI'!B156</f>
        <v>Saint-Sulpice</v>
      </c>
      <c r="C154" s="158">
        <f>'B) D RI'!U156</f>
        <v>290036.18604545452</v>
      </c>
      <c r="D154" s="247">
        <f>'E) Fact soc'!G160/C154</f>
        <v>23.393952896409473</v>
      </c>
      <c r="E154" s="247">
        <f>'H) Péréquation directe'!I165/'H) Péréquation directe'!C165</f>
        <v>14.419209398169478</v>
      </c>
      <c r="F154" s="242">
        <f>'I) Dépenses thématiques'!P154</f>
        <v>-1.0426887284482729</v>
      </c>
      <c r="G154" s="190">
        <f t="shared" si="11"/>
        <v>36.770473566130676</v>
      </c>
      <c r="H154" s="161">
        <f t="shared" si="8"/>
        <v>0</v>
      </c>
      <c r="I154" s="206">
        <f t="shared" si="10"/>
        <v>0</v>
      </c>
      <c r="J154" s="63">
        <f t="shared" si="9"/>
        <v>36.770473566130676</v>
      </c>
    </row>
    <row r="155" spans="1:10" x14ac:dyDescent="0.25">
      <c r="A155" s="82">
        <f>'A) Base RI'!A157</f>
        <v>5649</v>
      </c>
      <c r="B155" s="147" t="str">
        <f>'A) Base RI'!B157</f>
        <v>Tolochenaz</v>
      </c>
      <c r="C155" s="158">
        <f>'B) D RI'!U157</f>
        <v>103201.6483076923</v>
      </c>
      <c r="D155" s="247">
        <f>'E) Fact soc'!G161/C155</f>
        <v>18.97088488201905</v>
      </c>
      <c r="E155" s="247">
        <f>'H) Péréquation directe'!I166/'H) Péréquation directe'!C166</f>
        <v>14.79167325558535</v>
      </c>
      <c r="F155" s="242">
        <f>'I) Dépenses thématiques'!P155</f>
        <v>-2.5901128790355292</v>
      </c>
      <c r="G155" s="190">
        <f t="shared" si="11"/>
        <v>31.172445258568871</v>
      </c>
      <c r="H155" s="161">
        <f t="shared" si="8"/>
        <v>0</v>
      </c>
      <c r="I155" s="206">
        <f t="shared" si="10"/>
        <v>0</v>
      </c>
      <c r="J155" s="63">
        <f t="shared" si="9"/>
        <v>31.172445258568871</v>
      </c>
    </row>
    <row r="156" spans="1:10" x14ac:dyDescent="0.25">
      <c r="A156" s="82">
        <f>'A) Base RI'!A158</f>
        <v>5650</v>
      </c>
      <c r="B156" s="147" t="str">
        <f>'A) Base RI'!B158</f>
        <v>Vaux-sur-Morges</v>
      </c>
      <c r="C156" s="158">
        <f>'B) D RI'!U158</f>
        <v>157222.88974358974</v>
      </c>
      <c r="D156" s="247">
        <f>'E) Fact soc'!G162/C156</f>
        <v>29.726273059320796</v>
      </c>
      <c r="E156" s="247">
        <f>'H) Péréquation directe'!I167/'H) Péréquation directe'!C167</f>
        <v>18.245832947163986</v>
      </c>
      <c r="F156" s="242">
        <f>'I) Dépenses thématiques'!P156</f>
        <v>0</v>
      </c>
      <c r="G156" s="190">
        <f t="shared" si="11"/>
        <v>47.972106006484779</v>
      </c>
      <c r="H156" s="161">
        <f t="shared" si="8"/>
        <v>0</v>
      </c>
      <c r="I156" s="206">
        <f t="shared" si="10"/>
        <v>0</v>
      </c>
      <c r="J156" s="63">
        <f t="shared" si="9"/>
        <v>47.972106006484779</v>
      </c>
    </row>
    <row r="157" spans="1:10" x14ac:dyDescent="0.25">
      <c r="A157" s="82">
        <f>'A) Base RI'!A159</f>
        <v>5651</v>
      </c>
      <c r="B157" s="147" t="str">
        <f>'A) Base RI'!B159</f>
        <v>Villars-Sainte-Croix</v>
      </c>
      <c r="C157" s="158">
        <f>'B) D RI'!U159</f>
        <v>47709.999830508481</v>
      </c>
      <c r="D157" s="247">
        <f>'E) Fact soc'!G163/C157</f>
        <v>20.368405444474515</v>
      </c>
      <c r="E157" s="247">
        <f>'H) Péréquation directe'!I168/'H) Péréquation directe'!C168</f>
        <v>17.018851760689813</v>
      </c>
      <c r="F157" s="242">
        <f>'I) Dépenses thématiques'!P157</f>
        <v>-1.6580830080102641E-2</v>
      </c>
      <c r="G157" s="190">
        <f t="shared" si="11"/>
        <v>37.37067637508423</v>
      </c>
      <c r="H157" s="161">
        <f t="shared" si="8"/>
        <v>0</v>
      </c>
      <c r="I157" s="206">
        <f t="shared" si="10"/>
        <v>0</v>
      </c>
      <c r="J157" s="63">
        <f t="shared" si="9"/>
        <v>37.37067637508423</v>
      </c>
    </row>
    <row r="158" spans="1:10" x14ac:dyDescent="0.25">
      <c r="A158" s="82">
        <f>'A) Base RI'!A160</f>
        <v>5652</v>
      </c>
      <c r="B158" s="147" t="str">
        <f>'A) Base RI'!B160</f>
        <v>Villars-sous-Yens</v>
      </c>
      <c r="C158" s="158">
        <f>'B) D RI'!U160</f>
        <v>24426.645087719295</v>
      </c>
      <c r="D158" s="247">
        <f>'E) Fact soc'!G164/C158</f>
        <v>15.729245445565956</v>
      </c>
      <c r="E158" s="247">
        <f>'H) Péréquation directe'!I169/'H) Péréquation directe'!C169</f>
        <v>15.685160497467312</v>
      </c>
      <c r="F158" s="242">
        <f>'I) Dépenses thématiques'!P158</f>
        <v>-3.9279647145746663</v>
      </c>
      <c r="G158" s="190">
        <f t="shared" si="11"/>
        <v>27.486441228458599</v>
      </c>
      <c r="H158" s="161">
        <f t="shared" si="8"/>
        <v>0</v>
      </c>
      <c r="I158" s="206">
        <f t="shared" si="10"/>
        <v>0</v>
      </c>
      <c r="J158" s="63">
        <f t="shared" si="9"/>
        <v>27.486441228458599</v>
      </c>
    </row>
    <row r="159" spans="1:10" x14ac:dyDescent="0.25">
      <c r="A159" s="82">
        <f>'A) Base RI'!A161</f>
        <v>5653</v>
      </c>
      <c r="B159" s="147" t="str">
        <f>'A) Base RI'!B161</f>
        <v>Vufflens-le-Château</v>
      </c>
      <c r="C159" s="158">
        <f>'B) D RI'!U161</f>
        <v>54206.67831818181</v>
      </c>
      <c r="D159" s="247">
        <f>'E) Fact soc'!G165/C159</f>
        <v>19.071917277702603</v>
      </c>
      <c r="E159" s="247">
        <f>'H) Péréquation directe'!I170/'H) Péréquation directe'!C170</f>
        <v>16.941128150072949</v>
      </c>
      <c r="F159" s="242">
        <f>'I) Dépenses thématiques'!P159</f>
        <v>0</v>
      </c>
      <c r="G159" s="190">
        <f t="shared" si="11"/>
        <v>36.013045427775552</v>
      </c>
      <c r="H159" s="161">
        <f t="shared" si="8"/>
        <v>0</v>
      </c>
      <c r="I159" s="206">
        <f t="shared" si="10"/>
        <v>0</v>
      </c>
      <c r="J159" s="63">
        <f t="shared" si="9"/>
        <v>36.013045427775552</v>
      </c>
    </row>
    <row r="160" spans="1:10" x14ac:dyDescent="0.25">
      <c r="A160" s="82">
        <f>'A) Base RI'!A162</f>
        <v>5654</v>
      </c>
      <c r="B160" s="147" t="str">
        <f>'A) Base RI'!B162</f>
        <v>Vullierens</v>
      </c>
      <c r="C160" s="158">
        <f>'B) D RI'!U162</f>
        <v>15860.891578947369</v>
      </c>
      <c r="D160" s="247">
        <f>'E) Fact soc'!G166/C160</f>
        <v>19.051014256784768</v>
      </c>
      <c r="E160" s="247">
        <f>'H) Péréquation directe'!I171/'H) Péréquation directe'!C171</f>
        <v>9.6182716525141068</v>
      </c>
      <c r="F160" s="242">
        <f>'I) Dépenses thématiques'!P160</f>
        <v>-2.6714135071852003</v>
      </c>
      <c r="G160" s="190">
        <f t="shared" si="11"/>
        <v>25.997872402113675</v>
      </c>
      <c r="H160" s="161">
        <f t="shared" si="8"/>
        <v>0</v>
      </c>
      <c r="I160" s="206">
        <f t="shared" si="10"/>
        <v>0</v>
      </c>
      <c r="J160" s="63">
        <f t="shared" si="9"/>
        <v>25.997872402113675</v>
      </c>
    </row>
    <row r="161" spans="1:10" x14ac:dyDescent="0.25">
      <c r="A161" s="82">
        <f>'A) Base RI'!A163</f>
        <v>5655</v>
      </c>
      <c r="B161" s="147" t="str">
        <f>'A) Base RI'!B163</f>
        <v>Yens</v>
      </c>
      <c r="C161" s="158">
        <f>'B) D RI'!U163</f>
        <v>73269.942328767123</v>
      </c>
      <c r="D161" s="247">
        <f>'E) Fact soc'!G167/C161</f>
        <v>17.589281048642924</v>
      </c>
      <c r="E161" s="247">
        <f>'H) Péréquation directe'!I172/'H) Péréquation directe'!C172</f>
        <v>15.629027202992249</v>
      </c>
      <c r="F161" s="242">
        <f>'I) Dépenses thématiques'!P161</f>
        <v>0</v>
      </c>
      <c r="G161" s="190">
        <f t="shared" si="11"/>
        <v>33.218308251635172</v>
      </c>
      <c r="H161" s="161">
        <f t="shared" si="8"/>
        <v>0</v>
      </c>
      <c r="I161" s="206">
        <f t="shared" si="10"/>
        <v>0</v>
      </c>
      <c r="J161" s="63">
        <f t="shared" si="9"/>
        <v>33.218308251635172</v>
      </c>
    </row>
    <row r="162" spans="1:10" x14ac:dyDescent="0.25">
      <c r="A162" s="82">
        <f>'A) Base RI'!A164</f>
        <v>5661</v>
      </c>
      <c r="B162" s="147" t="str">
        <f>'A) Base RI'!B164</f>
        <v>Boulens</v>
      </c>
      <c r="C162" s="158">
        <f>'B) D RI'!U164</f>
        <v>6901.8381012658238</v>
      </c>
      <c r="D162" s="247">
        <f>'E) Fact soc'!G168/C162</f>
        <v>18.077976440473183</v>
      </c>
      <c r="E162" s="247">
        <f>'H) Péréquation directe'!I173/'H) Péréquation directe'!C173</f>
        <v>-10.526203592250187</v>
      </c>
      <c r="F162" s="242">
        <f>'I) Dépenses thématiques'!P162</f>
        <v>-3.7653737480793268</v>
      </c>
      <c r="G162" s="190">
        <f t="shared" si="11"/>
        <v>3.7863991001436688</v>
      </c>
      <c r="H162" s="161">
        <f t="shared" si="8"/>
        <v>0</v>
      </c>
      <c r="I162" s="206">
        <f t="shared" si="10"/>
        <v>0</v>
      </c>
      <c r="J162" s="63">
        <f t="shared" si="9"/>
        <v>3.7863991001436688</v>
      </c>
    </row>
    <row r="163" spans="1:10" x14ac:dyDescent="0.25">
      <c r="A163" s="82">
        <f>'A) Base RI'!A165</f>
        <v>5662</v>
      </c>
      <c r="B163" s="147" t="str">
        <f>'A) Base RI'!B165</f>
        <v>Brenles</v>
      </c>
      <c r="C163" s="158">
        <f>'B) D RI'!U165</f>
        <v>4031.2468945868945</v>
      </c>
      <c r="D163" s="247">
        <f>'E) Fact soc'!G169/C163</f>
        <v>20.306175597289712</v>
      </c>
      <c r="E163" s="247">
        <f>'H) Péréquation directe'!I174/'H) Péréquation directe'!C174</f>
        <v>1.273292460412367</v>
      </c>
      <c r="F163" s="242">
        <f>'I) Dépenses thématiques'!P163</f>
        <v>-2.9673201152880058</v>
      </c>
      <c r="G163" s="190">
        <f t="shared" si="11"/>
        <v>18.612147942414076</v>
      </c>
      <c r="H163" s="161">
        <f t="shared" si="8"/>
        <v>0</v>
      </c>
      <c r="I163" s="206">
        <f t="shared" si="10"/>
        <v>0</v>
      </c>
      <c r="J163" s="63">
        <f t="shared" si="9"/>
        <v>18.612147942414076</v>
      </c>
    </row>
    <row r="164" spans="1:10" x14ac:dyDescent="0.25">
      <c r="A164" s="82">
        <f>'A) Base RI'!A166</f>
        <v>5663</v>
      </c>
      <c r="B164" s="147" t="str">
        <f>'A) Base RI'!B166</f>
        <v>Bussy-sur-Moudon</v>
      </c>
      <c r="C164" s="158">
        <f>'B) D RI'!U166</f>
        <v>5172.1214999999993</v>
      </c>
      <c r="D164" s="247">
        <f>'E) Fact soc'!G170/C164</f>
        <v>16.414199415192765</v>
      </c>
      <c r="E164" s="247">
        <f>'H) Péréquation directe'!I175/'H) Péréquation directe'!C175</f>
        <v>-2.3190142879799081</v>
      </c>
      <c r="F164" s="242">
        <f>'I) Dépenses thématiques'!P164</f>
        <v>-6.5282689124762445</v>
      </c>
      <c r="G164" s="190">
        <f t="shared" si="11"/>
        <v>7.5669162147366134</v>
      </c>
      <c r="H164" s="161">
        <f t="shared" si="8"/>
        <v>0</v>
      </c>
      <c r="I164" s="206">
        <f t="shared" si="10"/>
        <v>0</v>
      </c>
      <c r="J164" s="63">
        <f t="shared" si="9"/>
        <v>7.5669162147366134</v>
      </c>
    </row>
    <row r="165" spans="1:10" x14ac:dyDescent="0.25">
      <c r="A165" s="82">
        <f>'A) Base RI'!A167</f>
        <v>5665</v>
      </c>
      <c r="B165" s="147" t="str">
        <f>'A) Base RI'!B167</f>
        <v>Chavannes-sur-Moudon</v>
      </c>
      <c r="C165" s="158">
        <f>'B) D RI'!U167</f>
        <v>3708.5273611111106</v>
      </c>
      <c r="D165" s="247">
        <f>'E) Fact soc'!G171/C165</f>
        <v>15.318366450225069</v>
      </c>
      <c r="E165" s="247">
        <f>'H) Péréquation directe'!I176/'H) Péréquation directe'!C176</f>
        <v>-23.921423214249565</v>
      </c>
      <c r="F165" s="242">
        <f>'I) Dépenses thématiques'!P165</f>
        <v>-1.7961307417735486</v>
      </c>
      <c r="G165" s="190">
        <f t="shared" si="11"/>
        <v>-10.399187505798045</v>
      </c>
      <c r="H165" s="161">
        <f t="shared" si="8"/>
        <v>0</v>
      </c>
      <c r="I165" s="206">
        <f t="shared" si="10"/>
        <v>0</v>
      </c>
      <c r="J165" s="63">
        <f t="shared" si="9"/>
        <v>-10.399187505798045</v>
      </c>
    </row>
    <row r="166" spans="1:10" x14ac:dyDescent="0.25">
      <c r="A166" s="82">
        <f>'A) Base RI'!A168</f>
        <v>5666</v>
      </c>
      <c r="B166" s="147" t="str">
        <f>'A) Base RI'!B168</f>
        <v>Chesalles-sur-Moudon</v>
      </c>
      <c r="C166" s="158">
        <f>'B) D RI'!U168</f>
        <v>3731.231866666667</v>
      </c>
      <c r="D166" s="247">
        <f>'E) Fact soc'!G172/C166</f>
        <v>16.188516209081683</v>
      </c>
      <c r="E166" s="247">
        <f>'H) Péréquation directe'!I177/'H) Péréquation directe'!C177</f>
        <v>-5.43404940200866</v>
      </c>
      <c r="F166" s="242">
        <f>'I) Dépenses thématiques'!P166</f>
        <v>0</v>
      </c>
      <c r="G166" s="190">
        <f t="shared" si="11"/>
        <v>10.754466807073022</v>
      </c>
      <c r="H166" s="161">
        <f t="shared" si="8"/>
        <v>0</v>
      </c>
      <c r="I166" s="206">
        <f t="shared" si="10"/>
        <v>0</v>
      </c>
      <c r="J166" s="63">
        <f t="shared" si="9"/>
        <v>10.754466807073022</v>
      </c>
    </row>
    <row r="167" spans="1:10" x14ac:dyDescent="0.25">
      <c r="A167" s="82">
        <f>'A) Base RI'!A169</f>
        <v>5668</v>
      </c>
      <c r="B167" s="147" t="str">
        <f>'A) Base RI'!B169</f>
        <v>Cremin</v>
      </c>
      <c r="C167" s="158">
        <f>'B) D RI'!U169</f>
        <v>1020.8936363636363</v>
      </c>
      <c r="D167" s="247">
        <f>'E) Fact soc'!G173/C167</f>
        <v>14.785675220623862</v>
      </c>
      <c r="E167" s="247">
        <f>'H) Péréquation directe'!I178/'H) Péréquation directe'!C178</f>
        <v>-14.52291016819893</v>
      </c>
      <c r="F167" s="242">
        <f>'I) Dépenses thématiques'!P167</f>
        <v>0</v>
      </c>
      <c r="G167" s="190">
        <f t="shared" si="11"/>
        <v>0.26276505242493187</v>
      </c>
      <c r="H167" s="161">
        <f t="shared" si="8"/>
        <v>0</v>
      </c>
      <c r="I167" s="206">
        <f t="shared" si="10"/>
        <v>0</v>
      </c>
      <c r="J167" s="63">
        <f t="shared" si="9"/>
        <v>0.26276505242493187</v>
      </c>
    </row>
    <row r="168" spans="1:10" x14ac:dyDescent="0.25">
      <c r="A168" s="82">
        <f>'A) Base RI'!A170</f>
        <v>5669</v>
      </c>
      <c r="B168" s="147" t="str">
        <f>'A) Base RI'!B170</f>
        <v>Curtilles</v>
      </c>
      <c r="C168" s="158">
        <f>'B) D RI'!U170</f>
        <v>8099.7640277777791</v>
      </c>
      <c r="D168" s="247">
        <f>'E) Fact soc'!G174/C168</f>
        <v>18.850512774790605</v>
      </c>
      <c r="E168" s="247">
        <f>'H) Péréquation directe'!I179/'H) Péréquation directe'!C179</f>
        <v>1.2348031289454806</v>
      </c>
      <c r="F168" s="242">
        <f>'I) Dépenses thématiques'!P168</f>
        <v>-8.4803705101079654</v>
      </c>
      <c r="G168" s="190">
        <f t="shared" si="11"/>
        <v>11.604945393628119</v>
      </c>
      <c r="H168" s="161">
        <f t="shared" si="8"/>
        <v>0</v>
      </c>
      <c r="I168" s="206">
        <f t="shared" si="10"/>
        <v>0</v>
      </c>
      <c r="J168" s="63">
        <f t="shared" si="9"/>
        <v>11.604945393628119</v>
      </c>
    </row>
    <row r="169" spans="1:10" x14ac:dyDescent="0.25">
      <c r="A169" s="82">
        <f>'A) Base RI'!A171</f>
        <v>5671</v>
      </c>
      <c r="B169" s="147" t="str">
        <f>'A) Base RI'!B171</f>
        <v>Dompierre</v>
      </c>
      <c r="C169" s="158">
        <f>'B) D RI'!U171</f>
        <v>5882.5981250000004</v>
      </c>
      <c r="D169" s="247">
        <f>'E) Fact soc'!G175/C169</f>
        <v>15.315968117353059</v>
      </c>
      <c r="E169" s="247">
        <f>'H) Péréquation directe'!I180/'H) Péréquation directe'!C180</f>
        <v>-7.0621274523940292</v>
      </c>
      <c r="F169" s="242">
        <f>'I) Dépenses thématiques'!P169</f>
        <v>-13.096424124671952</v>
      </c>
      <c r="G169" s="190">
        <f t="shared" si="11"/>
        <v>-4.8425834597129231</v>
      </c>
      <c r="H169" s="161">
        <f t="shared" ref="H169:H223" si="12">IF(G169&gt;H$4,H$4-G169,0)</f>
        <v>0</v>
      </c>
      <c r="I169" s="206">
        <f t="shared" si="10"/>
        <v>0</v>
      </c>
      <c r="J169" s="63">
        <f t="shared" ref="J169:J223" si="13">G169+H169</f>
        <v>-4.8425834597129231</v>
      </c>
    </row>
    <row r="170" spans="1:10" x14ac:dyDescent="0.25">
      <c r="A170" s="82">
        <f>'A) Base RI'!A172</f>
        <v>5672</v>
      </c>
      <c r="B170" s="147" t="str">
        <f>'A) Base RI'!B172</f>
        <v>Forel-sur-Lucens</v>
      </c>
      <c r="C170" s="158">
        <f>'B) D RI'!U172</f>
        <v>3859.3261000000002</v>
      </c>
      <c r="D170" s="247">
        <f>'E) Fact soc'!G176/C170</f>
        <v>18.480089641835896</v>
      </c>
      <c r="E170" s="247">
        <f>'H) Péréquation directe'!I181/'H) Péréquation directe'!C181</f>
        <v>-1.9341321788507586</v>
      </c>
      <c r="F170" s="242">
        <f>'I) Dépenses thématiques'!P170</f>
        <v>0</v>
      </c>
      <c r="G170" s="190">
        <f t="shared" si="11"/>
        <v>16.545957462985136</v>
      </c>
      <c r="H170" s="161">
        <f t="shared" si="12"/>
        <v>0</v>
      </c>
      <c r="I170" s="206">
        <f t="shared" ref="I170:I225" si="14">H170*C170</f>
        <v>0</v>
      </c>
      <c r="J170" s="63">
        <f t="shared" si="13"/>
        <v>16.545957462985136</v>
      </c>
    </row>
    <row r="171" spans="1:10" x14ac:dyDescent="0.25">
      <c r="A171" s="82">
        <f>'A) Base RI'!A173</f>
        <v>5673</v>
      </c>
      <c r="B171" s="147" t="str">
        <f>'A) Base RI'!B173</f>
        <v>Hermenches</v>
      </c>
      <c r="C171" s="158">
        <f>'B) D RI'!U173</f>
        <v>9584.1538967136148</v>
      </c>
      <c r="D171" s="247">
        <f>'E) Fact soc'!G177/C171</f>
        <v>21.064696889989506</v>
      </c>
      <c r="E171" s="247">
        <f>'H) Péréquation directe'!I182/'H) Péréquation directe'!C182</f>
        <v>0.18596667870361402</v>
      </c>
      <c r="F171" s="242">
        <f>'I) Dépenses thématiques'!P171</f>
        <v>-3.1321492041455476</v>
      </c>
      <c r="G171" s="190">
        <f t="shared" ref="G171:G226" si="15">SUM(D171:F171)</f>
        <v>18.118514364547572</v>
      </c>
      <c r="H171" s="161">
        <f t="shared" si="12"/>
        <v>0</v>
      </c>
      <c r="I171" s="206">
        <f t="shared" si="14"/>
        <v>0</v>
      </c>
      <c r="J171" s="63">
        <f t="shared" si="13"/>
        <v>18.118514364547572</v>
      </c>
    </row>
    <row r="172" spans="1:10" x14ac:dyDescent="0.25">
      <c r="A172" s="82">
        <f>'A) Base RI'!A174</f>
        <v>5674</v>
      </c>
      <c r="B172" s="147" t="str">
        <f>'A) Base RI'!B174</f>
        <v>Lovatens</v>
      </c>
      <c r="C172" s="158">
        <f>'B) D RI'!U174</f>
        <v>5762.0609054325942</v>
      </c>
      <c r="D172" s="247">
        <f>'E) Fact soc'!G178/C172</f>
        <v>15.130287162876654</v>
      </c>
      <c r="E172" s="247">
        <f>'H) Péréquation directe'!I183/'H) Péréquation directe'!C183</f>
        <v>14.811690048318471</v>
      </c>
      <c r="F172" s="242">
        <f>'I) Dépenses thématiques'!P172</f>
        <v>0</v>
      </c>
      <c r="G172" s="190">
        <f t="shared" si="15"/>
        <v>29.941977211195123</v>
      </c>
      <c r="H172" s="161">
        <f t="shared" si="12"/>
        <v>0</v>
      </c>
      <c r="I172" s="206">
        <f t="shared" si="14"/>
        <v>0</v>
      </c>
      <c r="J172" s="63">
        <f t="shared" si="13"/>
        <v>29.941977211195123</v>
      </c>
    </row>
    <row r="173" spans="1:10" x14ac:dyDescent="0.25">
      <c r="A173" s="82">
        <f>'A) Base RI'!A175</f>
        <v>5675</v>
      </c>
      <c r="B173" s="147" t="str">
        <f>'A) Base RI'!B175</f>
        <v>Lucens</v>
      </c>
      <c r="C173" s="158">
        <f>'B) D RI'!U175</f>
        <v>78725.785578512397</v>
      </c>
      <c r="D173" s="247">
        <f>'E) Fact soc'!G179/C173</f>
        <v>16.613532750943335</v>
      </c>
      <c r="E173" s="247">
        <f>'H) Péréquation directe'!I184/'H) Péréquation directe'!C184</f>
        <v>-7.4280160714201093</v>
      </c>
      <c r="F173" s="242">
        <f>'I) Dépenses thématiques'!P173</f>
        <v>-2.9246580178025416</v>
      </c>
      <c r="G173" s="190">
        <f t="shared" si="15"/>
        <v>6.2608586617206834</v>
      </c>
      <c r="H173" s="161">
        <f t="shared" si="12"/>
        <v>0</v>
      </c>
      <c r="I173" s="206">
        <f t="shared" si="14"/>
        <v>0</v>
      </c>
      <c r="J173" s="63">
        <f t="shared" si="13"/>
        <v>6.2608586617206834</v>
      </c>
    </row>
    <row r="174" spans="1:10" x14ac:dyDescent="0.25">
      <c r="A174" s="82">
        <f>'A) Base RI'!A176</f>
        <v>5678</v>
      </c>
      <c r="B174" s="147" t="str">
        <f>'A) Base RI'!B176</f>
        <v>Moudon</v>
      </c>
      <c r="C174" s="158">
        <f>'B) D RI'!U176</f>
        <v>119060.24706666666</v>
      </c>
      <c r="D174" s="247">
        <f>'E) Fact soc'!G180/C174</f>
        <v>17.271327924118506</v>
      </c>
      <c r="E174" s="247">
        <f>'H) Péréquation directe'!I185/'H) Péréquation directe'!C185</f>
        <v>-24.107246776042448</v>
      </c>
      <c r="F174" s="242">
        <f>'I) Dépenses thématiques'!P174</f>
        <v>-9.7266890379586908</v>
      </c>
      <c r="G174" s="190">
        <f t="shared" si="15"/>
        <v>-16.562607889882635</v>
      </c>
      <c r="H174" s="161">
        <f t="shared" si="12"/>
        <v>0</v>
      </c>
      <c r="I174" s="206">
        <f t="shared" si="14"/>
        <v>0</v>
      </c>
      <c r="J174" s="63">
        <f t="shared" si="13"/>
        <v>-16.562607889882635</v>
      </c>
    </row>
    <row r="175" spans="1:10" x14ac:dyDescent="0.25">
      <c r="A175" s="82">
        <f>'A) Base RI'!A177</f>
        <v>5680</v>
      </c>
      <c r="B175" s="147" t="str">
        <f>'A) Base RI'!B177</f>
        <v>Ogens</v>
      </c>
      <c r="C175" s="158">
        <f>'B) D RI'!U177</f>
        <v>6568.1873076923084</v>
      </c>
      <c r="D175" s="247">
        <f>'E) Fact soc'!G181/C175</f>
        <v>16.444652726828448</v>
      </c>
      <c r="E175" s="247">
        <f>'H) Péréquation directe'!I186/'H) Péréquation directe'!C186</f>
        <v>-3.39021293341666</v>
      </c>
      <c r="F175" s="242">
        <f>'I) Dépenses thématiques'!P175</f>
        <v>-9.868932928280703</v>
      </c>
      <c r="G175" s="190">
        <f t="shared" si="15"/>
        <v>3.1855068651310852</v>
      </c>
      <c r="H175" s="161">
        <f t="shared" si="12"/>
        <v>0</v>
      </c>
      <c r="I175" s="206">
        <f t="shared" si="14"/>
        <v>0</v>
      </c>
      <c r="J175" s="63">
        <f t="shared" si="13"/>
        <v>3.1855068651310852</v>
      </c>
    </row>
    <row r="176" spans="1:10" x14ac:dyDescent="0.25">
      <c r="A176" s="82">
        <f>'A) Base RI'!A178</f>
        <v>5683</v>
      </c>
      <c r="B176" s="147" t="str">
        <f>'A) Base RI'!B178</f>
        <v>Prévonloup</v>
      </c>
      <c r="C176" s="158">
        <f>'B) D RI'!U178</f>
        <v>3760.4979729729735</v>
      </c>
      <c r="D176" s="247">
        <f>'E) Fact soc'!G182/C176</f>
        <v>15.860665827999215</v>
      </c>
      <c r="E176" s="247">
        <f>'H) Péréquation directe'!I187/'H) Péréquation directe'!C187</f>
        <v>-8.2078729435911679</v>
      </c>
      <c r="F176" s="242">
        <f>'I) Dépenses thématiques'!P176</f>
        <v>-18.621735872028161</v>
      </c>
      <c r="G176" s="190">
        <f t="shared" si="15"/>
        <v>-10.968942987620114</v>
      </c>
      <c r="H176" s="161">
        <f t="shared" si="12"/>
        <v>0</v>
      </c>
      <c r="I176" s="206">
        <f t="shared" si="14"/>
        <v>0</v>
      </c>
      <c r="J176" s="63">
        <f t="shared" si="13"/>
        <v>-10.968942987620114</v>
      </c>
    </row>
    <row r="177" spans="1:10" x14ac:dyDescent="0.25">
      <c r="A177" s="82">
        <f>'A) Base RI'!A179</f>
        <v>5684</v>
      </c>
      <c r="B177" s="147" t="str">
        <f>'A) Base RI'!B179</f>
        <v>Rossenges</v>
      </c>
      <c r="C177" s="158">
        <f>'B) D RI'!U179</f>
        <v>1257.3034166666666</v>
      </c>
      <c r="D177" s="247">
        <f>'E) Fact soc'!G183/C177</f>
        <v>14.785675220623862</v>
      </c>
      <c r="E177" s="247">
        <f>'H) Péréquation directe'!I188/'H) Péréquation directe'!C188</f>
        <v>-3.6018926329386729</v>
      </c>
      <c r="F177" s="242">
        <f>'I) Dépenses thématiques'!P177</f>
        <v>-1.2248435656707368</v>
      </c>
      <c r="G177" s="190">
        <f t="shared" si="15"/>
        <v>9.9589390220144516</v>
      </c>
      <c r="H177" s="161">
        <f t="shared" si="12"/>
        <v>0</v>
      </c>
      <c r="I177" s="206">
        <f t="shared" si="14"/>
        <v>0</v>
      </c>
      <c r="J177" s="63">
        <f t="shared" si="13"/>
        <v>9.9589390220144516</v>
      </c>
    </row>
    <row r="178" spans="1:10" x14ac:dyDescent="0.25">
      <c r="A178" s="82">
        <f>'A) Base RI'!A180</f>
        <v>5686</v>
      </c>
      <c r="B178" s="147" t="str">
        <f>'A) Base RI'!B180</f>
        <v>Sarzens</v>
      </c>
      <c r="C178" s="158">
        <f>'B) D RI'!U180</f>
        <v>1531.7207894736844</v>
      </c>
      <c r="D178" s="247">
        <f>'E) Fact soc'!G184/C178</f>
        <v>21.3515422305348</v>
      </c>
      <c r="E178" s="247">
        <f>'H) Péréquation directe'!I189/'H) Péréquation directe'!C189</f>
        <v>-21.377350994777697</v>
      </c>
      <c r="F178" s="242">
        <f>'I) Dépenses thématiques'!P178</f>
        <v>0</v>
      </c>
      <c r="G178" s="190">
        <f t="shared" si="15"/>
        <v>-2.5808764242896132E-2</v>
      </c>
      <c r="H178" s="161">
        <f t="shared" si="12"/>
        <v>0</v>
      </c>
      <c r="I178" s="206">
        <f t="shared" si="14"/>
        <v>0</v>
      </c>
      <c r="J178" s="63">
        <f t="shared" si="13"/>
        <v>-2.5808764242896132E-2</v>
      </c>
    </row>
    <row r="179" spans="1:10" x14ac:dyDescent="0.25">
      <c r="A179" s="82">
        <f>'A) Base RI'!A181</f>
        <v>5688</v>
      </c>
      <c r="B179" s="147" t="str">
        <f>'A) Base RI'!B181</f>
        <v>Syens</v>
      </c>
      <c r="C179" s="158">
        <f>'B) D RI'!U181</f>
        <v>4602.8089947089957</v>
      </c>
      <c r="D179" s="247">
        <f>'E) Fact soc'!G185/C179</f>
        <v>15.289416523525045</v>
      </c>
      <c r="E179" s="247">
        <f>'H) Péréquation directe'!I190/'H) Péréquation directe'!C190</f>
        <v>11.259691241397906</v>
      </c>
      <c r="F179" s="242">
        <f>'I) Dépenses thématiques'!P179</f>
        <v>0</v>
      </c>
      <c r="G179" s="190">
        <f t="shared" si="15"/>
        <v>26.549107764922951</v>
      </c>
      <c r="H179" s="161">
        <f t="shared" si="12"/>
        <v>0</v>
      </c>
      <c r="I179" s="206">
        <f t="shared" si="14"/>
        <v>0</v>
      </c>
      <c r="J179" s="63">
        <f t="shared" si="13"/>
        <v>26.549107764922951</v>
      </c>
    </row>
    <row r="180" spans="1:10" x14ac:dyDescent="0.25">
      <c r="A180" s="82">
        <f>'A) Base RI'!A182</f>
        <v>5690</v>
      </c>
      <c r="B180" s="147" t="str">
        <f>'A) Base RI'!B182</f>
        <v>Villars-le-Comte</v>
      </c>
      <c r="C180" s="158">
        <f>'B) D RI'!U182</f>
        <v>3143.0732894736843</v>
      </c>
      <c r="D180" s="247">
        <f>'E) Fact soc'!G186/C180</f>
        <v>14.864340265065572</v>
      </c>
      <c r="E180" s="247">
        <f>'H) Péréquation directe'!I191/'H) Péréquation directe'!C191</f>
        <v>-12.383285586014159</v>
      </c>
      <c r="F180" s="242">
        <f>'I) Dépenses thématiques'!P180</f>
        <v>-0.20744027897267997</v>
      </c>
      <c r="G180" s="190">
        <f t="shared" si="15"/>
        <v>2.2736144000787326</v>
      </c>
      <c r="H180" s="161">
        <f t="shared" si="12"/>
        <v>0</v>
      </c>
      <c r="I180" s="206">
        <f t="shared" si="14"/>
        <v>0</v>
      </c>
      <c r="J180" s="63">
        <f t="shared" si="13"/>
        <v>2.2736144000787326</v>
      </c>
    </row>
    <row r="181" spans="1:10" x14ac:dyDescent="0.25">
      <c r="A181" s="82">
        <f>'A) Base RI'!A183</f>
        <v>5692</v>
      </c>
      <c r="B181" s="147" t="str">
        <f>'A) Base RI'!B183</f>
        <v>Vucherens</v>
      </c>
      <c r="C181" s="158">
        <f>'B) D RI'!U183</f>
        <v>15992.362531645569</v>
      </c>
      <c r="D181" s="247">
        <f>'E) Fact soc'!G187/C181</f>
        <v>16.323717517459478</v>
      </c>
      <c r="E181" s="247">
        <f>'H) Péréquation directe'!I192/'H) Péréquation directe'!C192</f>
        <v>3.8378365120901501</v>
      </c>
      <c r="F181" s="242">
        <f>'I) Dépenses thématiques'!P181</f>
        <v>0</v>
      </c>
      <c r="G181" s="190">
        <f t="shared" si="15"/>
        <v>20.161554029549627</v>
      </c>
      <c r="H181" s="161">
        <f t="shared" si="12"/>
        <v>0</v>
      </c>
      <c r="I181" s="206">
        <f t="shared" si="14"/>
        <v>0</v>
      </c>
      <c r="J181" s="63">
        <f t="shared" si="13"/>
        <v>20.161554029549627</v>
      </c>
    </row>
    <row r="182" spans="1:10" x14ac:dyDescent="0.25">
      <c r="A182" s="82">
        <f>'A) Base RI'!A184</f>
        <v>5693</v>
      </c>
      <c r="B182" s="147" t="str">
        <f>'A) Base RI'!B184</f>
        <v>Montanaire</v>
      </c>
      <c r="C182" s="158">
        <f>'B) D RI'!U184</f>
        <v>59073.542638888895</v>
      </c>
      <c r="D182" s="247">
        <f>'E) Fact soc'!G188/C182</f>
        <v>17.313545199792742</v>
      </c>
      <c r="E182" s="247">
        <f>'H) Péréquation directe'!I193/'H) Péréquation directe'!C193</f>
        <v>-8.3149513719973545</v>
      </c>
      <c r="F182" s="242">
        <f>'I) Dépenses thématiques'!P182</f>
        <v>-2.6888348472846486</v>
      </c>
      <c r="G182" s="190">
        <f>SUM(D182:F182)</f>
        <v>6.3097589805107388</v>
      </c>
      <c r="H182" s="161">
        <f t="shared" si="12"/>
        <v>0</v>
      </c>
      <c r="I182" s="206">
        <f>H182*C182</f>
        <v>0</v>
      </c>
      <c r="J182" s="63">
        <f>G182+H182</f>
        <v>6.3097589805107388</v>
      </c>
    </row>
    <row r="183" spans="1:10" x14ac:dyDescent="0.25">
      <c r="A183" s="82">
        <f>'A) Base RI'!A185</f>
        <v>5701</v>
      </c>
      <c r="B183" s="147" t="str">
        <f>'A) Base RI'!B185</f>
        <v>Arnex-sur-Nyon</v>
      </c>
      <c r="C183" s="158">
        <f>'B) D RI'!U185</f>
        <v>14424.549365079363</v>
      </c>
      <c r="D183" s="247">
        <f>'E) Fact soc'!G189/C183</f>
        <v>21.222817040643157</v>
      </c>
      <c r="E183" s="247">
        <f>'H) Péréquation directe'!I194/'H) Péréquation directe'!C194</f>
        <v>17.080393839754962</v>
      </c>
      <c r="F183" s="242">
        <f>'I) Dépenses thématiques'!P183</f>
        <v>0</v>
      </c>
      <c r="G183" s="190">
        <f>SUM(D183:F183)</f>
        <v>38.303210880398119</v>
      </c>
      <c r="H183" s="161">
        <f t="shared" si="12"/>
        <v>0</v>
      </c>
      <c r="I183" s="206">
        <f>H183*C183</f>
        <v>0</v>
      </c>
      <c r="J183" s="63">
        <f>G183+H183</f>
        <v>38.303210880398119</v>
      </c>
    </row>
    <row r="184" spans="1:10" x14ac:dyDescent="0.25">
      <c r="A184" s="82">
        <f>'A) Base RI'!A186</f>
        <v>5702</v>
      </c>
      <c r="B184" s="147" t="str">
        <f>'A) Base RI'!B186</f>
        <v>Arzier-Le Muids</v>
      </c>
      <c r="C184" s="158">
        <f>'B) D RI'!U186</f>
        <v>123913.10833333334</v>
      </c>
      <c r="D184" s="247">
        <f>'E) Fact soc'!G190/C184</f>
        <v>17.848099124793809</v>
      </c>
      <c r="E184" s="247">
        <f>'H) Péréquation directe'!I195/'H) Péréquation directe'!C195</f>
        <v>13.67585740357171</v>
      </c>
      <c r="F184" s="242">
        <f>'I) Dépenses thématiques'!P184</f>
        <v>-2.6852445594772627</v>
      </c>
      <c r="G184" s="190">
        <f t="shared" si="15"/>
        <v>28.838711968888255</v>
      </c>
      <c r="H184" s="161">
        <f t="shared" si="12"/>
        <v>0</v>
      </c>
      <c r="I184" s="206">
        <f t="shared" si="14"/>
        <v>0</v>
      </c>
      <c r="J184" s="63">
        <f t="shared" si="13"/>
        <v>28.838711968888255</v>
      </c>
    </row>
    <row r="185" spans="1:10" x14ac:dyDescent="0.25">
      <c r="A185" s="82">
        <f>'A) Base RI'!A187</f>
        <v>5703</v>
      </c>
      <c r="B185" s="147" t="str">
        <f>'A) Base RI'!B187</f>
        <v>Bassins</v>
      </c>
      <c r="C185" s="158">
        <f>'B) D RI'!U187</f>
        <v>52680.758714285716</v>
      </c>
      <c r="D185" s="247">
        <f>'E) Fact soc'!G191/C185</f>
        <v>18.392604289936457</v>
      </c>
      <c r="E185" s="247">
        <f>'H) Péréquation directe'!I196/'H) Péréquation directe'!C196</f>
        <v>12.650303044865055</v>
      </c>
      <c r="F185" s="242">
        <f>'I) Dépenses thématiques'!P185</f>
        <v>-5.033868275099227</v>
      </c>
      <c r="G185" s="190">
        <f t="shared" si="15"/>
        <v>26.009039059702285</v>
      </c>
      <c r="H185" s="161">
        <f t="shared" si="12"/>
        <v>0</v>
      </c>
      <c r="I185" s="206">
        <f t="shared" si="14"/>
        <v>0</v>
      </c>
      <c r="J185" s="63">
        <f t="shared" si="13"/>
        <v>26.009039059702285</v>
      </c>
    </row>
    <row r="186" spans="1:10" x14ac:dyDescent="0.25">
      <c r="A186" s="82">
        <f>'A) Base RI'!A188</f>
        <v>5704</v>
      </c>
      <c r="B186" s="147" t="str">
        <f>'A) Base RI'!B188</f>
        <v>Begnins</v>
      </c>
      <c r="C186" s="158">
        <f>'B) D RI'!U188</f>
        <v>98583.13114427861</v>
      </c>
      <c r="D186" s="247">
        <f>'E) Fact soc'!G192/C186</f>
        <v>23.178152073054633</v>
      </c>
      <c r="E186" s="247">
        <f>'H) Péréquation directe'!I197/'H) Péréquation directe'!C197</f>
        <v>15.000705682977332</v>
      </c>
      <c r="F186" s="242">
        <f>'I) Dépenses thématiques'!P186</f>
        <v>0</v>
      </c>
      <c r="G186" s="190">
        <f t="shared" si="15"/>
        <v>38.178857756031967</v>
      </c>
      <c r="H186" s="161">
        <f t="shared" si="12"/>
        <v>0</v>
      </c>
      <c r="I186" s="206">
        <f t="shared" si="14"/>
        <v>0</v>
      </c>
      <c r="J186" s="63">
        <f t="shared" si="13"/>
        <v>38.178857756031967</v>
      </c>
    </row>
    <row r="187" spans="1:10" x14ac:dyDescent="0.25">
      <c r="A187" s="82">
        <f>'A) Base RI'!A189</f>
        <v>5705</v>
      </c>
      <c r="B187" s="147" t="str">
        <f>'A) Base RI'!B189</f>
        <v>Bogis-Bossey</v>
      </c>
      <c r="C187" s="158">
        <f>'B) D RI'!U189</f>
        <v>43467.757968750004</v>
      </c>
      <c r="D187" s="247">
        <f>'E) Fact soc'!G193/C187</f>
        <v>16.716952998059554</v>
      </c>
      <c r="E187" s="247">
        <f>'H) Péréquation directe'!I198/'H) Péréquation directe'!C198</f>
        <v>16.646430223527997</v>
      </c>
      <c r="F187" s="242">
        <f>'I) Dépenses thématiques'!P187</f>
        <v>0</v>
      </c>
      <c r="G187" s="190">
        <f t="shared" si="15"/>
        <v>33.363383221587554</v>
      </c>
      <c r="H187" s="161">
        <f t="shared" si="12"/>
        <v>0</v>
      </c>
      <c r="I187" s="206">
        <f t="shared" si="14"/>
        <v>0</v>
      </c>
      <c r="J187" s="63">
        <f t="shared" si="13"/>
        <v>33.363383221587554</v>
      </c>
    </row>
    <row r="188" spans="1:10" x14ac:dyDescent="0.25">
      <c r="A188" s="82">
        <f>'A) Base RI'!A190</f>
        <v>5706</v>
      </c>
      <c r="B188" s="147" t="str">
        <f>'A) Base RI'!B190</f>
        <v>Borex</v>
      </c>
      <c r="C188" s="158">
        <f>'B) D RI'!U190</f>
        <v>92938.421228070161</v>
      </c>
      <c r="D188" s="247">
        <f>'E) Fact soc'!G194/C188</f>
        <v>25.588567943218955</v>
      </c>
      <c r="E188" s="247">
        <f>'H) Péréquation directe'!I199/'H) Péréquation directe'!C199</f>
        <v>17.313322699708507</v>
      </c>
      <c r="F188" s="242">
        <f>'I) Dépenses thématiques'!P188</f>
        <v>-1.0116345012961421</v>
      </c>
      <c r="G188" s="190">
        <f t="shared" si="15"/>
        <v>41.890256141631319</v>
      </c>
      <c r="H188" s="161">
        <f t="shared" si="12"/>
        <v>0</v>
      </c>
      <c r="I188" s="206">
        <f t="shared" si="14"/>
        <v>0</v>
      </c>
      <c r="J188" s="63">
        <f t="shared" si="13"/>
        <v>41.890256141631319</v>
      </c>
    </row>
    <row r="189" spans="1:10" x14ac:dyDescent="0.25">
      <c r="A189" s="82">
        <f>'A) Base RI'!A191</f>
        <v>5707</v>
      </c>
      <c r="B189" s="147" t="str">
        <f>'A) Base RI'!B191</f>
        <v>Chavannes-de-Bogis</v>
      </c>
      <c r="C189" s="158">
        <f>'B) D RI'!U191</f>
        <v>97999.943502824884</v>
      </c>
      <c r="D189" s="247">
        <f>'E) Fact soc'!G195/C189</f>
        <v>24.719285761649022</v>
      </c>
      <c r="E189" s="247">
        <f>'H) Péréquation directe'!I200/'H) Péréquation directe'!C200</f>
        <v>16.824925809576946</v>
      </c>
      <c r="F189" s="242">
        <f>'I) Dépenses thématiques'!P189</f>
        <v>0</v>
      </c>
      <c r="G189" s="190">
        <f t="shared" si="15"/>
        <v>41.544211571225972</v>
      </c>
      <c r="H189" s="161">
        <f t="shared" si="12"/>
        <v>0</v>
      </c>
      <c r="I189" s="206">
        <f t="shared" si="14"/>
        <v>0</v>
      </c>
      <c r="J189" s="63">
        <f t="shared" si="13"/>
        <v>41.544211571225972</v>
      </c>
    </row>
    <row r="190" spans="1:10" x14ac:dyDescent="0.25">
      <c r="A190" s="82">
        <f>'A) Base RI'!A192</f>
        <v>5708</v>
      </c>
      <c r="B190" s="147" t="str">
        <f>'A) Base RI'!B192</f>
        <v>Chavannes-des-Bois</v>
      </c>
      <c r="C190" s="158">
        <f>'B) D RI'!U192</f>
        <v>60199.422131147534</v>
      </c>
      <c r="D190" s="247">
        <f>'E) Fact soc'!G196/C190</f>
        <v>22.13909608135922</v>
      </c>
      <c r="E190" s="247">
        <f>'H) Péréquation directe'!I201/'H) Péréquation directe'!C201</f>
        <v>17.075856798150784</v>
      </c>
      <c r="F190" s="242">
        <f>'I) Dépenses thématiques'!P190</f>
        <v>0</v>
      </c>
      <c r="G190" s="190">
        <f t="shared" si="15"/>
        <v>39.214952879510008</v>
      </c>
      <c r="H190" s="161">
        <f t="shared" si="12"/>
        <v>0</v>
      </c>
      <c r="I190" s="206">
        <f t="shared" si="14"/>
        <v>0</v>
      </c>
      <c r="J190" s="63">
        <f t="shared" si="13"/>
        <v>39.214952879510008</v>
      </c>
    </row>
    <row r="191" spans="1:10" x14ac:dyDescent="0.25">
      <c r="A191" s="82">
        <f>'A) Base RI'!A193</f>
        <v>5709</v>
      </c>
      <c r="B191" s="147" t="str">
        <f>'A) Base RI'!B193</f>
        <v>Chéserex</v>
      </c>
      <c r="C191" s="158">
        <f>'B) D RI'!U193</f>
        <v>145967.90288461538</v>
      </c>
      <c r="D191" s="247">
        <f>'E) Fact soc'!G197/C191</f>
        <v>25.476627104844148</v>
      </c>
      <c r="E191" s="247">
        <f>'H) Péréquation directe'!I202/'H) Péréquation directe'!C202</f>
        <v>16.905423361634483</v>
      </c>
      <c r="F191" s="242">
        <f>'I) Dépenses thématiques'!P191</f>
        <v>0</v>
      </c>
      <c r="G191" s="190">
        <f t="shared" si="15"/>
        <v>42.382050466478631</v>
      </c>
      <c r="H191" s="161">
        <f t="shared" si="12"/>
        <v>0</v>
      </c>
      <c r="I191" s="206">
        <f t="shared" si="14"/>
        <v>0</v>
      </c>
      <c r="J191" s="63">
        <f t="shared" si="13"/>
        <v>42.382050466478631</v>
      </c>
    </row>
    <row r="192" spans="1:10" x14ac:dyDescent="0.25">
      <c r="A192" s="82">
        <f>'A) Base RI'!A194</f>
        <v>5710</v>
      </c>
      <c r="B192" s="147" t="str">
        <f>'A) Base RI'!B194</f>
        <v>Coinsins</v>
      </c>
      <c r="C192" s="158">
        <f>'B) D RI'!U194</f>
        <v>102493.90717948719</v>
      </c>
      <c r="D192" s="247">
        <f>'E) Fact soc'!G198/C192</f>
        <v>26.312393663894035</v>
      </c>
      <c r="E192" s="247">
        <f>'H) Péréquation directe'!I203/'H) Péréquation directe'!C203</f>
        <v>17.79483692748131</v>
      </c>
      <c r="F192" s="242">
        <f>'I) Dépenses thématiques'!P192</f>
        <v>0</v>
      </c>
      <c r="G192" s="190">
        <f t="shared" si="15"/>
        <v>44.107230591375341</v>
      </c>
      <c r="H192" s="161">
        <f t="shared" si="12"/>
        <v>0</v>
      </c>
      <c r="I192" s="206">
        <f t="shared" si="14"/>
        <v>0</v>
      </c>
      <c r="J192" s="63">
        <f t="shared" si="13"/>
        <v>44.107230591375341</v>
      </c>
    </row>
    <row r="193" spans="1:10" x14ac:dyDescent="0.25">
      <c r="A193" s="82">
        <f>'A) Base RI'!A195</f>
        <v>5711</v>
      </c>
      <c r="B193" s="147" t="str">
        <f>'A) Base RI'!B195</f>
        <v>Commugny</v>
      </c>
      <c r="C193" s="158">
        <f>'B) D RI'!U195</f>
        <v>235951.75200265253</v>
      </c>
      <c r="D193" s="247">
        <f>'E) Fact soc'!G199/C193</f>
        <v>24.572658916742569</v>
      </c>
      <c r="E193" s="247">
        <f>'H) Péréquation directe'!I204/'H) Péréquation directe'!C204</f>
        <v>15.301593965805088</v>
      </c>
      <c r="F193" s="242">
        <f>'I) Dépenses thématiques'!P193</f>
        <v>0</v>
      </c>
      <c r="G193" s="190">
        <f t="shared" si="15"/>
        <v>39.874252882547658</v>
      </c>
      <c r="H193" s="161">
        <f t="shared" si="12"/>
        <v>0</v>
      </c>
      <c r="I193" s="206">
        <f t="shared" si="14"/>
        <v>0</v>
      </c>
      <c r="J193" s="63">
        <f t="shared" si="13"/>
        <v>39.874252882547658</v>
      </c>
    </row>
    <row r="194" spans="1:10" x14ac:dyDescent="0.25">
      <c r="A194" s="82">
        <f>'A) Base RI'!A196</f>
        <v>5712</v>
      </c>
      <c r="B194" s="147" t="str">
        <f>'A) Base RI'!B196</f>
        <v>Coppet</v>
      </c>
      <c r="C194" s="158">
        <f>'B) D RI'!U196</f>
        <v>292636.3057232704</v>
      </c>
      <c r="D194" s="247">
        <f>'E) Fact soc'!G200/C194</f>
        <v>26.252681595987529</v>
      </c>
      <c r="E194" s="247">
        <f>'H) Péréquation directe'!I205/'H) Péréquation directe'!C205</f>
        <v>15.282080163836289</v>
      </c>
      <c r="F194" s="242">
        <f>'I) Dépenses thématiques'!P194</f>
        <v>0</v>
      </c>
      <c r="G194" s="190">
        <f t="shared" si="15"/>
        <v>41.534761759823816</v>
      </c>
      <c r="H194" s="161">
        <f t="shared" si="12"/>
        <v>0</v>
      </c>
      <c r="I194" s="206">
        <f t="shared" si="14"/>
        <v>0</v>
      </c>
      <c r="J194" s="63">
        <f t="shared" si="13"/>
        <v>41.534761759823816</v>
      </c>
    </row>
    <row r="195" spans="1:10" x14ac:dyDescent="0.25">
      <c r="A195" s="82">
        <f>'A) Base RI'!A197</f>
        <v>5713</v>
      </c>
      <c r="B195" s="147" t="str">
        <f>'A) Base RI'!B197</f>
        <v>Crans-près-Céligny</v>
      </c>
      <c r="C195" s="158">
        <f>'B) D RI'!U197</f>
        <v>335979.11377358483</v>
      </c>
      <c r="D195" s="247">
        <f>'E) Fact soc'!G201/C195</f>
        <v>31.213033343469945</v>
      </c>
      <c r="E195" s="247">
        <f>'H) Péréquation directe'!I206/'H) Péréquation directe'!C206</f>
        <v>16.39669910021971</v>
      </c>
      <c r="F195" s="242">
        <f>'I) Dépenses thématiques'!P195</f>
        <v>0</v>
      </c>
      <c r="G195" s="190">
        <f t="shared" si="15"/>
        <v>47.609732443689651</v>
      </c>
      <c r="H195" s="161">
        <f t="shared" si="12"/>
        <v>0</v>
      </c>
      <c r="I195" s="206">
        <f t="shared" si="14"/>
        <v>0</v>
      </c>
      <c r="J195" s="63">
        <f t="shared" si="13"/>
        <v>47.609732443689651</v>
      </c>
    </row>
    <row r="196" spans="1:10" x14ac:dyDescent="0.25">
      <c r="A196" s="82">
        <f>'A) Base RI'!A198</f>
        <v>5714</v>
      </c>
      <c r="B196" s="147" t="str">
        <f>'A) Base RI'!B198</f>
        <v>Crassier</v>
      </c>
      <c r="C196" s="158">
        <f>'B) D RI'!U198</f>
        <v>64394.622031249986</v>
      </c>
      <c r="D196" s="247">
        <f>'E) Fact soc'!G202/C196</f>
        <v>19.916561394466992</v>
      </c>
      <c r="E196" s="247">
        <f>'H) Péréquation directe'!I207/'H) Péréquation directe'!C207</f>
        <v>16.347722249652875</v>
      </c>
      <c r="F196" s="242">
        <f>'I) Dépenses thématiques'!P196</f>
        <v>0</v>
      </c>
      <c r="G196" s="190">
        <f t="shared" si="15"/>
        <v>36.264283644119871</v>
      </c>
      <c r="H196" s="161">
        <f t="shared" si="12"/>
        <v>0</v>
      </c>
      <c r="I196" s="206">
        <f t="shared" si="14"/>
        <v>0</v>
      </c>
      <c r="J196" s="63">
        <f t="shared" si="13"/>
        <v>36.264283644119871</v>
      </c>
    </row>
    <row r="197" spans="1:10" x14ac:dyDescent="0.25">
      <c r="A197" s="82">
        <f>'A) Base RI'!A199</f>
        <v>5715</v>
      </c>
      <c r="B197" s="147" t="str">
        <f>'A) Base RI'!B199</f>
        <v>Duillier</v>
      </c>
      <c r="C197" s="158">
        <f>'B) D RI'!U199</f>
        <v>60430.509848484849</v>
      </c>
      <c r="D197" s="247">
        <f>'E) Fact soc'!G203/C197</f>
        <v>16.686694085593906</v>
      </c>
      <c r="E197" s="247">
        <f>'H) Péréquation directe'!I208/'H) Péréquation directe'!C208</f>
        <v>16.772807004565674</v>
      </c>
      <c r="F197" s="242">
        <f>'I) Dépenses thématiques'!P197</f>
        <v>0</v>
      </c>
      <c r="G197" s="190">
        <f t="shared" si="15"/>
        <v>33.459501090159577</v>
      </c>
      <c r="H197" s="161">
        <f t="shared" si="12"/>
        <v>0</v>
      </c>
      <c r="I197" s="206">
        <f t="shared" si="14"/>
        <v>0</v>
      </c>
      <c r="J197" s="63">
        <f t="shared" si="13"/>
        <v>33.459501090159577</v>
      </c>
    </row>
    <row r="198" spans="1:10" x14ac:dyDescent="0.25">
      <c r="A198" s="82">
        <f>'A) Base RI'!A200</f>
        <v>5716</v>
      </c>
      <c r="B198" s="147" t="str">
        <f>'A) Base RI'!B200</f>
        <v>Eysins</v>
      </c>
      <c r="C198" s="158">
        <f>'B) D RI'!U200</f>
        <v>137603.84967213115</v>
      </c>
      <c r="D198" s="247">
        <f>'E) Fact soc'!G204/C198</f>
        <v>26.622279325536809</v>
      </c>
      <c r="E198" s="247">
        <f>'H) Péréquation directe'!I209/'H) Péréquation directe'!C209</f>
        <v>16.243035493802299</v>
      </c>
      <c r="F198" s="242">
        <f>'I) Dépenses thématiques'!P198</f>
        <v>0</v>
      </c>
      <c r="G198" s="190">
        <f t="shared" si="15"/>
        <v>42.865314819339105</v>
      </c>
      <c r="H198" s="161">
        <f t="shared" si="12"/>
        <v>0</v>
      </c>
      <c r="I198" s="206">
        <f t="shared" si="14"/>
        <v>0</v>
      </c>
      <c r="J198" s="63">
        <f t="shared" si="13"/>
        <v>42.865314819339105</v>
      </c>
    </row>
    <row r="199" spans="1:10" x14ac:dyDescent="0.25">
      <c r="A199" s="82">
        <f>'A) Base RI'!A201</f>
        <v>5717</v>
      </c>
      <c r="B199" s="147" t="str">
        <f>'A) Base RI'!B201</f>
        <v>Founex</v>
      </c>
      <c r="C199" s="158">
        <f>'B) D RI'!U201</f>
        <v>331728.2661403509</v>
      </c>
      <c r="D199" s="247">
        <f>'E) Fact soc'!G205/C199</f>
        <v>27.466824253583528</v>
      </c>
      <c r="E199" s="247">
        <f>'H) Péréquation directe'!I210/'H) Péréquation directe'!C210</f>
        <v>15.000633618973342</v>
      </c>
      <c r="F199" s="242">
        <f>'I) Dépenses thématiques'!P199</f>
        <v>0</v>
      </c>
      <c r="G199" s="190">
        <f t="shared" si="15"/>
        <v>42.467457872556871</v>
      </c>
      <c r="H199" s="161">
        <f t="shared" si="12"/>
        <v>0</v>
      </c>
      <c r="I199" s="206">
        <f t="shared" si="14"/>
        <v>0</v>
      </c>
      <c r="J199" s="63">
        <f t="shared" si="13"/>
        <v>42.467457872556871</v>
      </c>
    </row>
    <row r="200" spans="1:10" x14ac:dyDescent="0.25">
      <c r="A200" s="82">
        <f>'A) Base RI'!A202</f>
        <v>5718</v>
      </c>
      <c r="B200" s="147" t="str">
        <f>'A) Base RI'!B202</f>
        <v>Genolier</v>
      </c>
      <c r="C200" s="158">
        <f>'B) D RI'!U202</f>
        <v>178659.63072727274</v>
      </c>
      <c r="D200" s="247">
        <f>'E) Fact soc'!G206/C200</f>
        <v>25.59568665086492</v>
      </c>
      <c r="E200" s="247">
        <f>'H) Péréquation directe'!I211/'H) Péréquation directe'!C211</f>
        <v>15.774785179794232</v>
      </c>
      <c r="F200" s="242">
        <f>'I) Dépenses thématiques'!P200</f>
        <v>0</v>
      </c>
      <c r="G200" s="190">
        <f t="shared" si="15"/>
        <v>41.370471830659156</v>
      </c>
      <c r="H200" s="161">
        <f t="shared" si="12"/>
        <v>0</v>
      </c>
      <c r="I200" s="206">
        <f t="shared" si="14"/>
        <v>0</v>
      </c>
      <c r="J200" s="63">
        <f t="shared" si="13"/>
        <v>41.370471830659156</v>
      </c>
    </row>
    <row r="201" spans="1:10" x14ac:dyDescent="0.25">
      <c r="A201" s="82">
        <f>'A) Base RI'!A203</f>
        <v>5719</v>
      </c>
      <c r="B201" s="147" t="str">
        <f>'A) Base RI'!B203</f>
        <v>Gingins</v>
      </c>
      <c r="C201" s="158">
        <f>'B) D RI'!U203</f>
        <v>96095.319738562102</v>
      </c>
      <c r="D201" s="247">
        <f>'E) Fact soc'!G207/C201</f>
        <v>21.587571610013232</v>
      </c>
      <c r="E201" s="247">
        <f>'H) Péréquation directe'!I212/'H) Péréquation directe'!C212</f>
        <v>16.473175761813383</v>
      </c>
      <c r="F201" s="242">
        <f>'I) Dépenses thématiques'!P201</f>
        <v>0</v>
      </c>
      <c r="G201" s="190">
        <f t="shared" si="15"/>
        <v>38.060747371826615</v>
      </c>
      <c r="H201" s="161">
        <f t="shared" si="12"/>
        <v>0</v>
      </c>
      <c r="I201" s="206">
        <f t="shared" si="14"/>
        <v>0</v>
      </c>
      <c r="J201" s="63">
        <f t="shared" si="13"/>
        <v>38.060747371826615</v>
      </c>
    </row>
    <row r="202" spans="1:10" x14ac:dyDescent="0.25">
      <c r="A202" s="82">
        <f>'A) Base RI'!A204</f>
        <v>5720</v>
      </c>
      <c r="B202" s="147" t="str">
        <f>'A) Base RI'!B204</f>
        <v>Givrins</v>
      </c>
      <c r="C202" s="158">
        <f>'B) D RI'!U204</f>
        <v>74875.243533697634</v>
      </c>
      <c r="D202" s="247">
        <f>'E) Fact soc'!G208/C202</f>
        <v>22.565000491971798</v>
      </c>
      <c r="E202" s="247">
        <f>'H) Péréquation directe'!I213/'H) Péréquation directe'!C213</f>
        <v>17.11557173927898</v>
      </c>
      <c r="F202" s="242">
        <f>'I) Dépenses thématiques'!P202</f>
        <v>-0.51936454694025591</v>
      </c>
      <c r="G202" s="190">
        <f t="shared" si="15"/>
        <v>39.161207684310526</v>
      </c>
      <c r="H202" s="161">
        <f t="shared" si="12"/>
        <v>0</v>
      </c>
      <c r="I202" s="206">
        <f t="shared" si="14"/>
        <v>0</v>
      </c>
      <c r="J202" s="63">
        <f t="shared" si="13"/>
        <v>39.161207684310526</v>
      </c>
    </row>
    <row r="203" spans="1:10" x14ac:dyDescent="0.25">
      <c r="A203" s="82">
        <f>'A) Base RI'!A205</f>
        <v>5721</v>
      </c>
      <c r="B203" s="147" t="str">
        <f>'A) Base RI'!B205</f>
        <v>Gland</v>
      </c>
      <c r="C203" s="158">
        <f>'B) D RI'!U205</f>
        <v>545180.59375999996</v>
      </c>
      <c r="D203" s="247">
        <f>'E) Fact soc'!G209/C203</f>
        <v>18.112766584038205</v>
      </c>
      <c r="E203" s="247">
        <f>'H) Péréquation directe'!I214/'H) Péréquation directe'!C214</f>
        <v>5.2270704292597259</v>
      </c>
      <c r="F203" s="242">
        <f>'I) Dépenses thématiques'!P203</f>
        <v>0</v>
      </c>
      <c r="G203" s="190">
        <f t="shared" si="15"/>
        <v>23.339837013297931</v>
      </c>
      <c r="H203" s="161">
        <f t="shared" si="12"/>
        <v>0</v>
      </c>
      <c r="I203" s="206">
        <f t="shared" si="14"/>
        <v>0</v>
      </c>
      <c r="J203" s="63">
        <f t="shared" si="13"/>
        <v>23.339837013297931</v>
      </c>
    </row>
    <row r="204" spans="1:10" x14ac:dyDescent="0.25">
      <c r="A204" s="82">
        <f>'A) Base RI'!A206</f>
        <v>5722</v>
      </c>
      <c r="B204" s="147" t="str">
        <f>'A) Base RI'!B206</f>
        <v>Grens</v>
      </c>
      <c r="C204" s="158">
        <f>'B) D RI'!U206</f>
        <v>17973.033684210524</v>
      </c>
      <c r="D204" s="247">
        <f>'E) Fact soc'!G210/C204</f>
        <v>16.260424306710846</v>
      </c>
      <c r="E204" s="247">
        <f>'H) Péréquation directe'!I215/'H) Péréquation directe'!C215</f>
        <v>16.519526153274541</v>
      </c>
      <c r="F204" s="242">
        <f>'I) Dépenses thématiques'!P204</f>
        <v>0</v>
      </c>
      <c r="G204" s="190">
        <f t="shared" si="15"/>
        <v>32.779950459985386</v>
      </c>
      <c r="H204" s="161">
        <f t="shared" si="12"/>
        <v>0</v>
      </c>
      <c r="I204" s="206">
        <f t="shared" si="14"/>
        <v>0</v>
      </c>
      <c r="J204" s="63">
        <f t="shared" si="13"/>
        <v>32.779950459985386</v>
      </c>
    </row>
    <row r="205" spans="1:10" x14ac:dyDescent="0.25">
      <c r="A205" s="82">
        <f>'A) Base RI'!A207</f>
        <v>5723</v>
      </c>
      <c r="B205" s="147" t="str">
        <f>'A) Base RI'!B207</f>
        <v>Mies</v>
      </c>
      <c r="C205" s="158">
        <f>'B) D RI'!U207</f>
        <v>194683.98403846152</v>
      </c>
      <c r="D205" s="247">
        <f>'E) Fact soc'!G211/C205</f>
        <v>39.02126418067467</v>
      </c>
      <c r="E205" s="247">
        <f>'H) Péréquation directe'!I216/'H) Péréquation directe'!C216</f>
        <v>16.073070765244161</v>
      </c>
      <c r="F205" s="242">
        <f>'I) Dépenses thématiques'!P205</f>
        <v>0</v>
      </c>
      <c r="G205" s="190">
        <f>SUM(D205:F205)</f>
        <v>55.094334945918831</v>
      </c>
      <c r="H205" s="161">
        <f t="shared" si="12"/>
        <v>-1.0470621516344067</v>
      </c>
      <c r="I205" s="206">
        <f>H205*C205</f>
        <v>-203846.23121607001</v>
      </c>
      <c r="J205" s="63">
        <f t="shared" si="13"/>
        <v>54.047272794284424</v>
      </c>
    </row>
    <row r="206" spans="1:10" x14ac:dyDescent="0.25">
      <c r="A206" s="82">
        <f>'A) Base RI'!A208</f>
        <v>5724</v>
      </c>
      <c r="B206" s="147" t="str">
        <f>'A) Base RI'!B208</f>
        <v>Nyon</v>
      </c>
      <c r="C206" s="158">
        <f>'B) D RI'!U208</f>
        <v>1278048.420189155</v>
      </c>
      <c r="D206" s="247">
        <f>'E) Fact soc'!G212/C206</f>
        <v>20.338013331594727</v>
      </c>
      <c r="E206" s="247">
        <f>'H) Péréquation directe'!I217/'H) Péréquation directe'!C217</f>
        <v>6.4603090332047675</v>
      </c>
      <c r="F206" s="242">
        <f>'I) Dépenses thématiques'!P206</f>
        <v>0</v>
      </c>
      <c r="G206" s="190">
        <f t="shared" si="15"/>
        <v>26.798322364799496</v>
      </c>
      <c r="H206" s="161">
        <f t="shared" si="12"/>
        <v>0</v>
      </c>
      <c r="I206" s="206">
        <f t="shared" si="14"/>
        <v>0</v>
      </c>
      <c r="J206" s="63">
        <f t="shared" si="13"/>
        <v>26.798322364799496</v>
      </c>
    </row>
    <row r="207" spans="1:10" x14ac:dyDescent="0.25">
      <c r="A207" s="82">
        <f>'A) Base RI'!A209</f>
        <v>5725</v>
      </c>
      <c r="B207" s="147" t="str">
        <f>'A) Base RI'!B209</f>
        <v>Prangins</v>
      </c>
      <c r="C207" s="158">
        <f>'B) D RI'!U209</f>
        <v>330908.64043367346</v>
      </c>
      <c r="D207" s="247">
        <f>'E) Fact soc'!G213/C207</f>
        <v>24.984409822182002</v>
      </c>
      <c r="E207" s="247">
        <f>'H) Péréquation directe'!I218/'H) Péréquation directe'!C218</f>
        <v>14.100585730302166</v>
      </c>
      <c r="F207" s="242">
        <f>'I) Dépenses thématiques'!P207</f>
        <v>0</v>
      </c>
      <c r="G207" s="190">
        <f t="shared" si="15"/>
        <v>39.084995552484166</v>
      </c>
      <c r="H207" s="161">
        <f t="shared" si="12"/>
        <v>0</v>
      </c>
      <c r="I207" s="206">
        <f t="shared" si="14"/>
        <v>0</v>
      </c>
      <c r="J207" s="63">
        <f t="shared" si="13"/>
        <v>39.084995552484166</v>
      </c>
    </row>
    <row r="208" spans="1:10" x14ac:dyDescent="0.25">
      <c r="A208" s="82">
        <f>'A) Base RI'!A210</f>
        <v>5726</v>
      </c>
      <c r="B208" s="147" t="str">
        <f>'A) Base RI'!B210</f>
        <v>La Rippe</v>
      </c>
      <c r="C208" s="158">
        <f>'B) D RI'!U210</f>
        <v>52407.476615384607</v>
      </c>
      <c r="D208" s="247">
        <f>'E) Fact soc'!G214/C208</f>
        <v>17.064371939346305</v>
      </c>
      <c r="E208" s="247">
        <f>'H) Péréquation directe'!I219/'H) Péréquation directe'!C219</f>
        <v>16.267087351993155</v>
      </c>
      <c r="F208" s="242">
        <f>'I) Dépenses thématiques'!P208</f>
        <v>-1.4727669596925805</v>
      </c>
      <c r="G208" s="190">
        <f t="shared" si="15"/>
        <v>31.858692331646875</v>
      </c>
      <c r="H208" s="161">
        <f t="shared" si="12"/>
        <v>0</v>
      </c>
      <c r="I208" s="206">
        <f t="shared" si="14"/>
        <v>0</v>
      </c>
      <c r="J208" s="63">
        <f t="shared" si="13"/>
        <v>31.858692331646875</v>
      </c>
    </row>
    <row r="209" spans="1:10" x14ac:dyDescent="0.25">
      <c r="A209" s="82">
        <f>'A) Base RI'!A211</f>
        <v>5727</v>
      </c>
      <c r="B209" s="147" t="str">
        <f>'A) Base RI'!B211</f>
        <v>Saint-Cergue</v>
      </c>
      <c r="C209" s="158">
        <f>'B) D RI'!U211</f>
        <v>86282.692626262622</v>
      </c>
      <c r="D209" s="247">
        <f>'E) Fact soc'!G215/C209</f>
        <v>18.741702954696965</v>
      </c>
      <c r="E209" s="247">
        <f>'H) Péréquation directe'!I220/'H) Péréquation directe'!C220</f>
        <v>8.6801760554810503</v>
      </c>
      <c r="F209" s="242">
        <f>'I) Dépenses thématiques'!P209</f>
        <v>-1.1004176748547616</v>
      </c>
      <c r="G209" s="190">
        <f t="shared" si="15"/>
        <v>26.321461335323256</v>
      </c>
      <c r="H209" s="161">
        <f t="shared" si="12"/>
        <v>0</v>
      </c>
      <c r="I209" s="206">
        <f t="shared" si="14"/>
        <v>0</v>
      </c>
      <c r="J209" s="63">
        <f t="shared" si="13"/>
        <v>26.321461335323256</v>
      </c>
    </row>
    <row r="210" spans="1:10" x14ac:dyDescent="0.25">
      <c r="A210" s="82">
        <f>'A) Base RI'!A212</f>
        <v>5728</v>
      </c>
      <c r="B210" s="147" t="str">
        <f>'A) Base RI'!B212</f>
        <v>Signy-Avenex</v>
      </c>
      <c r="C210" s="158">
        <f>'B) D RI'!U212</f>
        <v>39079.357857142866</v>
      </c>
      <c r="D210" s="247">
        <f>'E) Fact soc'!G216/C210</f>
        <v>24.664738432615515</v>
      </c>
      <c r="E210" s="247">
        <f>'H) Péréquation directe'!I221/'H) Péréquation directe'!C221</f>
        <v>17.185188591577955</v>
      </c>
      <c r="F210" s="242">
        <f>'I) Dépenses thématiques'!P210</f>
        <v>0</v>
      </c>
      <c r="G210" s="190">
        <f t="shared" si="15"/>
        <v>41.84992702419347</v>
      </c>
      <c r="H210" s="161">
        <f t="shared" si="12"/>
        <v>0</v>
      </c>
      <c r="I210" s="206">
        <f t="shared" si="14"/>
        <v>0</v>
      </c>
      <c r="J210" s="63">
        <f t="shared" si="13"/>
        <v>41.84992702419347</v>
      </c>
    </row>
    <row r="211" spans="1:10" x14ac:dyDescent="0.25">
      <c r="A211" s="82">
        <f>'A) Base RI'!A213</f>
        <v>5729</v>
      </c>
      <c r="B211" s="147" t="str">
        <f>'A) Base RI'!B213</f>
        <v>Tannay</v>
      </c>
      <c r="C211" s="158">
        <f>'B) D RI'!U213</f>
        <v>152150.21945355195</v>
      </c>
      <c r="D211" s="247">
        <f>'E) Fact soc'!G217/C211</f>
        <v>27.106154002475215</v>
      </c>
      <c r="E211" s="247">
        <f>'H) Péréquation directe'!I222/'H) Péréquation directe'!C222</f>
        <v>16.257299162230058</v>
      </c>
      <c r="F211" s="242">
        <f>'I) Dépenses thématiques'!P211</f>
        <v>0</v>
      </c>
      <c r="G211" s="190">
        <f t="shared" si="15"/>
        <v>43.363453164705277</v>
      </c>
      <c r="H211" s="161">
        <f t="shared" si="12"/>
        <v>0</v>
      </c>
      <c r="I211" s="206">
        <f t="shared" si="14"/>
        <v>0</v>
      </c>
      <c r="J211" s="63">
        <f t="shared" si="13"/>
        <v>43.363453164705277</v>
      </c>
    </row>
    <row r="212" spans="1:10" x14ac:dyDescent="0.25">
      <c r="A212" s="82">
        <f>'A) Base RI'!A214</f>
        <v>5730</v>
      </c>
      <c r="B212" s="147" t="str">
        <f>'A) Base RI'!B214</f>
        <v>Trélex</v>
      </c>
      <c r="C212" s="158">
        <f>'B) D RI'!U214</f>
        <v>142541.33792452831</v>
      </c>
      <c r="D212" s="247">
        <f>'E) Fact soc'!G218/C212</f>
        <v>23.997719581083114</v>
      </c>
      <c r="E212" s="247">
        <f>'H) Péréquation directe'!I223/'H) Péréquation directe'!C223</f>
        <v>16.440982678891423</v>
      </c>
      <c r="F212" s="242">
        <f>'I) Dépenses thématiques'!P212</f>
        <v>0</v>
      </c>
      <c r="G212" s="190">
        <f t="shared" si="15"/>
        <v>40.438702259974534</v>
      </c>
      <c r="H212" s="161">
        <f t="shared" si="12"/>
        <v>0</v>
      </c>
      <c r="I212" s="206">
        <f t="shared" si="14"/>
        <v>0</v>
      </c>
      <c r="J212" s="63">
        <f t="shared" si="13"/>
        <v>40.438702259974534</v>
      </c>
    </row>
    <row r="213" spans="1:10" x14ac:dyDescent="0.25">
      <c r="A213" s="82">
        <f>'A) Base RI'!A215</f>
        <v>5731</v>
      </c>
      <c r="B213" s="147" t="str">
        <f>'A) Base RI'!B215</f>
        <v>Le Vaud</v>
      </c>
      <c r="C213" s="158">
        <f>'B) D RI'!U215</f>
        <v>44154.497155555553</v>
      </c>
      <c r="D213" s="247">
        <f>'E) Fact soc'!G219/C213</f>
        <v>16.42801800950275</v>
      </c>
      <c r="E213" s="247">
        <f>'H) Péréquation directe'!I224/'H) Péréquation directe'!C224</f>
        <v>9.2670850973955314</v>
      </c>
      <c r="F213" s="242">
        <f>'I) Dépenses thématiques'!P213</f>
        <v>-3.4837448031190155</v>
      </c>
      <c r="G213" s="190">
        <f t="shared" si="15"/>
        <v>22.211358303779264</v>
      </c>
      <c r="H213" s="161">
        <f t="shared" si="12"/>
        <v>0</v>
      </c>
      <c r="I213" s="206">
        <f t="shared" si="14"/>
        <v>0</v>
      </c>
      <c r="J213" s="63">
        <f t="shared" si="13"/>
        <v>22.211358303779264</v>
      </c>
    </row>
    <row r="214" spans="1:10" x14ac:dyDescent="0.25">
      <c r="A214" s="82">
        <f>'A) Base RI'!A216</f>
        <v>5732</v>
      </c>
      <c r="B214" s="147" t="str">
        <f>'A) Base RI'!B216</f>
        <v>Vich</v>
      </c>
      <c r="C214" s="158">
        <f>'B) D RI'!U216</f>
        <v>40390.161857142848</v>
      </c>
      <c r="D214" s="247">
        <f>'E) Fact soc'!G220/C214</f>
        <v>21.780753774636519</v>
      </c>
      <c r="E214" s="247">
        <f>'H) Péréquation directe'!I225/'H) Péréquation directe'!C225</f>
        <v>16.666806198523602</v>
      </c>
      <c r="F214" s="242">
        <f>'I) Dépenses thématiques'!P214</f>
        <v>0</v>
      </c>
      <c r="G214" s="190">
        <f t="shared" si="15"/>
        <v>38.447559973160125</v>
      </c>
      <c r="H214" s="161">
        <f t="shared" si="12"/>
        <v>0</v>
      </c>
      <c r="I214" s="206">
        <f t="shared" si="14"/>
        <v>0</v>
      </c>
      <c r="J214" s="63">
        <f t="shared" si="13"/>
        <v>38.447559973160125</v>
      </c>
    </row>
    <row r="215" spans="1:10" x14ac:dyDescent="0.25">
      <c r="A215" s="82">
        <f>'A) Base RI'!A217</f>
        <v>5741</v>
      </c>
      <c r="B215" s="147" t="str">
        <f>'A) Base RI'!B217</f>
        <v>L'Abergement</v>
      </c>
      <c r="C215" s="158">
        <f>'B) D RI'!U217</f>
        <v>5658.7408436213982</v>
      </c>
      <c r="D215" s="247">
        <f>'E) Fact soc'!G221/C215</f>
        <v>19.076918744767955</v>
      </c>
      <c r="E215" s="247">
        <f>'H) Péréquation directe'!I226/'H) Péréquation directe'!C226</f>
        <v>-10.327839764650079</v>
      </c>
      <c r="F215" s="242">
        <f>'I) Dépenses thématiques'!P215</f>
        <v>-15.046987015844477</v>
      </c>
      <c r="G215" s="190">
        <f t="shared" si="15"/>
        <v>-6.2979080357266017</v>
      </c>
      <c r="H215" s="161">
        <f t="shared" si="12"/>
        <v>0</v>
      </c>
      <c r="I215" s="206">
        <f t="shared" si="14"/>
        <v>0</v>
      </c>
      <c r="J215" s="63">
        <f t="shared" si="13"/>
        <v>-6.2979080357266017</v>
      </c>
    </row>
    <row r="216" spans="1:10" x14ac:dyDescent="0.25">
      <c r="A216" s="82">
        <f>'A) Base RI'!A218</f>
        <v>5742</v>
      </c>
      <c r="B216" s="147" t="str">
        <f>'A) Base RI'!B218</f>
        <v>Agiez</v>
      </c>
      <c r="C216" s="158">
        <f>'B) D RI'!U218</f>
        <v>8497.199342105263</v>
      </c>
      <c r="D216" s="247">
        <f>'E) Fact soc'!G222/C216</f>
        <v>18.682053741007863</v>
      </c>
      <c r="E216" s="247">
        <f>'H) Péréquation directe'!I227/'H) Péréquation directe'!C227</f>
        <v>2.8183382724228587</v>
      </c>
      <c r="F216" s="242">
        <f>'I) Dépenses thématiques'!P216</f>
        <v>-3.7905430605115016</v>
      </c>
      <c r="G216" s="190">
        <f t="shared" si="15"/>
        <v>17.70984895291922</v>
      </c>
      <c r="H216" s="161">
        <f t="shared" si="12"/>
        <v>0</v>
      </c>
      <c r="I216" s="206">
        <f t="shared" si="14"/>
        <v>0</v>
      </c>
      <c r="J216" s="63">
        <f t="shared" si="13"/>
        <v>17.70984895291922</v>
      </c>
    </row>
    <row r="217" spans="1:10" x14ac:dyDescent="0.25">
      <c r="A217" s="82">
        <f>'A) Base RI'!A219</f>
        <v>5743</v>
      </c>
      <c r="B217" s="147" t="str">
        <f>'A) Base RI'!B219</f>
        <v>Arnex-sur-Orbe</v>
      </c>
      <c r="C217" s="158">
        <f>'B) D RI'!U219</f>
        <v>14235.259246575342</v>
      </c>
      <c r="D217" s="247">
        <f>'E) Fact soc'!G223/C217</f>
        <v>19.613569030603745</v>
      </c>
      <c r="E217" s="247">
        <f>'H) Péréquation directe'!I228/'H) Péréquation directe'!C228</f>
        <v>-4.7280098640134538</v>
      </c>
      <c r="F217" s="242">
        <f>'I) Dépenses thématiques'!P217</f>
        <v>-5.1876118812353766</v>
      </c>
      <c r="G217" s="190">
        <f t="shared" si="15"/>
        <v>9.697947285354914</v>
      </c>
      <c r="H217" s="161">
        <f t="shared" si="12"/>
        <v>0</v>
      </c>
      <c r="I217" s="206">
        <f t="shared" si="14"/>
        <v>0</v>
      </c>
      <c r="J217" s="63">
        <f t="shared" si="13"/>
        <v>9.697947285354914</v>
      </c>
    </row>
    <row r="218" spans="1:10" x14ac:dyDescent="0.25">
      <c r="A218" s="82">
        <f>'A) Base RI'!A220</f>
        <v>5744</v>
      </c>
      <c r="B218" s="147" t="str">
        <f>'A) Base RI'!B220</f>
        <v>Ballaigues</v>
      </c>
      <c r="C218" s="158">
        <f>'B) D RI'!U220</f>
        <v>99800.089242424234</v>
      </c>
      <c r="D218" s="247">
        <f>'E) Fact soc'!G224/C218</f>
        <v>27.607580341112108</v>
      </c>
      <c r="E218" s="247">
        <f>'H) Péréquation directe'!I229/'H) Péréquation directe'!C229</f>
        <v>17.165305860454957</v>
      </c>
      <c r="F218" s="242">
        <f>'I) Dépenses thématiques'!P218</f>
        <v>-1.1128303633233423</v>
      </c>
      <c r="G218" s="190">
        <f t="shared" si="15"/>
        <v>43.660055838243721</v>
      </c>
      <c r="H218" s="161">
        <f t="shared" si="12"/>
        <v>0</v>
      </c>
      <c r="I218" s="206">
        <f t="shared" si="14"/>
        <v>0</v>
      </c>
      <c r="J218" s="63">
        <f t="shared" si="13"/>
        <v>43.660055838243721</v>
      </c>
    </row>
    <row r="219" spans="1:10" x14ac:dyDescent="0.25">
      <c r="A219" s="82">
        <f>'A) Base RI'!A221</f>
        <v>5745</v>
      </c>
      <c r="B219" s="147" t="str">
        <f>'A) Base RI'!B221</f>
        <v>Baulmes</v>
      </c>
      <c r="C219" s="158">
        <f>'B) D RI'!U221</f>
        <v>27286.676794871797</v>
      </c>
      <c r="D219" s="247">
        <f>'E) Fact soc'!G225/C219</f>
        <v>17.929045541780738</v>
      </c>
      <c r="E219" s="247">
        <f>'H) Péréquation directe'!I230/'H) Péréquation directe'!C230</f>
        <v>-0.78572319544560287</v>
      </c>
      <c r="F219" s="242">
        <f>'I) Dépenses thématiques'!P219</f>
        <v>-7.4287170080783147</v>
      </c>
      <c r="G219" s="190">
        <f t="shared" si="15"/>
        <v>9.7146053382568205</v>
      </c>
      <c r="H219" s="161">
        <f t="shared" si="12"/>
        <v>0</v>
      </c>
      <c r="I219" s="206">
        <f t="shared" si="14"/>
        <v>0</v>
      </c>
      <c r="J219" s="63">
        <f t="shared" si="13"/>
        <v>9.7146053382568205</v>
      </c>
    </row>
    <row r="220" spans="1:10" x14ac:dyDescent="0.25">
      <c r="A220" s="82">
        <f>'A) Base RI'!A222</f>
        <v>5746</v>
      </c>
      <c r="B220" s="147" t="str">
        <f>'A) Base RI'!B222</f>
        <v>Bavois</v>
      </c>
      <c r="C220" s="158">
        <f>'B) D RI'!U222</f>
        <v>24960.640433789951</v>
      </c>
      <c r="D220" s="247">
        <f>'E) Fact soc'!G226/C220</f>
        <v>17.349479629799564</v>
      </c>
      <c r="E220" s="247">
        <f>'H) Péréquation directe'!I231/'H) Péréquation directe'!C231</f>
        <v>1.8453571501861037</v>
      </c>
      <c r="F220" s="242">
        <f>'I) Dépenses thématiques'!P220</f>
        <v>-7.1416036168160799</v>
      </c>
      <c r="G220" s="190">
        <f t="shared" si="15"/>
        <v>12.053233163169587</v>
      </c>
      <c r="H220" s="161">
        <f t="shared" si="12"/>
        <v>0</v>
      </c>
      <c r="I220" s="206">
        <f t="shared" si="14"/>
        <v>0</v>
      </c>
      <c r="J220" s="63">
        <f t="shared" si="13"/>
        <v>12.053233163169587</v>
      </c>
    </row>
    <row r="221" spans="1:10" x14ac:dyDescent="0.25">
      <c r="A221" s="82">
        <f>'A) Base RI'!A223</f>
        <v>5747</v>
      </c>
      <c r="B221" s="147" t="str">
        <f>'A) Base RI'!B223</f>
        <v>Bofflens</v>
      </c>
      <c r="C221" s="158">
        <f>'B) D RI'!U223</f>
        <v>5444.2446376811595</v>
      </c>
      <c r="D221" s="247">
        <f>'E) Fact soc'!G227/C221</f>
        <v>17.442851002159198</v>
      </c>
      <c r="E221" s="247">
        <f>'H) Péréquation directe'!I232/'H) Péréquation directe'!C232</f>
        <v>5.1903336218253253</v>
      </c>
      <c r="F221" s="242">
        <f>'I) Dépenses thématiques'!P221</f>
        <v>0</v>
      </c>
      <c r="G221" s="190">
        <f t="shared" si="15"/>
        <v>22.633184623984523</v>
      </c>
      <c r="H221" s="161">
        <f t="shared" si="12"/>
        <v>0</v>
      </c>
      <c r="I221" s="206">
        <f t="shared" si="14"/>
        <v>0</v>
      </c>
      <c r="J221" s="63">
        <f t="shared" si="13"/>
        <v>22.633184623984523</v>
      </c>
    </row>
    <row r="222" spans="1:10" x14ac:dyDescent="0.25">
      <c r="A222" s="82">
        <f>'A) Base RI'!A224</f>
        <v>5748</v>
      </c>
      <c r="B222" s="147" t="str">
        <f>'A) Base RI'!B224</f>
        <v>Bretonnières</v>
      </c>
      <c r="C222" s="158">
        <f>'B) D RI'!U224</f>
        <v>4853.6245714285715</v>
      </c>
      <c r="D222" s="247">
        <f>'E) Fact soc'!G228/C222</f>
        <v>19.269931198748253</v>
      </c>
      <c r="E222" s="247">
        <f>'H) Péréquation directe'!I233/'H) Péréquation directe'!C233</f>
        <v>-8.3769260282011118</v>
      </c>
      <c r="F222" s="242">
        <f>'I) Dépenses thématiques'!P222</f>
        <v>-10.379047505351817</v>
      </c>
      <c r="G222" s="190">
        <f t="shared" si="15"/>
        <v>0.51395766519532415</v>
      </c>
      <c r="H222" s="161">
        <f t="shared" si="12"/>
        <v>0</v>
      </c>
      <c r="I222" s="206">
        <f t="shared" si="14"/>
        <v>0</v>
      </c>
      <c r="J222" s="63">
        <f t="shared" si="13"/>
        <v>0.51395766519532415</v>
      </c>
    </row>
    <row r="223" spans="1:10" x14ac:dyDescent="0.25">
      <c r="A223" s="82">
        <f>'A) Base RI'!A225</f>
        <v>5749</v>
      </c>
      <c r="B223" s="147" t="str">
        <f>'A) Base RI'!B225</f>
        <v>Chavornay</v>
      </c>
      <c r="C223" s="158">
        <f>'B) D RI'!U225</f>
        <v>122489.22791666667</v>
      </c>
      <c r="D223" s="247">
        <f>'E) Fact soc'!G229/C223</f>
        <v>18.987273955086728</v>
      </c>
      <c r="E223" s="247">
        <f>'H) Péréquation directe'!I234/'H) Péréquation directe'!C234</f>
        <v>-1.5411384801191226</v>
      </c>
      <c r="F223" s="242">
        <f>'I) Dépenses thématiques'!P223</f>
        <v>-1.6000753971062631</v>
      </c>
      <c r="G223" s="190">
        <f t="shared" si="15"/>
        <v>15.846060077861342</v>
      </c>
      <c r="H223" s="161">
        <f t="shared" si="12"/>
        <v>0</v>
      </c>
      <c r="I223" s="206">
        <f t="shared" si="14"/>
        <v>0</v>
      </c>
      <c r="J223" s="63">
        <f t="shared" si="13"/>
        <v>15.846060077861342</v>
      </c>
    </row>
    <row r="224" spans="1:10" x14ac:dyDescent="0.25">
      <c r="A224" s="82">
        <f>'A) Base RI'!A226</f>
        <v>5750</v>
      </c>
      <c r="B224" s="147" t="str">
        <f>'A) Base RI'!B226</f>
        <v>Les Clées</v>
      </c>
      <c r="C224" s="158">
        <f>'B) D RI'!U226</f>
        <v>4745.5921666666673</v>
      </c>
      <c r="D224" s="247">
        <f>'E) Fact soc'!G230/C224</f>
        <v>15.414301721854672</v>
      </c>
      <c r="E224" s="247">
        <f>'H) Péréquation directe'!I235/'H) Péréquation directe'!C235</f>
        <v>-1.1003483719464027</v>
      </c>
      <c r="F224" s="242">
        <f>'I) Dépenses thématiques'!P224</f>
        <v>-5.2117837208443909</v>
      </c>
      <c r="G224" s="190">
        <f t="shared" si="15"/>
        <v>9.1021696290638783</v>
      </c>
      <c r="H224" s="161">
        <f t="shared" ref="H224:H268" si="16">IF(G224&gt;H$4,H$4-G224,0)</f>
        <v>0</v>
      </c>
      <c r="I224" s="206">
        <f t="shared" si="14"/>
        <v>0</v>
      </c>
      <c r="J224" s="63">
        <f t="shared" ref="J224:J268" si="17">G224+H224</f>
        <v>9.1021696290638783</v>
      </c>
    </row>
    <row r="225" spans="1:10" x14ac:dyDescent="0.25">
      <c r="A225" s="82">
        <f>'A) Base RI'!A227</f>
        <v>5751</v>
      </c>
      <c r="B225" s="147" t="str">
        <f>'A) Base RI'!B227</f>
        <v>Corcelles-sur-Chavornay</v>
      </c>
      <c r="C225" s="158">
        <f>'B) D RI'!U227</f>
        <v>8378.5938157894743</v>
      </c>
      <c r="D225" s="247">
        <f>'E) Fact soc'!G231/C225</f>
        <v>19.747569891022405</v>
      </c>
      <c r="E225" s="247">
        <f>'H) Péréquation directe'!I236/'H) Péréquation directe'!C236</f>
        <v>-2.0918204670755447</v>
      </c>
      <c r="F225" s="242">
        <f>'I) Dépenses thématiques'!P225</f>
        <v>-5.8863099327071158</v>
      </c>
      <c r="G225" s="190">
        <f t="shared" si="15"/>
        <v>11.769439491239742</v>
      </c>
      <c r="H225" s="161">
        <f t="shared" si="16"/>
        <v>0</v>
      </c>
      <c r="I225" s="206">
        <f t="shared" si="14"/>
        <v>0</v>
      </c>
      <c r="J225" s="63">
        <f t="shared" si="17"/>
        <v>11.769439491239742</v>
      </c>
    </row>
    <row r="226" spans="1:10" x14ac:dyDescent="0.25">
      <c r="A226" s="82">
        <f>'A) Base RI'!A228</f>
        <v>5752</v>
      </c>
      <c r="B226" s="147" t="str">
        <f>'A) Base RI'!B228</f>
        <v>Croy</v>
      </c>
      <c r="C226" s="158">
        <f>'B) D RI'!U228</f>
        <v>8127.3322007722018</v>
      </c>
      <c r="D226" s="247">
        <f>'E) Fact soc'!G232/C226</f>
        <v>16.537630800666122</v>
      </c>
      <c r="E226" s="247">
        <f>'H) Péréquation directe'!I237/'H) Péréquation directe'!C237</f>
        <v>-1.340279745868397</v>
      </c>
      <c r="F226" s="242">
        <f>'I) Dépenses thématiques'!P226</f>
        <v>-5.5137404123510887</v>
      </c>
      <c r="G226" s="190">
        <f t="shared" si="15"/>
        <v>9.6836106424466362</v>
      </c>
      <c r="H226" s="161">
        <f t="shared" si="16"/>
        <v>0</v>
      </c>
      <c r="I226" s="206">
        <f t="shared" ref="I226:I272" si="18">H226*C226</f>
        <v>0</v>
      </c>
      <c r="J226" s="63">
        <f t="shared" si="17"/>
        <v>9.6836106424466362</v>
      </c>
    </row>
    <row r="227" spans="1:10" x14ac:dyDescent="0.25">
      <c r="A227" s="82">
        <f>'A) Base RI'!A229</f>
        <v>5754</v>
      </c>
      <c r="B227" s="147" t="str">
        <f>'A) Base RI'!B229</f>
        <v>Juriens</v>
      </c>
      <c r="C227" s="158">
        <f>'B) D RI'!U229</f>
        <v>6779.1981012658243</v>
      </c>
      <c r="D227" s="247">
        <f>'E) Fact soc'!G233/C227</f>
        <v>15.27262661969621</v>
      </c>
      <c r="E227" s="247">
        <f>'H) Péréquation directe'!I238/'H) Péréquation directe'!C238</f>
        <v>-10.449406907436513</v>
      </c>
      <c r="F227" s="242">
        <f>'I) Dépenses thématiques'!P227</f>
        <v>-7.7962023251881929</v>
      </c>
      <c r="G227" s="190">
        <f t="shared" ref="G227:G273" si="19">SUM(D227:F227)</f>
        <v>-2.9729826129284964</v>
      </c>
      <c r="H227" s="161">
        <f t="shared" si="16"/>
        <v>0</v>
      </c>
      <c r="I227" s="206">
        <f t="shared" si="18"/>
        <v>0</v>
      </c>
      <c r="J227" s="63">
        <f t="shared" si="17"/>
        <v>-2.9729826129284964</v>
      </c>
    </row>
    <row r="228" spans="1:10" x14ac:dyDescent="0.25">
      <c r="A228" s="82">
        <f>'A) Base RI'!A230</f>
        <v>5755</v>
      </c>
      <c r="B228" s="147" t="str">
        <f>'A) Base RI'!B230</f>
        <v>Lignerolle</v>
      </c>
      <c r="C228" s="158">
        <f>'B) D RI'!U230</f>
        <v>8994.3248324514989</v>
      </c>
      <c r="D228" s="247">
        <f>'E) Fact soc'!G234/C228</f>
        <v>19.654001172341275</v>
      </c>
      <c r="E228" s="247">
        <f>'H) Péréquation directe'!I239/'H) Péréquation directe'!C239</f>
        <v>-9.4472477728730162</v>
      </c>
      <c r="F228" s="242">
        <f>'I) Dépenses thématiques'!P228</f>
        <v>-10.448255066454623</v>
      </c>
      <c r="G228" s="190">
        <f t="shared" si="19"/>
        <v>-0.24150166698636433</v>
      </c>
      <c r="H228" s="161">
        <f t="shared" si="16"/>
        <v>0</v>
      </c>
      <c r="I228" s="206">
        <f t="shared" si="18"/>
        <v>0</v>
      </c>
      <c r="J228" s="63">
        <f t="shared" si="17"/>
        <v>-0.24150166698636433</v>
      </c>
    </row>
    <row r="229" spans="1:10" x14ac:dyDescent="0.25">
      <c r="A229" s="82">
        <f>'A) Base RI'!A231</f>
        <v>5756</v>
      </c>
      <c r="B229" s="147" t="str">
        <f>'A) Base RI'!B231</f>
        <v>Montcherand</v>
      </c>
      <c r="C229" s="158">
        <f>'B) D RI'!U231</f>
        <v>15693.326135265701</v>
      </c>
      <c r="D229" s="247">
        <f>'E) Fact soc'!G235/C229</f>
        <v>17.364552996511925</v>
      </c>
      <c r="E229" s="247">
        <f>'H) Péréquation directe'!I240/'H) Péréquation directe'!C240</f>
        <v>9.5662040248925528</v>
      </c>
      <c r="F229" s="242">
        <f>'I) Dépenses thématiques'!P229</f>
        <v>-2.3388923217186779</v>
      </c>
      <c r="G229" s="190">
        <f t="shared" si="19"/>
        <v>24.5918646996858</v>
      </c>
      <c r="H229" s="161">
        <f t="shared" si="16"/>
        <v>0</v>
      </c>
      <c r="I229" s="206">
        <f t="shared" si="18"/>
        <v>0</v>
      </c>
      <c r="J229" s="63">
        <f t="shared" si="17"/>
        <v>24.5918646996858</v>
      </c>
    </row>
    <row r="230" spans="1:10" x14ac:dyDescent="0.25">
      <c r="A230" s="82">
        <f>'A) Base RI'!A232</f>
        <v>5757</v>
      </c>
      <c r="B230" s="147" t="str">
        <f>'A) Base RI'!B232</f>
        <v>Orbe</v>
      </c>
      <c r="C230" s="158">
        <f>'B) D RI'!U232</f>
        <v>203617.2094202899</v>
      </c>
      <c r="D230" s="247">
        <f>'E) Fact soc'!G236/C230</f>
        <v>20.338696294918822</v>
      </c>
      <c r="E230" s="247">
        <f>'H) Péréquation directe'!I241/'H) Péréquation directe'!C241</f>
        <v>-3.9508843338796122</v>
      </c>
      <c r="F230" s="242">
        <f>'I) Dépenses thématiques'!P230</f>
        <v>-6.105736364522218</v>
      </c>
      <c r="G230" s="190">
        <f t="shared" si="19"/>
        <v>10.282075596516993</v>
      </c>
      <c r="H230" s="161">
        <f t="shared" si="16"/>
        <v>0</v>
      </c>
      <c r="I230" s="206">
        <f t="shared" si="18"/>
        <v>0</v>
      </c>
      <c r="J230" s="63">
        <f t="shared" si="17"/>
        <v>10.282075596516993</v>
      </c>
    </row>
    <row r="231" spans="1:10" x14ac:dyDescent="0.25">
      <c r="A231" s="82">
        <f>'A) Base RI'!A233</f>
        <v>5758</v>
      </c>
      <c r="B231" s="147" t="str">
        <f>'A) Base RI'!B233</f>
        <v>La Praz</v>
      </c>
      <c r="C231" s="158">
        <f>'B) D RI'!U233</f>
        <v>3854.1398125836677</v>
      </c>
      <c r="D231" s="247">
        <f>'E) Fact soc'!G237/C231</f>
        <v>18.04657794111311</v>
      </c>
      <c r="E231" s="247">
        <f>'H) Péréquation directe'!I242/'H) Péréquation directe'!C242</f>
        <v>-6.73019189085755</v>
      </c>
      <c r="F231" s="242">
        <f>'I) Dépenses thématiques'!P231</f>
        <v>-3.5372354566610698</v>
      </c>
      <c r="G231" s="190">
        <f t="shared" si="19"/>
        <v>7.7791505935944896</v>
      </c>
      <c r="H231" s="161">
        <f t="shared" si="16"/>
        <v>0</v>
      </c>
      <c r="I231" s="206">
        <f t="shared" si="18"/>
        <v>0</v>
      </c>
      <c r="J231" s="63">
        <f t="shared" si="17"/>
        <v>7.7791505935944896</v>
      </c>
    </row>
    <row r="232" spans="1:10" x14ac:dyDescent="0.25">
      <c r="A232" s="82">
        <f>'A) Base RI'!A234</f>
        <v>5759</v>
      </c>
      <c r="B232" s="147" t="str">
        <f>'A) Base RI'!B234</f>
        <v>Premier</v>
      </c>
      <c r="C232" s="158">
        <f>'B) D RI'!U234</f>
        <v>3885.6082716049386</v>
      </c>
      <c r="D232" s="247">
        <f>'E) Fact soc'!G238/C232</f>
        <v>18.355901303725648</v>
      </c>
      <c r="E232" s="247">
        <f>'H) Péréquation directe'!I243/'H) Péréquation directe'!C243</f>
        <v>-13.638197492965826</v>
      </c>
      <c r="F232" s="242">
        <f>'I) Dépenses thématiques'!P232</f>
        <v>-8.4849006115539929</v>
      </c>
      <c r="G232" s="190">
        <f t="shared" si="19"/>
        <v>-3.7671968007941707</v>
      </c>
      <c r="H232" s="161">
        <f t="shared" si="16"/>
        <v>0</v>
      </c>
      <c r="I232" s="206">
        <f t="shared" si="18"/>
        <v>0</v>
      </c>
      <c r="J232" s="63">
        <f t="shared" si="17"/>
        <v>-3.7671968007941707</v>
      </c>
    </row>
    <row r="233" spans="1:10" x14ac:dyDescent="0.25">
      <c r="A233" s="82">
        <f>'A) Base RI'!A235</f>
        <v>5760</v>
      </c>
      <c r="B233" s="147" t="str">
        <f>'A) Base RI'!B235</f>
        <v>Rances</v>
      </c>
      <c r="C233" s="158">
        <f>'B) D RI'!U235</f>
        <v>11324.841153846155</v>
      </c>
      <c r="D233" s="247">
        <f>'E) Fact soc'!G239/C233</f>
        <v>17.441814462787455</v>
      </c>
      <c r="E233" s="247">
        <f>'H) Péréquation directe'!I244/'H) Péréquation directe'!C244</f>
        <v>-1.9531114359936916</v>
      </c>
      <c r="F233" s="242">
        <f>'I) Dépenses thématiques'!P233</f>
        <v>-7.4741887193051806</v>
      </c>
      <c r="G233" s="190">
        <f t="shared" si="19"/>
        <v>8.0145143074885841</v>
      </c>
      <c r="H233" s="161">
        <f t="shared" si="16"/>
        <v>0</v>
      </c>
      <c r="I233" s="206">
        <f t="shared" si="18"/>
        <v>0</v>
      </c>
      <c r="J233" s="63">
        <f t="shared" si="17"/>
        <v>8.0145143074885841</v>
      </c>
    </row>
    <row r="234" spans="1:10" x14ac:dyDescent="0.25">
      <c r="A234" s="82">
        <f>'A) Base RI'!A236</f>
        <v>5761</v>
      </c>
      <c r="B234" s="147" t="str">
        <f>'A) Base RI'!B236</f>
        <v>Romainmôtier-Envy</v>
      </c>
      <c r="C234" s="158">
        <f>'B) D RI'!U236</f>
        <v>12066.350855263157</v>
      </c>
      <c r="D234" s="247">
        <f>'E) Fact soc'!G240/C234</f>
        <v>18.748478935977715</v>
      </c>
      <c r="E234" s="247">
        <f>'H) Péréquation directe'!I245/'H) Péréquation directe'!C245</f>
        <v>-6.8421011502742273</v>
      </c>
      <c r="F234" s="242">
        <f>'I) Dépenses thématiques'!P234</f>
        <v>-4.2253868308297307</v>
      </c>
      <c r="G234" s="190">
        <f t="shared" si="19"/>
        <v>7.6809909548737565</v>
      </c>
      <c r="H234" s="161">
        <f t="shared" si="16"/>
        <v>0</v>
      </c>
      <c r="I234" s="206">
        <f t="shared" si="18"/>
        <v>0</v>
      </c>
      <c r="J234" s="63">
        <f t="shared" si="17"/>
        <v>7.6809909548737565</v>
      </c>
    </row>
    <row r="235" spans="1:10" x14ac:dyDescent="0.25">
      <c r="A235" s="82">
        <f>'A) Base RI'!A237</f>
        <v>5762</v>
      </c>
      <c r="B235" s="147" t="str">
        <f>'A) Base RI'!B237</f>
        <v>Sergey</v>
      </c>
      <c r="C235" s="158">
        <f>'B) D RI'!U237</f>
        <v>4226.1104938271601</v>
      </c>
      <c r="D235" s="247">
        <f>'E) Fact soc'!G241/C235</f>
        <v>16.032045850945444</v>
      </c>
      <c r="E235" s="247">
        <f>'H) Péréquation directe'!I246/'H) Péréquation directe'!C246</f>
        <v>1.9536570598072829</v>
      </c>
      <c r="F235" s="242">
        <f>'I) Dépenses thématiques'!P235</f>
        <v>-5.6830033277833767</v>
      </c>
      <c r="G235" s="190">
        <f t="shared" si="19"/>
        <v>12.302699582969352</v>
      </c>
      <c r="H235" s="161">
        <f t="shared" si="16"/>
        <v>0</v>
      </c>
      <c r="I235" s="206">
        <f t="shared" si="18"/>
        <v>0</v>
      </c>
      <c r="J235" s="63">
        <f t="shared" si="17"/>
        <v>12.302699582969352</v>
      </c>
    </row>
    <row r="236" spans="1:10" x14ac:dyDescent="0.25">
      <c r="A236" s="82">
        <f>'A) Base RI'!A238</f>
        <v>5763</v>
      </c>
      <c r="B236" s="147" t="str">
        <f>'A) Base RI'!B238</f>
        <v>Valeyres-sous-Rances</v>
      </c>
      <c r="C236" s="158">
        <f>'B) D RI'!U238</f>
        <v>15753.099264705883</v>
      </c>
      <c r="D236" s="247">
        <f>'E) Fact soc'!G242/C236</f>
        <v>19.313917809675548</v>
      </c>
      <c r="E236" s="247">
        <f>'H) Péréquation directe'!I247/'H) Péréquation directe'!C247</f>
        <v>3.3386365220343519</v>
      </c>
      <c r="F236" s="242">
        <f>'I) Dépenses thématiques'!P236</f>
        <v>-6.1672308647014606</v>
      </c>
      <c r="G236" s="190">
        <f t="shared" si="19"/>
        <v>16.485323467008442</v>
      </c>
      <c r="H236" s="161">
        <f t="shared" si="16"/>
        <v>0</v>
      </c>
      <c r="I236" s="206">
        <f t="shared" si="18"/>
        <v>0</v>
      </c>
      <c r="J236" s="63">
        <f t="shared" si="17"/>
        <v>16.485323467008442</v>
      </c>
    </row>
    <row r="237" spans="1:10" x14ac:dyDescent="0.25">
      <c r="A237" s="82">
        <f>'A) Base RI'!A239</f>
        <v>5764</v>
      </c>
      <c r="B237" s="147" t="str">
        <f>'A) Base RI'!B239</f>
        <v>Vallorbe</v>
      </c>
      <c r="C237" s="158">
        <f>'B) D RI'!U239</f>
        <v>79459.361216216217</v>
      </c>
      <c r="D237" s="247">
        <f>'E) Fact soc'!G243/C237</f>
        <v>25.000411628979929</v>
      </c>
      <c r="E237" s="247">
        <f>'H) Péréquation directe'!I248/'H) Péréquation directe'!C248</f>
        <v>-16.216059708657706</v>
      </c>
      <c r="F237" s="242">
        <f>'I) Dépenses thématiques'!P237</f>
        <v>-18.245892967286032</v>
      </c>
      <c r="G237" s="190">
        <f t="shared" si="19"/>
        <v>-9.4615410469638093</v>
      </c>
      <c r="H237" s="161">
        <f t="shared" si="16"/>
        <v>0</v>
      </c>
      <c r="I237" s="206">
        <f t="shared" si="18"/>
        <v>0</v>
      </c>
      <c r="J237" s="63">
        <f t="shared" si="17"/>
        <v>-9.4615410469638093</v>
      </c>
    </row>
    <row r="238" spans="1:10" x14ac:dyDescent="0.25">
      <c r="A238" s="82">
        <f>'A) Base RI'!A240</f>
        <v>5765</v>
      </c>
      <c r="B238" s="147" t="str">
        <f>'A) Base RI'!B240</f>
        <v>Vaulion</v>
      </c>
      <c r="C238" s="158">
        <f>'B) D RI'!U240</f>
        <v>10213.279999999997</v>
      </c>
      <c r="D238" s="247">
        <f>'E) Fact soc'!G244/C238</f>
        <v>18.746528638918477</v>
      </c>
      <c r="E238" s="247">
        <f>'H) Péréquation directe'!I249/'H) Péréquation directe'!C249</f>
        <v>-14.200489651494683</v>
      </c>
      <c r="F238" s="242">
        <f>'I) Dépenses thématiques'!P238</f>
        <v>-17.661808938950077</v>
      </c>
      <c r="G238" s="190">
        <f t="shared" si="19"/>
        <v>-13.115769951526284</v>
      </c>
      <c r="H238" s="161">
        <f t="shared" si="16"/>
        <v>0</v>
      </c>
      <c r="I238" s="206">
        <f t="shared" si="18"/>
        <v>0</v>
      </c>
      <c r="J238" s="63">
        <f t="shared" si="17"/>
        <v>-13.115769951526284</v>
      </c>
    </row>
    <row r="239" spans="1:10" x14ac:dyDescent="0.25">
      <c r="A239" s="82">
        <f>'A) Base RI'!A241</f>
        <v>5766</v>
      </c>
      <c r="B239" s="147" t="str">
        <f>'A) Base RI'!B241</f>
        <v>Vuiteboeuf</v>
      </c>
      <c r="C239" s="158">
        <f>'B) D RI'!U241</f>
        <v>13186.718497217067</v>
      </c>
      <c r="D239" s="247">
        <f>'E) Fact soc'!G245/C239</f>
        <v>16.564354275989302</v>
      </c>
      <c r="E239" s="247">
        <f>'H) Péréquation directe'!I250/'H) Péréquation directe'!C250</f>
        <v>-2.2442786462542599</v>
      </c>
      <c r="F239" s="242">
        <f>'I) Dépenses thématiques'!P239</f>
        <v>-3.1563576646292959</v>
      </c>
      <c r="G239" s="190">
        <f t="shared" si="19"/>
        <v>11.163717965105747</v>
      </c>
      <c r="H239" s="161">
        <f t="shared" si="16"/>
        <v>0</v>
      </c>
      <c r="I239" s="206">
        <f t="shared" si="18"/>
        <v>0</v>
      </c>
      <c r="J239" s="63">
        <f t="shared" si="17"/>
        <v>11.163717965105747</v>
      </c>
    </row>
    <row r="240" spans="1:10" x14ac:dyDescent="0.25">
      <c r="A240" s="82">
        <f>'A) Base RI'!A242</f>
        <v>5782</v>
      </c>
      <c r="B240" s="147" t="str">
        <f>'A) Base RI'!B242</f>
        <v>Carrouge</v>
      </c>
      <c r="C240" s="158">
        <f>'B) D RI'!U242</f>
        <v>30558.004133333339</v>
      </c>
      <c r="D240" s="247">
        <f>'E) Fact soc'!G246/C240</f>
        <v>17.187638375015041</v>
      </c>
      <c r="E240" s="247">
        <f>'H) Péréquation directe'!I251/'H) Péréquation directe'!C251</f>
        <v>1.0603660821108194</v>
      </c>
      <c r="F240" s="242">
        <f>'I) Dépenses thématiques'!P240</f>
        <v>-4.2501794107137814</v>
      </c>
      <c r="G240" s="190">
        <f t="shared" si="19"/>
        <v>13.997825046412078</v>
      </c>
      <c r="H240" s="161">
        <f t="shared" si="16"/>
        <v>0</v>
      </c>
      <c r="I240" s="206">
        <f t="shared" si="18"/>
        <v>0</v>
      </c>
      <c r="J240" s="63">
        <f t="shared" si="17"/>
        <v>13.997825046412078</v>
      </c>
    </row>
    <row r="241" spans="1:10" x14ac:dyDescent="0.25">
      <c r="A241" s="82">
        <f>'A) Base RI'!A243</f>
        <v>5785</v>
      </c>
      <c r="B241" s="147" t="str">
        <f>'A) Base RI'!B243</f>
        <v>Corcelles-le-Jorat</v>
      </c>
      <c r="C241" s="158">
        <f>'B) D RI'!U243</f>
        <v>15220.93759493671</v>
      </c>
      <c r="D241" s="247">
        <f>'E) Fact soc'!G247/C241</f>
        <v>17.55259576919833</v>
      </c>
      <c r="E241" s="247">
        <f>'H) Péréquation directe'!I252/'H) Péréquation directe'!C252</f>
        <v>8.784044376539061</v>
      </c>
      <c r="F241" s="242">
        <f>'I) Dépenses thématiques'!P241</f>
        <v>-4.0699201092978123</v>
      </c>
      <c r="G241" s="190">
        <f t="shared" si="19"/>
        <v>22.26672003643958</v>
      </c>
      <c r="H241" s="161">
        <f t="shared" si="16"/>
        <v>0</v>
      </c>
      <c r="I241" s="206">
        <f t="shared" si="18"/>
        <v>0</v>
      </c>
      <c r="J241" s="63">
        <f t="shared" si="17"/>
        <v>22.26672003643958</v>
      </c>
    </row>
    <row r="242" spans="1:10" x14ac:dyDescent="0.25">
      <c r="A242" s="82">
        <f>'A) Base RI'!A244</f>
        <v>5788</v>
      </c>
      <c r="B242" s="147" t="str">
        <f>'A) Base RI'!B244</f>
        <v>Essertes</v>
      </c>
      <c r="C242" s="158">
        <f>'B) D RI'!U244</f>
        <v>9308.1854285714289</v>
      </c>
      <c r="D242" s="247">
        <f>'E) Fact soc'!G248/C242</f>
        <v>15.268717810879828</v>
      </c>
      <c r="E242" s="247">
        <f>'H) Péréquation directe'!I253/'H) Péréquation directe'!C253</f>
        <v>4.1977328473143256</v>
      </c>
      <c r="F242" s="242">
        <f>'I) Dépenses thématiques'!P242</f>
        <v>-3.0393679001237897</v>
      </c>
      <c r="G242" s="190">
        <f t="shared" si="19"/>
        <v>16.427082758070366</v>
      </c>
      <c r="H242" s="161">
        <f t="shared" si="16"/>
        <v>0</v>
      </c>
      <c r="I242" s="206">
        <f t="shared" si="18"/>
        <v>0</v>
      </c>
      <c r="J242" s="63">
        <f t="shared" si="17"/>
        <v>16.427082758070366</v>
      </c>
    </row>
    <row r="243" spans="1:10" x14ac:dyDescent="0.25">
      <c r="A243" s="82">
        <f>'A) Base RI'!A245</f>
        <v>5789</v>
      </c>
      <c r="B243" s="147" t="str">
        <f>'A) Base RI'!B245</f>
        <v>Ferlens</v>
      </c>
      <c r="C243" s="158">
        <f>'B) D RI'!U245</f>
        <v>9496.6311688311671</v>
      </c>
      <c r="D243" s="247">
        <f>'E) Fact soc'!G249/C243</f>
        <v>15.700786573850145</v>
      </c>
      <c r="E243" s="247">
        <f>'H) Péréquation directe'!I254/'H) Péréquation directe'!C254</f>
        <v>2.7248651711665102</v>
      </c>
      <c r="F243" s="242">
        <f>'I) Dépenses thématiques'!P243</f>
        <v>-1.129347850762116</v>
      </c>
      <c r="G243" s="190">
        <f t="shared" si="19"/>
        <v>17.296303894254539</v>
      </c>
      <c r="H243" s="161">
        <f t="shared" si="16"/>
        <v>0</v>
      </c>
      <c r="I243" s="206">
        <f t="shared" si="18"/>
        <v>0</v>
      </c>
      <c r="J243" s="63">
        <f t="shared" si="17"/>
        <v>17.296303894254539</v>
      </c>
    </row>
    <row r="244" spans="1:10" x14ac:dyDescent="0.25">
      <c r="A244" s="82">
        <f>'A) Base RI'!A246</f>
        <v>5790</v>
      </c>
      <c r="B244" s="147" t="str">
        <f>'A) Base RI'!B246</f>
        <v>Maracon</v>
      </c>
      <c r="C244" s="158">
        <f>'B) D RI'!U246</f>
        <v>11539.028947368422</v>
      </c>
      <c r="D244" s="247">
        <f>'E) Fact soc'!G250/C244</f>
        <v>17.567549254081481</v>
      </c>
      <c r="E244" s="247">
        <f>'H) Péréquation directe'!I255/'H) Péréquation directe'!C255</f>
        <v>-1.0861686706958564</v>
      </c>
      <c r="F244" s="242">
        <f>'I) Dépenses thématiques'!P244</f>
        <v>-7.4898850149526845</v>
      </c>
      <c r="G244" s="190">
        <f t="shared" si="19"/>
        <v>8.9914955684329421</v>
      </c>
      <c r="H244" s="161">
        <f t="shared" si="16"/>
        <v>0</v>
      </c>
      <c r="I244" s="206">
        <f t="shared" si="18"/>
        <v>0</v>
      </c>
      <c r="J244" s="63">
        <f t="shared" si="17"/>
        <v>8.9914955684329421</v>
      </c>
    </row>
    <row r="245" spans="1:10" x14ac:dyDescent="0.25">
      <c r="A245" s="82">
        <f>'A) Base RI'!A247</f>
        <v>5791</v>
      </c>
      <c r="B245" s="147" t="str">
        <f>'A) Base RI'!B247</f>
        <v>Mézières</v>
      </c>
      <c r="C245" s="158">
        <f>'B) D RI'!U247</f>
        <v>41636.080964912282</v>
      </c>
      <c r="D245" s="247">
        <f>'E) Fact soc'!G251/C245</f>
        <v>17.115746105099202</v>
      </c>
      <c r="E245" s="247">
        <f>'H) Péréquation directe'!I256/'H) Péréquation directe'!C256</f>
        <v>8.6692126494074522</v>
      </c>
      <c r="F245" s="242">
        <f>'I) Dépenses thématiques'!P245</f>
        <v>-7.2689838473282835</v>
      </c>
      <c r="G245" s="190">
        <f t="shared" si="19"/>
        <v>18.515974907178371</v>
      </c>
      <c r="H245" s="161">
        <f t="shared" si="16"/>
        <v>0</v>
      </c>
      <c r="I245" s="206">
        <f t="shared" si="18"/>
        <v>0</v>
      </c>
      <c r="J245" s="63">
        <f t="shared" si="17"/>
        <v>18.515974907178371</v>
      </c>
    </row>
    <row r="246" spans="1:10" x14ac:dyDescent="0.25">
      <c r="A246" s="82">
        <f>'A) Base RI'!A248</f>
        <v>5792</v>
      </c>
      <c r="B246" s="147" t="str">
        <f>'A) Base RI'!B248</f>
        <v>Montpreveyres</v>
      </c>
      <c r="C246" s="158">
        <f>'B) D RI'!U248</f>
        <v>17052.817341772152</v>
      </c>
      <c r="D246" s="247">
        <f>'E) Fact soc'!G252/C246</f>
        <v>17.405074355955129</v>
      </c>
      <c r="E246" s="247">
        <f>'H) Péréquation directe'!I257/'H) Péréquation directe'!C257</f>
        <v>1.7659830253285178</v>
      </c>
      <c r="F246" s="242">
        <f>'I) Dépenses thématiques'!P246</f>
        <v>-7.3447101138646254</v>
      </c>
      <c r="G246" s="190">
        <f t="shared" si="19"/>
        <v>11.82634726741902</v>
      </c>
      <c r="H246" s="161">
        <f t="shared" si="16"/>
        <v>0</v>
      </c>
      <c r="I246" s="206">
        <f t="shared" si="18"/>
        <v>0</v>
      </c>
      <c r="J246" s="63">
        <f t="shared" si="17"/>
        <v>11.82634726741902</v>
      </c>
    </row>
    <row r="247" spans="1:10" x14ac:dyDescent="0.25">
      <c r="A247" s="82">
        <f>'A) Base RI'!A249</f>
        <v>5798</v>
      </c>
      <c r="B247" s="147" t="str">
        <f>'A) Base RI'!B249</f>
        <v>Ropraz</v>
      </c>
      <c r="C247" s="158">
        <f>'B) D RI'!U249</f>
        <v>11308.746838709676</v>
      </c>
      <c r="D247" s="247">
        <f>'E) Fact soc'!G253/C247</f>
        <v>19.032100636711721</v>
      </c>
      <c r="E247" s="247">
        <f>'H) Péréquation directe'!I258/'H) Péréquation directe'!C258</f>
        <v>0.93703595713616716</v>
      </c>
      <c r="F247" s="242">
        <f>'I) Dépenses thématiques'!P247</f>
        <v>-6.3282873885755446</v>
      </c>
      <c r="G247" s="190">
        <f t="shared" si="19"/>
        <v>13.640849205272344</v>
      </c>
      <c r="H247" s="161">
        <f t="shared" si="16"/>
        <v>0</v>
      </c>
      <c r="I247" s="206">
        <f t="shared" si="18"/>
        <v>0</v>
      </c>
      <c r="J247" s="63">
        <f t="shared" si="17"/>
        <v>13.640849205272344</v>
      </c>
    </row>
    <row r="248" spans="1:10" x14ac:dyDescent="0.25">
      <c r="A248" s="82">
        <f>'A) Base RI'!A250</f>
        <v>5799</v>
      </c>
      <c r="B248" s="147" t="str">
        <f>'A) Base RI'!B250</f>
        <v>Servion</v>
      </c>
      <c r="C248" s="158">
        <f>'B) D RI'!U250</f>
        <v>68357.530144927528</v>
      </c>
      <c r="D248" s="247">
        <f>'E) Fact soc'!G254/C248</f>
        <v>19.528263700820094</v>
      </c>
      <c r="E248" s="247">
        <f>'H) Péréquation directe'!I259/'H) Péréquation directe'!C259</f>
        <v>8.4591064751447824</v>
      </c>
      <c r="F248" s="242">
        <f>'I) Dépenses thématiques'!P248</f>
        <v>-1.9431363262889407</v>
      </c>
      <c r="G248" s="190">
        <f t="shared" si="19"/>
        <v>26.044233849675937</v>
      </c>
      <c r="H248" s="161">
        <f t="shared" si="16"/>
        <v>0</v>
      </c>
      <c r="I248" s="206">
        <f t="shared" si="18"/>
        <v>0</v>
      </c>
      <c r="J248" s="63">
        <f t="shared" si="17"/>
        <v>26.044233849675937</v>
      </c>
    </row>
    <row r="249" spans="1:10" x14ac:dyDescent="0.25">
      <c r="A249" s="82">
        <f>'A) Base RI'!A251</f>
        <v>5803</v>
      </c>
      <c r="B249" s="147" t="str">
        <f>'A) Base RI'!B251</f>
        <v>Vulliens</v>
      </c>
      <c r="C249" s="158">
        <f>'B) D RI'!U251</f>
        <v>12093.749506172839</v>
      </c>
      <c r="D249" s="247">
        <f>'E) Fact soc'!G255/C249</f>
        <v>23.10210966873807</v>
      </c>
      <c r="E249" s="247">
        <f>'H) Péréquation directe'!I260/'H) Péréquation directe'!C260</f>
        <v>-0.83055112219379057</v>
      </c>
      <c r="F249" s="242">
        <f>'I) Dépenses thématiques'!P249</f>
        <v>-10.568269165386944</v>
      </c>
      <c r="G249" s="190">
        <f t="shared" si="19"/>
        <v>11.703289381157337</v>
      </c>
      <c r="H249" s="161">
        <f t="shared" si="16"/>
        <v>0</v>
      </c>
      <c r="I249" s="206">
        <f t="shared" si="18"/>
        <v>0</v>
      </c>
      <c r="J249" s="63">
        <f t="shared" si="17"/>
        <v>11.703289381157337</v>
      </c>
    </row>
    <row r="250" spans="1:10" x14ac:dyDescent="0.25">
      <c r="A250" s="82">
        <f>'A) Base RI'!A252</f>
        <v>5804</v>
      </c>
      <c r="B250" s="147" t="str">
        <f>'A) Base RI'!B252</f>
        <v>Jorat-Menthue</v>
      </c>
      <c r="C250" s="158">
        <f>'B) D RI'!U252</f>
        <v>42711.248333333329</v>
      </c>
      <c r="D250" s="247">
        <f>'E) Fact soc'!G256/C250</f>
        <v>16.047263961357224</v>
      </c>
      <c r="E250" s="247">
        <f>'H) Péréquation directe'!I261/'H) Péréquation directe'!C261</f>
        <v>1.8892435730251209</v>
      </c>
      <c r="F250" s="242">
        <f>'I) Dépenses thématiques'!P250</f>
        <v>-8.1080280608359647</v>
      </c>
      <c r="G250" s="190">
        <f>SUM(D250:F250)</f>
        <v>9.8284794735463787</v>
      </c>
      <c r="H250" s="161">
        <f t="shared" si="16"/>
        <v>0</v>
      </c>
      <c r="I250" s="206">
        <f>H250*C250</f>
        <v>0</v>
      </c>
      <c r="J250" s="63">
        <f>G250+H250</f>
        <v>9.8284794735463787</v>
      </c>
    </row>
    <row r="251" spans="1:10" x14ac:dyDescent="0.25">
      <c r="A251" s="82">
        <f>'A) Base RI'!A253</f>
        <v>5805</v>
      </c>
      <c r="B251" s="147" t="str">
        <f>'A) Base RI'!B253</f>
        <v>Oron</v>
      </c>
      <c r="C251" s="158">
        <f>'B) D RI'!U253</f>
        <v>145299.16422924903</v>
      </c>
      <c r="D251" s="247">
        <f>'E) Fact soc'!G257/C251</f>
        <v>16.896080993613658</v>
      </c>
      <c r="E251" s="247">
        <f>'H) Péréquation directe'!I262/'H) Péréquation directe'!C262</f>
        <v>-5.2461918073511979</v>
      </c>
      <c r="F251" s="242">
        <f>'I) Dépenses thématiques'!P251</f>
        <v>-5.3807742401495355</v>
      </c>
      <c r="G251" s="190">
        <f>SUM(D251:F251)</f>
        <v>6.2691149461129241</v>
      </c>
      <c r="H251" s="161">
        <f t="shared" si="16"/>
        <v>0</v>
      </c>
      <c r="I251" s="206">
        <f>H251*C251</f>
        <v>0</v>
      </c>
      <c r="J251" s="63">
        <f>G251+H251</f>
        <v>6.2691149461129241</v>
      </c>
    </row>
    <row r="252" spans="1:10" x14ac:dyDescent="0.25">
      <c r="A252" s="82">
        <f>'A) Base RI'!A254</f>
        <v>5812</v>
      </c>
      <c r="B252" s="147" t="str">
        <f>'A) Base RI'!B254</f>
        <v>Champtauroz</v>
      </c>
      <c r="C252" s="158">
        <f>'B) D RI'!U254</f>
        <v>2756.1429220779223</v>
      </c>
      <c r="D252" s="247">
        <f>'E) Fact soc'!G258/C252</f>
        <v>17.3563782648108</v>
      </c>
      <c r="E252" s="247">
        <f>'H) Péréquation directe'!I263/'H) Péréquation directe'!C263</f>
        <v>-14.240677912977327</v>
      </c>
      <c r="F252" s="242">
        <f>'I) Dépenses thématiques'!P252</f>
        <v>-13.862488659040521</v>
      </c>
      <c r="G252" s="190">
        <f>SUM(D252:F252)</f>
        <v>-10.746788307207048</v>
      </c>
      <c r="H252" s="161">
        <f t="shared" si="16"/>
        <v>0</v>
      </c>
      <c r="I252" s="206">
        <f>H252*C252</f>
        <v>0</v>
      </c>
      <c r="J252" s="63">
        <f>G252+H252</f>
        <v>-10.746788307207048</v>
      </c>
    </row>
    <row r="253" spans="1:10" x14ac:dyDescent="0.25">
      <c r="A253" s="82">
        <f>'A) Base RI'!A255</f>
        <v>5813</v>
      </c>
      <c r="B253" s="147" t="str">
        <f>'A) Base RI'!B255</f>
        <v>Chevroux</v>
      </c>
      <c r="C253" s="158">
        <f>'B) D RI'!U255</f>
        <v>11438.318904761907</v>
      </c>
      <c r="D253" s="247">
        <f>'E) Fact soc'!G259/C253</f>
        <v>17.835498388736184</v>
      </c>
      <c r="E253" s="247">
        <f>'H) Péréquation directe'!I264/'H) Péréquation directe'!C264</f>
        <v>3.155912284506643</v>
      </c>
      <c r="F253" s="242">
        <f>'I) Dépenses thématiques'!P253</f>
        <v>0</v>
      </c>
      <c r="G253" s="190">
        <f t="shared" si="19"/>
        <v>20.991410673242825</v>
      </c>
      <c r="H253" s="161">
        <f t="shared" si="16"/>
        <v>0</v>
      </c>
      <c r="I253" s="206">
        <f t="shared" si="18"/>
        <v>0</v>
      </c>
      <c r="J253" s="63">
        <f t="shared" si="17"/>
        <v>20.991410673242825</v>
      </c>
    </row>
    <row r="254" spans="1:10" x14ac:dyDescent="0.25">
      <c r="A254" s="82">
        <f>'A) Base RI'!A256</f>
        <v>5816</v>
      </c>
      <c r="B254" s="147" t="str">
        <f>'A) Base RI'!B256</f>
        <v>Corcelles-près-Payerne</v>
      </c>
      <c r="C254" s="158">
        <f>'B) D RI'!U256</f>
        <v>51319.201507936508</v>
      </c>
      <c r="D254" s="247">
        <f>'E) Fact soc'!G260/C254</f>
        <v>19.024316676616895</v>
      </c>
      <c r="E254" s="247">
        <f>'H) Péréquation directe'!I265/'H) Péréquation directe'!C265</f>
        <v>-7.0586909411976881</v>
      </c>
      <c r="F254" s="242">
        <f>'I) Dépenses thématiques'!P254</f>
        <v>-7.4951283086607425</v>
      </c>
      <c r="G254" s="190">
        <f t="shared" si="19"/>
        <v>4.4704974267584632</v>
      </c>
      <c r="H254" s="161">
        <f t="shared" si="16"/>
        <v>0</v>
      </c>
      <c r="I254" s="206">
        <f t="shared" si="18"/>
        <v>0</v>
      </c>
      <c r="J254" s="63">
        <f t="shared" si="17"/>
        <v>4.4704974267584632</v>
      </c>
    </row>
    <row r="255" spans="1:10" x14ac:dyDescent="0.25">
      <c r="A255" s="82">
        <f>'A) Base RI'!A257</f>
        <v>5817</v>
      </c>
      <c r="B255" s="147" t="str">
        <f>'A) Base RI'!B257</f>
        <v>Grandcour</v>
      </c>
      <c r="C255" s="158">
        <f>'B) D RI'!U257</f>
        <v>20100.413081761009</v>
      </c>
      <c r="D255" s="247">
        <f>'E) Fact soc'!G261/C255</f>
        <v>16.895544795318418</v>
      </c>
      <c r="E255" s="247">
        <f>'H) Péréquation directe'!I266/'H) Péréquation directe'!C266</f>
        <v>-7.9330213010191901</v>
      </c>
      <c r="F255" s="242">
        <f>'I) Dépenses thématiques'!P255</f>
        <v>-5.7807767197299809</v>
      </c>
      <c r="G255" s="190">
        <f t="shared" si="19"/>
        <v>3.1817467745692474</v>
      </c>
      <c r="H255" s="161">
        <f t="shared" si="16"/>
        <v>0</v>
      </c>
      <c r="I255" s="206">
        <f t="shared" si="18"/>
        <v>0</v>
      </c>
      <c r="J255" s="63">
        <f t="shared" si="17"/>
        <v>3.1817467745692474</v>
      </c>
    </row>
    <row r="256" spans="1:10" x14ac:dyDescent="0.25">
      <c r="A256" s="82">
        <f>'A) Base RI'!A258</f>
        <v>5819</v>
      </c>
      <c r="B256" s="147" t="str">
        <f>'A) Base RI'!B258</f>
        <v>Henniez</v>
      </c>
      <c r="C256" s="158">
        <f>'B) D RI'!U258</f>
        <v>9884.2255223880602</v>
      </c>
      <c r="D256" s="247">
        <f>'E) Fact soc'!G262/C256</f>
        <v>15.71601720636381</v>
      </c>
      <c r="E256" s="247">
        <f>'H) Péréquation directe'!I267/'H) Péréquation directe'!C267</f>
        <v>10.770714327985113</v>
      </c>
      <c r="F256" s="242">
        <f>'I) Dépenses thématiques'!P256</f>
        <v>-5.4805507904793451</v>
      </c>
      <c r="G256" s="190">
        <f t="shared" si="19"/>
        <v>21.006180743869578</v>
      </c>
      <c r="H256" s="161">
        <f t="shared" si="16"/>
        <v>0</v>
      </c>
      <c r="I256" s="206">
        <f t="shared" si="18"/>
        <v>0</v>
      </c>
      <c r="J256" s="63">
        <f t="shared" si="17"/>
        <v>21.006180743869578</v>
      </c>
    </row>
    <row r="257" spans="1:10" x14ac:dyDescent="0.25">
      <c r="A257" s="82">
        <f>'A) Base RI'!A259</f>
        <v>5821</v>
      </c>
      <c r="B257" s="147" t="str">
        <f>'A) Base RI'!B259</f>
        <v>Missy</v>
      </c>
      <c r="C257" s="158">
        <f>'B) D RI'!U259</f>
        <v>7497.2731944444431</v>
      </c>
      <c r="D257" s="247">
        <f>'E) Fact soc'!G263/C257</f>
        <v>19.556109626896056</v>
      </c>
      <c r="E257" s="247">
        <f>'H) Péréquation directe'!I268/'H) Péréquation directe'!C268</f>
        <v>-5.6986149910748827</v>
      </c>
      <c r="F257" s="242">
        <f>'I) Dépenses thématiques'!P257</f>
        <v>-8.2307258118493358</v>
      </c>
      <c r="G257" s="190">
        <f t="shared" si="19"/>
        <v>5.6267688239718368</v>
      </c>
      <c r="H257" s="161">
        <f t="shared" si="16"/>
        <v>0</v>
      </c>
      <c r="I257" s="206">
        <f t="shared" si="18"/>
        <v>0</v>
      </c>
      <c r="J257" s="63">
        <f t="shared" si="17"/>
        <v>5.6267688239718368</v>
      </c>
    </row>
    <row r="258" spans="1:10" x14ac:dyDescent="0.25">
      <c r="A258" s="82">
        <f>'A) Base RI'!A260</f>
        <v>5822</v>
      </c>
      <c r="B258" s="147" t="str">
        <f>'A) Base RI'!B260</f>
        <v>Payerne</v>
      </c>
      <c r="C258" s="158">
        <f>'B) D RI'!U260</f>
        <v>232171.67534246575</v>
      </c>
      <c r="D258" s="247">
        <f>'E) Fact soc'!G264/C258</f>
        <v>18.450348500622276</v>
      </c>
      <c r="E258" s="247">
        <f>'H) Péréquation directe'!I269/'H) Péréquation directe'!C269</f>
        <v>-15.958885384211094</v>
      </c>
      <c r="F258" s="242">
        <f>'I) Dépenses thématiques'!P258</f>
        <v>-3.9375431936368908</v>
      </c>
      <c r="G258" s="190">
        <f t="shared" si="19"/>
        <v>-1.4460800772257083</v>
      </c>
      <c r="H258" s="161">
        <f t="shared" si="16"/>
        <v>0</v>
      </c>
      <c r="I258" s="206">
        <f t="shared" si="18"/>
        <v>0</v>
      </c>
      <c r="J258" s="63">
        <f t="shared" si="17"/>
        <v>-1.4460800772257083</v>
      </c>
    </row>
    <row r="259" spans="1:10" x14ac:dyDescent="0.25">
      <c r="A259" s="82">
        <f>'A) Base RI'!A261</f>
        <v>5827</v>
      </c>
      <c r="B259" s="147" t="str">
        <f>'A) Base RI'!B261</f>
        <v>Trey</v>
      </c>
      <c r="C259" s="158">
        <f>'B) D RI'!U261</f>
        <v>6148.4623749999992</v>
      </c>
      <c r="D259" s="247">
        <f>'E) Fact soc'!G265/C259</f>
        <v>16.980563011573384</v>
      </c>
      <c r="E259" s="247">
        <f>'H) Péréquation directe'!I270/'H) Péréquation directe'!C270</f>
        <v>-8.8104212452631856</v>
      </c>
      <c r="F259" s="242">
        <f>'I) Dépenses thématiques'!P259</f>
        <v>-7.6370313642847991</v>
      </c>
      <c r="G259" s="190">
        <f t="shared" si="19"/>
        <v>0.53311040202539939</v>
      </c>
      <c r="H259" s="161">
        <f t="shared" si="16"/>
        <v>0</v>
      </c>
      <c r="I259" s="206">
        <f t="shared" si="18"/>
        <v>0</v>
      </c>
      <c r="J259" s="63">
        <f t="shared" si="17"/>
        <v>0.53311040202539939</v>
      </c>
    </row>
    <row r="260" spans="1:10" x14ac:dyDescent="0.25">
      <c r="A260" s="82">
        <f>'A) Base RI'!A262</f>
        <v>5828</v>
      </c>
      <c r="B260" s="147" t="str">
        <f>'A) Base RI'!B262</f>
        <v>Treytorrens</v>
      </c>
      <c r="C260" s="158">
        <f>'B) D RI'!U262</f>
        <v>2457.9002380952379</v>
      </c>
      <c r="D260" s="247">
        <f>'E) Fact soc'!G266/C260</f>
        <v>19.52213678222973</v>
      </c>
      <c r="E260" s="247">
        <f>'H) Péréquation directe'!I271/'H) Péréquation directe'!C271</f>
        <v>-18.352082970821417</v>
      </c>
      <c r="F260" s="242">
        <f>'I) Dépenses thématiques'!P260</f>
        <v>-11.763699580584706</v>
      </c>
      <c r="G260" s="190">
        <f t="shared" si="19"/>
        <v>-10.593645769176394</v>
      </c>
      <c r="H260" s="161">
        <f t="shared" si="16"/>
        <v>0</v>
      </c>
      <c r="I260" s="206">
        <f t="shared" si="18"/>
        <v>0</v>
      </c>
      <c r="J260" s="63">
        <f t="shared" si="17"/>
        <v>-10.593645769176394</v>
      </c>
    </row>
    <row r="261" spans="1:10" x14ac:dyDescent="0.25">
      <c r="A261" s="82">
        <f>'A) Base RI'!A263</f>
        <v>5830</v>
      </c>
      <c r="B261" s="147" t="str">
        <f>'A) Base RI'!B263</f>
        <v>Villarzel</v>
      </c>
      <c r="C261" s="158">
        <f>'B) D RI'!U263</f>
        <v>9888.3237037037015</v>
      </c>
      <c r="D261" s="247">
        <f>'E) Fact soc'!G267/C261</f>
        <v>17.666803089579968</v>
      </c>
      <c r="E261" s="247">
        <f>'H) Péréquation directe'!I272/'H) Péréquation directe'!C272</f>
        <v>-7.3249005780890135</v>
      </c>
      <c r="F261" s="242">
        <f>'I) Dépenses thématiques'!P261</f>
        <v>-8.2013900869390532</v>
      </c>
      <c r="G261" s="190">
        <f t="shared" si="19"/>
        <v>2.1405124245519005</v>
      </c>
      <c r="H261" s="161">
        <f t="shared" si="16"/>
        <v>0</v>
      </c>
      <c r="I261" s="206">
        <f t="shared" si="18"/>
        <v>0</v>
      </c>
      <c r="J261" s="63">
        <f t="shared" si="17"/>
        <v>2.1405124245519005</v>
      </c>
    </row>
    <row r="262" spans="1:10" x14ac:dyDescent="0.25">
      <c r="A262" s="82">
        <f>'A) Base RI'!A264</f>
        <v>5831</v>
      </c>
      <c r="B262" s="147" t="str">
        <f>'A) Base RI'!B264</f>
        <v>Valbroye</v>
      </c>
      <c r="C262" s="158">
        <f>'B) D RI'!U264</f>
        <v>72189.06751111109</v>
      </c>
      <c r="D262" s="247">
        <f>'E) Fact soc'!G268/C262</f>
        <v>16.752851275060948</v>
      </c>
      <c r="E262" s="247">
        <f>'H) Péréquation directe'!I273/'H) Péréquation directe'!C273</f>
        <v>-9.6012764729586095</v>
      </c>
      <c r="F262" s="242">
        <f>'I) Dépenses thématiques'!P262</f>
        <v>-7.7037565267677532</v>
      </c>
      <c r="G262" s="190">
        <f>SUM(D262:F262)</f>
        <v>-0.55218172466541482</v>
      </c>
      <c r="H262" s="161">
        <f t="shared" si="16"/>
        <v>0</v>
      </c>
      <c r="I262" s="206">
        <f>H262*C262</f>
        <v>0</v>
      </c>
      <c r="J262" s="63">
        <f>G262+H262</f>
        <v>-0.55218172466541482</v>
      </c>
    </row>
    <row r="263" spans="1:10" x14ac:dyDescent="0.25">
      <c r="A263" s="82">
        <f>'A) Base RI'!A265</f>
        <v>5841</v>
      </c>
      <c r="B263" s="147" t="str">
        <f>'A) Base RI'!B265</f>
        <v>Château-d'Oex</v>
      </c>
      <c r="C263" s="158">
        <f>'B) D RI'!U265</f>
        <v>107402.16457831326</v>
      </c>
      <c r="D263" s="247">
        <f>'E) Fact soc'!G269/C263</f>
        <v>19.265673709380174</v>
      </c>
      <c r="E263" s="247">
        <f>'H) Péréquation directe'!I274/'H) Péréquation directe'!C274</f>
        <v>-2.0292368896633883</v>
      </c>
      <c r="F263" s="242">
        <f>'I) Dépenses thématiques'!P263</f>
        <v>-14.156586191438922</v>
      </c>
      <c r="G263" s="190">
        <f>SUM(D263:F263)</f>
        <v>3.0798506282778639</v>
      </c>
      <c r="H263" s="161">
        <f t="shared" si="16"/>
        <v>0</v>
      </c>
      <c r="I263" s="206">
        <f>H263*C263</f>
        <v>0</v>
      </c>
      <c r="J263" s="63">
        <f>G263+H263</f>
        <v>3.0798506282778639</v>
      </c>
    </row>
    <row r="264" spans="1:10" x14ac:dyDescent="0.25">
      <c r="A264" s="82">
        <f>'A) Base RI'!A266</f>
        <v>5842</v>
      </c>
      <c r="B264" s="147" t="str">
        <f>'A) Base RI'!B266</f>
        <v>Rossinière</v>
      </c>
      <c r="C264" s="158">
        <f>'B) D RI'!U266</f>
        <v>14557.548271604937</v>
      </c>
      <c r="D264" s="247">
        <f>'E) Fact soc'!G270/C264</f>
        <v>17.716900259611528</v>
      </c>
      <c r="E264" s="247">
        <f>'H) Péréquation directe'!I275/'H) Péréquation directe'!C275</f>
        <v>-2.5362964783133246</v>
      </c>
      <c r="F264" s="242">
        <f>'I) Dépenses thématiques'!P264</f>
        <v>-18.245929537331111</v>
      </c>
      <c r="G264" s="190">
        <f t="shared" si="19"/>
        <v>-3.0653257560329088</v>
      </c>
      <c r="H264" s="161">
        <f t="shared" si="16"/>
        <v>0</v>
      </c>
      <c r="I264" s="206">
        <f t="shared" si="18"/>
        <v>0</v>
      </c>
      <c r="J264" s="63">
        <f t="shared" si="17"/>
        <v>-3.0653257560329088</v>
      </c>
    </row>
    <row r="265" spans="1:10" x14ac:dyDescent="0.25">
      <c r="A265" s="82">
        <f>'A) Base RI'!A267</f>
        <v>5843</v>
      </c>
      <c r="B265" s="147" t="str">
        <f>'A) Base RI'!B267</f>
        <v>Rougemont</v>
      </c>
      <c r="C265" s="158">
        <f>'B) D RI'!U267</f>
        <v>80469.50922705316</v>
      </c>
      <c r="D265" s="247">
        <f>'E) Fact soc'!G271/C265</f>
        <v>33.399990516622793</v>
      </c>
      <c r="E265" s="247">
        <f>'H) Péréquation directe'!I276/'H) Péréquation directe'!C276</f>
        <v>17.240892101095071</v>
      </c>
      <c r="F265" s="242">
        <f>'I) Dépenses thématiques'!P265</f>
        <v>-13.162075737167751</v>
      </c>
      <c r="G265" s="190">
        <f t="shared" si="19"/>
        <v>37.47880688055011</v>
      </c>
      <c r="H265" s="161">
        <f t="shared" si="16"/>
        <v>0</v>
      </c>
      <c r="I265" s="206">
        <f t="shared" si="18"/>
        <v>0</v>
      </c>
      <c r="J265" s="63">
        <f t="shared" si="17"/>
        <v>37.47880688055011</v>
      </c>
    </row>
    <row r="266" spans="1:10" x14ac:dyDescent="0.25">
      <c r="A266" s="82">
        <f>'A) Base RI'!A268</f>
        <v>5851</v>
      </c>
      <c r="B266" s="147" t="str">
        <f>'A) Base RI'!B268</f>
        <v>Allaman</v>
      </c>
      <c r="C266" s="158">
        <f>'B) D RI'!U268</f>
        <v>24671.087704918031</v>
      </c>
      <c r="D266" s="247">
        <f>'E) Fact soc'!G272/C266</f>
        <v>31.783681103446753</v>
      </c>
      <c r="E266" s="247">
        <f>'H) Péréquation directe'!I277/'H) Péréquation directe'!C277</f>
        <v>16.868180589961941</v>
      </c>
      <c r="F266" s="242">
        <f>'I) Dépenses thématiques'!P266</f>
        <v>0</v>
      </c>
      <c r="G266" s="190">
        <f t="shared" si="19"/>
        <v>48.651861693408691</v>
      </c>
      <c r="H266" s="161">
        <f t="shared" si="16"/>
        <v>0</v>
      </c>
      <c r="I266" s="206">
        <f t="shared" si="18"/>
        <v>0</v>
      </c>
      <c r="J266" s="63">
        <f t="shared" si="17"/>
        <v>48.651861693408691</v>
      </c>
    </row>
    <row r="267" spans="1:10" x14ac:dyDescent="0.25">
      <c r="A267" s="82">
        <f>'A) Base RI'!A269</f>
        <v>5852</v>
      </c>
      <c r="B267" s="147" t="str">
        <f>'A) Base RI'!B269</f>
        <v>Bursinel</v>
      </c>
      <c r="C267" s="158">
        <f>'B) D RI'!U269</f>
        <v>29914.872845528454</v>
      </c>
      <c r="D267" s="247">
        <f>'E) Fact soc'!G273/C267</f>
        <v>18.86375301369031</v>
      </c>
      <c r="E267" s="247">
        <f>'H) Péréquation directe'!I278/'H) Péréquation directe'!C278</f>
        <v>16.903706907062599</v>
      </c>
      <c r="F267" s="242">
        <f>'I) Dépenses thématiques'!P267</f>
        <v>-1.292111885685457</v>
      </c>
      <c r="G267" s="190">
        <f t="shared" si="19"/>
        <v>34.475348035067455</v>
      </c>
      <c r="H267" s="161">
        <f t="shared" si="16"/>
        <v>0</v>
      </c>
      <c r="I267" s="206">
        <f t="shared" si="18"/>
        <v>0</v>
      </c>
      <c r="J267" s="63">
        <f t="shared" si="17"/>
        <v>34.475348035067455</v>
      </c>
    </row>
    <row r="268" spans="1:10" x14ac:dyDescent="0.25">
      <c r="A268" s="82">
        <f>'A) Base RI'!A270</f>
        <v>5853</v>
      </c>
      <c r="B268" s="147" t="str">
        <f>'A) Base RI'!B270</f>
        <v>Bursins</v>
      </c>
      <c r="C268" s="158">
        <f>'B) D RI'!U270</f>
        <v>35670.275774647889</v>
      </c>
      <c r="D268" s="247">
        <f>'E) Fact soc'!G274/C268</f>
        <v>18.214988629154902</v>
      </c>
      <c r="E268" s="247">
        <f>'H) Péréquation directe'!I279/'H) Péréquation directe'!C279</f>
        <v>16.414058688498592</v>
      </c>
      <c r="F268" s="242">
        <f>'I) Dépenses thématiques'!P268</f>
        <v>-0.45216919829544588</v>
      </c>
      <c r="G268" s="190">
        <f t="shared" si="19"/>
        <v>34.176878119358051</v>
      </c>
      <c r="H268" s="161">
        <f t="shared" si="16"/>
        <v>0</v>
      </c>
      <c r="I268" s="206">
        <f t="shared" si="18"/>
        <v>0</v>
      </c>
      <c r="J268" s="63">
        <f t="shared" si="17"/>
        <v>34.176878119358051</v>
      </c>
    </row>
    <row r="269" spans="1:10" x14ac:dyDescent="0.25">
      <c r="A269" s="82">
        <f>'A) Base RI'!A271</f>
        <v>5854</v>
      </c>
      <c r="B269" s="147" t="str">
        <f>'A) Base RI'!B271</f>
        <v>Burtigny</v>
      </c>
      <c r="C269" s="158">
        <f>'B) D RI'!U271</f>
        <v>10927.480438596491</v>
      </c>
      <c r="D269" s="247">
        <f>'E) Fact soc'!G275/C269</f>
        <v>16.687723466492837</v>
      </c>
      <c r="E269" s="247">
        <f>'H) Péréquation directe'!I280/'H) Péréquation directe'!C280</f>
        <v>3.9276361714960655</v>
      </c>
      <c r="F269" s="242">
        <f>'I) Dépenses thématiques'!P269</f>
        <v>-20.174183906232155</v>
      </c>
      <c r="G269" s="190">
        <f t="shared" si="19"/>
        <v>0.44117573175674707</v>
      </c>
      <c r="H269" s="161">
        <f t="shared" ref="H269:H322" si="20">IF(G269&gt;H$4,H$4-G269,0)</f>
        <v>0</v>
      </c>
      <c r="I269" s="206">
        <f t="shared" si="18"/>
        <v>0</v>
      </c>
      <c r="J269" s="63">
        <f t="shared" ref="J269:J322" si="21">G269+H269</f>
        <v>0.44117573175674707</v>
      </c>
    </row>
    <row r="270" spans="1:10" x14ac:dyDescent="0.25">
      <c r="A270" s="82">
        <f>'A) Base RI'!A272</f>
        <v>5855</v>
      </c>
      <c r="B270" s="147" t="str">
        <f>'A) Base RI'!B272</f>
        <v>Dully</v>
      </c>
      <c r="C270" s="158">
        <f>'B) D RI'!U272</f>
        <v>80286.552448979593</v>
      </c>
      <c r="D270" s="247">
        <f>'E) Fact soc'!G276/C270</f>
        <v>28.466611909897736</v>
      </c>
      <c r="E270" s="247">
        <f>'H) Péréquation directe'!I281/'H) Péréquation directe'!C281</f>
        <v>17.488703390891899</v>
      </c>
      <c r="F270" s="242">
        <f>'I) Dépenses thématiques'!P270</f>
        <v>0</v>
      </c>
      <c r="G270" s="190">
        <f t="shared" si="19"/>
        <v>45.955315300789636</v>
      </c>
      <c r="H270" s="161">
        <f t="shared" si="20"/>
        <v>0</v>
      </c>
      <c r="I270" s="206">
        <f t="shared" si="18"/>
        <v>0</v>
      </c>
      <c r="J270" s="63">
        <f t="shared" si="21"/>
        <v>45.955315300789636</v>
      </c>
    </row>
    <row r="271" spans="1:10" x14ac:dyDescent="0.25">
      <c r="A271" s="82">
        <f>'A) Base RI'!A273</f>
        <v>5856</v>
      </c>
      <c r="B271" s="147" t="str">
        <f>'A) Base RI'!B273</f>
        <v>Essertines-sur-Rolle</v>
      </c>
      <c r="C271" s="158">
        <f>'B) D RI'!U273</f>
        <v>37372.082975113124</v>
      </c>
      <c r="D271" s="247">
        <f>'E) Fact soc'!G277/C271</f>
        <v>16.123158203129435</v>
      </c>
      <c r="E271" s="247">
        <f>'H) Péréquation directe'!I282/'H) Péréquation directe'!C282</f>
        <v>16.688178724619569</v>
      </c>
      <c r="F271" s="242">
        <f>'I) Dépenses thématiques'!P271</f>
        <v>0</v>
      </c>
      <c r="G271" s="190">
        <f t="shared" si="19"/>
        <v>32.811336927749004</v>
      </c>
      <c r="H271" s="161">
        <f t="shared" si="20"/>
        <v>0</v>
      </c>
      <c r="I271" s="206">
        <f t="shared" si="18"/>
        <v>0</v>
      </c>
      <c r="J271" s="63">
        <f t="shared" si="21"/>
        <v>32.811336927749004</v>
      </c>
    </row>
    <row r="272" spans="1:10" x14ac:dyDescent="0.25">
      <c r="A272" s="82">
        <f>'A) Base RI'!A274</f>
        <v>5857</v>
      </c>
      <c r="B272" s="147" t="str">
        <f>'A) Base RI'!B274</f>
        <v>Gilly</v>
      </c>
      <c r="C272" s="158">
        <f>'B) D RI'!U274</f>
        <v>64256.086818181808</v>
      </c>
      <c r="D272" s="247">
        <f>'E) Fact soc'!G278/C272</f>
        <v>22.053593294000596</v>
      </c>
      <c r="E272" s="247">
        <f>'H) Péréquation directe'!I283/'H) Péréquation directe'!C283</f>
        <v>16.540580242390391</v>
      </c>
      <c r="F272" s="242">
        <f>'I) Dépenses thématiques'!P272</f>
        <v>0</v>
      </c>
      <c r="G272" s="190">
        <f t="shared" si="19"/>
        <v>38.594173536390983</v>
      </c>
      <c r="H272" s="161">
        <f t="shared" si="20"/>
        <v>0</v>
      </c>
      <c r="I272" s="206">
        <f t="shared" si="18"/>
        <v>0</v>
      </c>
      <c r="J272" s="63">
        <f t="shared" si="21"/>
        <v>38.594173536390983</v>
      </c>
    </row>
    <row r="273" spans="1:10" x14ac:dyDescent="0.25">
      <c r="A273" s="82">
        <f>'A) Base RI'!A275</f>
        <v>5858</v>
      </c>
      <c r="B273" s="147" t="str">
        <f>'A) Base RI'!B275</f>
        <v>Luins</v>
      </c>
      <c r="C273" s="158">
        <f>'B) D RI'!U275</f>
        <v>35566.654611111124</v>
      </c>
      <c r="D273" s="247">
        <f>'E) Fact soc'!G279/C273</f>
        <v>17.421243028214128</v>
      </c>
      <c r="E273" s="247">
        <f>'H) Péréquation directe'!I284/'H) Péréquation directe'!C284</f>
        <v>16.811178198196064</v>
      </c>
      <c r="F273" s="242">
        <f>'I) Dépenses thématiques'!P273</f>
        <v>0</v>
      </c>
      <c r="G273" s="190">
        <f t="shared" si="19"/>
        <v>34.232421226410196</v>
      </c>
      <c r="H273" s="161">
        <f t="shared" si="20"/>
        <v>0</v>
      </c>
      <c r="I273" s="206">
        <f t="shared" ref="I273:I322" si="22">H273*C273</f>
        <v>0</v>
      </c>
      <c r="J273" s="63">
        <f t="shared" si="21"/>
        <v>34.232421226410196</v>
      </c>
    </row>
    <row r="274" spans="1:10" x14ac:dyDescent="0.25">
      <c r="A274" s="82">
        <f>'A) Base RI'!A276</f>
        <v>5859</v>
      </c>
      <c r="B274" s="147" t="str">
        <f>'A) Base RI'!B276</f>
        <v>Mont-sur-Rolle</v>
      </c>
      <c r="C274" s="158">
        <f>'B) D RI'!U276</f>
        <v>135944.39825396828</v>
      </c>
      <c r="D274" s="247">
        <f>'E) Fact soc'!G280/C274</f>
        <v>17.803593834920456</v>
      </c>
      <c r="E274" s="247">
        <f>'H) Péréquation directe'!I285/'H) Péréquation directe'!C285</f>
        <v>13.69581993751369</v>
      </c>
      <c r="F274" s="242">
        <f>'I) Dépenses thématiques'!P274</f>
        <v>0</v>
      </c>
      <c r="G274" s="190">
        <f t="shared" ref="G274:G322" si="23">SUM(D274:F274)</f>
        <v>31.499413772434146</v>
      </c>
      <c r="H274" s="161">
        <f t="shared" si="20"/>
        <v>0</v>
      </c>
      <c r="I274" s="206">
        <f t="shared" si="22"/>
        <v>0</v>
      </c>
      <c r="J274" s="63">
        <f t="shared" si="21"/>
        <v>31.499413772434146</v>
      </c>
    </row>
    <row r="275" spans="1:10" x14ac:dyDescent="0.25">
      <c r="A275" s="82">
        <f>'A) Base RI'!A277</f>
        <v>5860</v>
      </c>
      <c r="B275" s="147" t="str">
        <f>'A) Base RI'!B277</f>
        <v>Perroy</v>
      </c>
      <c r="C275" s="158">
        <f>'B) D RI'!U277</f>
        <v>70993.86</v>
      </c>
      <c r="D275" s="247">
        <f>'E) Fact soc'!G281/C275</f>
        <v>17.462626227372898</v>
      </c>
      <c r="E275" s="247">
        <f>'H) Péréquation directe'!I286/'H) Péréquation directe'!C286</f>
        <v>15.199962362942372</v>
      </c>
      <c r="F275" s="242">
        <f>'I) Dépenses thématiques'!P275</f>
        <v>0</v>
      </c>
      <c r="G275" s="190">
        <f t="shared" si="23"/>
        <v>32.662588590315266</v>
      </c>
      <c r="H275" s="161">
        <f t="shared" si="20"/>
        <v>0</v>
      </c>
      <c r="I275" s="206">
        <f t="shared" si="22"/>
        <v>0</v>
      </c>
      <c r="J275" s="63">
        <f t="shared" si="21"/>
        <v>32.662588590315266</v>
      </c>
    </row>
    <row r="276" spans="1:10" x14ac:dyDescent="0.25">
      <c r="A276" s="82">
        <f>'A) Base RI'!A278</f>
        <v>5861</v>
      </c>
      <c r="B276" s="147" t="str">
        <f>'A) Base RI'!B278</f>
        <v>Rolle</v>
      </c>
      <c r="C276" s="158">
        <f>'B) D RI'!U278</f>
        <v>356530.16436974786</v>
      </c>
      <c r="D276" s="247">
        <f>'E) Fact soc'!G282/C276</f>
        <v>19.747145549495006</v>
      </c>
      <c r="E276" s="247">
        <f>'H) Péréquation directe'!I287/'H) Péréquation directe'!C287</f>
        <v>11.782192517007415</v>
      </c>
      <c r="F276" s="242">
        <f>'I) Dépenses thématiques'!P276</f>
        <v>-1.2005950432997736</v>
      </c>
      <c r="G276" s="190">
        <f t="shared" si="23"/>
        <v>30.328743023202644</v>
      </c>
      <c r="H276" s="161">
        <f t="shared" si="20"/>
        <v>0</v>
      </c>
      <c r="I276" s="206">
        <f t="shared" si="22"/>
        <v>0</v>
      </c>
      <c r="J276" s="63">
        <f t="shared" si="21"/>
        <v>30.328743023202644</v>
      </c>
    </row>
    <row r="277" spans="1:10" x14ac:dyDescent="0.25">
      <c r="A277" s="82">
        <f>'A) Base RI'!A279</f>
        <v>5862</v>
      </c>
      <c r="B277" s="147" t="str">
        <f>'A) Base RI'!B279</f>
        <v>Tartegnin</v>
      </c>
      <c r="C277" s="158">
        <f>'B) D RI'!U279</f>
        <v>7735.2980158730161</v>
      </c>
      <c r="D277" s="247">
        <f>'E) Fact soc'!G283/C277</f>
        <v>21.570189520177582</v>
      </c>
      <c r="E277" s="247">
        <f>'H) Péréquation directe'!I288/'H) Péréquation directe'!C288</f>
        <v>7.3947580337740737</v>
      </c>
      <c r="F277" s="242">
        <f>'I) Dépenses thématiques'!P277</f>
        <v>-1.2653681836064739</v>
      </c>
      <c r="G277" s="190">
        <f t="shared" si="23"/>
        <v>27.699579370345184</v>
      </c>
      <c r="H277" s="161">
        <f t="shared" si="20"/>
        <v>0</v>
      </c>
      <c r="I277" s="206">
        <f t="shared" si="22"/>
        <v>0</v>
      </c>
      <c r="J277" s="63">
        <f t="shared" si="21"/>
        <v>27.699579370345184</v>
      </c>
    </row>
    <row r="278" spans="1:10" x14ac:dyDescent="0.25">
      <c r="A278" s="82">
        <f>'A) Base RI'!A280</f>
        <v>5863</v>
      </c>
      <c r="B278" s="147" t="str">
        <f>'A) Base RI'!B280</f>
        <v>Vinzel</v>
      </c>
      <c r="C278" s="158">
        <f>'B) D RI'!U280</f>
        <v>21110.455753424656</v>
      </c>
      <c r="D278" s="247">
        <f>'E) Fact soc'!G284/C278</f>
        <v>16.676250478154245</v>
      </c>
      <c r="E278" s="247">
        <f>'H) Péréquation directe'!I289/'H) Péréquation directe'!C289</f>
        <v>16.839432467735644</v>
      </c>
      <c r="F278" s="242">
        <f>'I) Dépenses thématiques'!P278</f>
        <v>0</v>
      </c>
      <c r="G278" s="190">
        <f t="shared" si="23"/>
        <v>33.515682945889893</v>
      </c>
      <c r="H278" s="161">
        <f t="shared" si="20"/>
        <v>0</v>
      </c>
      <c r="I278" s="206">
        <f t="shared" si="22"/>
        <v>0</v>
      </c>
      <c r="J278" s="63">
        <f t="shared" si="21"/>
        <v>33.515682945889893</v>
      </c>
    </row>
    <row r="279" spans="1:10" x14ac:dyDescent="0.25">
      <c r="A279" s="82">
        <f>'A) Base RI'!A281</f>
        <v>5871</v>
      </c>
      <c r="B279" s="147" t="str">
        <f>'A) Base RI'!B281</f>
        <v>L'Abbaye</v>
      </c>
      <c r="C279" s="158">
        <f>'B) D RI'!U281</f>
        <v>60910.131722525337</v>
      </c>
      <c r="D279" s="247">
        <f>'E) Fact soc'!G285/C279</f>
        <v>19.352502563358549</v>
      </c>
      <c r="E279" s="247">
        <f>'H) Péréquation directe'!I290/'H) Péréquation directe'!C290</f>
        <v>13.677155824188558</v>
      </c>
      <c r="F279" s="242">
        <f>'I) Dépenses thématiques'!P279</f>
        <v>-2.1954147235992192</v>
      </c>
      <c r="G279" s="190">
        <f t="shared" si="23"/>
        <v>30.834243663947888</v>
      </c>
      <c r="H279" s="161">
        <f t="shared" si="20"/>
        <v>0</v>
      </c>
      <c r="I279" s="206">
        <f t="shared" si="22"/>
        <v>0</v>
      </c>
      <c r="J279" s="63">
        <f t="shared" si="21"/>
        <v>30.834243663947888</v>
      </c>
    </row>
    <row r="280" spans="1:10" x14ac:dyDescent="0.25">
      <c r="A280" s="82">
        <f>'A) Base RI'!A282</f>
        <v>5872</v>
      </c>
      <c r="B280" s="147" t="str">
        <f>'A) Base RI'!B282</f>
        <v>Le Chenit</v>
      </c>
      <c r="C280" s="158">
        <f>'B) D RI'!U282</f>
        <v>373754.29606892174</v>
      </c>
      <c r="D280" s="247">
        <f>'E) Fact soc'!G286/C280</f>
        <v>28.859144973755313</v>
      </c>
      <c r="E280" s="247">
        <f>'H) Péréquation directe'!I291/'H) Péréquation directe'!C291</f>
        <v>13.751789267334608</v>
      </c>
      <c r="F280" s="242">
        <f>'I) Dépenses thématiques'!P280</f>
        <v>-2.8443078455096509</v>
      </c>
      <c r="G280" s="190">
        <f t="shared" si="23"/>
        <v>39.766626395580268</v>
      </c>
      <c r="H280" s="161">
        <f t="shared" si="20"/>
        <v>0</v>
      </c>
      <c r="I280" s="206">
        <f t="shared" si="22"/>
        <v>0</v>
      </c>
      <c r="J280" s="63">
        <f t="shared" si="21"/>
        <v>39.766626395580268</v>
      </c>
    </row>
    <row r="281" spans="1:10" x14ac:dyDescent="0.25">
      <c r="A281" s="82">
        <f>'A) Base RI'!A283</f>
        <v>5873</v>
      </c>
      <c r="B281" s="147" t="str">
        <f>'A) Base RI'!B283</f>
        <v>Le Lieu</v>
      </c>
      <c r="C281" s="158">
        <f>'B) D RI'!U283</f>
        <v>39370.007846153843</v>
      </c>
      <c r="D281" s="247">
        <f>'E) Fact soc'!G287/C281</f>
        <v>23.566687440660115</v>
      </c>
      <c r="E281" s="247">
        <f>'H) Péréquation directe'!I292/'H) Péréquation directe'!C292</f>
        <v>16.381657898577391</v>
      </c>
      <c r="F281" s="242">
        <f>'I) Dépenses thématiques'!P281</f>
        <v>-15.011427031192129</v>
      </c>
      <c r="G281" s="190">
        <f t="shared" si="23"/>
        <v>24.936918308045378</v>
      </c>
      <c r="H281" s="161">
        <f t="shared" si="20"/>
        <v>0</v>
      </c>
      <c r="I281" s="206">
        <f t="shared" si="22"/>
        <v>0</v>
      </c>
      <c r="J281" s="63">
        <f t="shared" si="21"/>
        <v>24.936918308045378</v>
      </c>
    </row>
    <row r="282" spans="1:10" x14ac:dyDescent="0.25">
      <c r="A282" s="82">
        <f>'A) Base RI'!A284</f>
        <v>5881</v>
      </c>
      <c r="B282" s="147" t="str">
        <f>'A) Base RI'!B284</f>
        <v>Blonay</v>
      </c>
      <c r="C282" s="158">
        <f>'B) D RI'!U284</f>
        <v>331887.5422222222</v>
      </c>
      <c r="D282" s="247">
        <f>'E) Fact soc'!G288/C282</f>
        <v>17.100305184907484</v>
      </c>
      <c r="E282" s="247">
        <f>'H) Péréquation directe'!I293/'H) Péréquation directe'!C293</f>
        <v>11.125663154682771</v>
      </c>
      <c r="F282" s="242">
        <f>'I) Dépenses thématiques'!P282</f>
        <v>-1.4794077436966366</v>
      </c>
      <c r="G282" s="190">
        <f t="shared" si="23"/>
        <v>26.746560595893616</v>
      </c>
      <c r="H282" s="161">
        <f t="shared" si="20"/>
        <v>0</v>
      </c>
      <c r="I282" s="206">
        <f t="shared" si="22"/>
        <v>0</v>
      </c>
      <c r="J282" s="63">
        <f t="shared" si="21"/>
        <v>26.746560595893616</v>
      </c>
    </row>
    <row r="283" spans="1:10" x14ac:dyDescent="0.25">
      <c r="A283" s="82">
        <f>'A) Base RI'!A285</f>
        <v>5882</v>
      </c>
      <c r="B283" s="147" t="str">
        <f>'A) Base RI'!B285</f>
        <v>Chardonne</v>
      </c>
      <c r="C283" s="158">
        <f>'B) D RI'!U285</f>
        <v>161225.34606060604</v>
      </c>
      <c r="D283" s="247">
        <f>'E) Fact soc'!G289/C283</f>
        <v>24.77096419967916</v>
      </c>
      <c r="E283" s="247">
        <f>'H) Péréquation directe'!I294/'H) Péréquation directe'!C294</f>
        <v>13.903326451085881</v>
      </c>
      <c r="F283" s="242">
        <f>'I) Dépenses thématiques'!P283</f>
        <v>-1.3430297121315158</v>
      </c>
      <c r="G283" s="190">
        <f t="shared" si="23"/>
        <v>37.331260938633527</v>
      </c>
      <c r="H283" s="161">
        <f t="shared" si="20"/>
        <v>0</v>
      </c>
      <c r="I283" s="206">
        <f t="shared" si="22"/>
        <v>0</v>
      </c>
      <c r="J283" s="63">
        <f t="shared" si="21"/>
        <v>37.331260938633527</v>
      </c>
    </row>
    <row r="284" spans="1:10" x14ac:dyDescent="0.25">
      <c r="A284" s="82">
        <f>'A) Base RI'!A286</f>
        <v>5883</v>
      </c>
      <c r="B284" s="147" t="str">
        <f>'A) Base RI'!B286</f>
        <v>Corseaux</v>
      </c>
      <c r="C284" s="158">
        <f>'B) D RI'!U286</f>
        <v>159212.38328124999</v>
      </c>
      <c r="D284" s="247">
        <f>'E) Fact soc'!G290/C284</f>
        <v>22.246322841521309</v>
      </c>
      <c r="E284" s="247">
        <f>'H) Péréquation directe'!I295/'H) Péréquation directe'!C295</f>
        <v>15.016232809282128</v>
      </c>
      <c r="F284" s="242">
        <f>'I) Dépenses thématiques'!P284</f>
        <v>0</v>
      </c>
      <c r="G284" s="190">
        <f t="shared" si="23"/>
        <v>37.262555650803435</v>
      </c>
      <c r="H284" s="161">
        <f t="shared" si="20"/>
        <v>0</v>
      </c>
      <c r="I284" s="206">
        <f t="shared" si="22"/>
        <v>0</v>
      </c>
      <c r="J284" s="63">
        <f t="shared" si="21"/>
        <v>37.262555650803435</v>
      </c>
    </row>
    <row r="285" spans="1:10" x14ac:dyDescent="0.25">
      <c r="A285" s="82">
        <f>'A) Base RI'!A287</f>
        <v>5884</v>
      </c>
      <c r="B285" s="147" t="str">
        <f>'A) Base RI'!B287</f>
        <v>Corsier-sur-Vevey</v>
      </c>
      <c r="C285" s="158">
        <f>'B) D RI'!U287</f>
        <v>121405.28277777777</v>
      </c>
      <c r="D285" s="247">
        <f>'E) Fact soc'!G291/C285</f>
        <v>17.063167630127239</v>
      </c>
      <c r="E285" s="247">
        <f>'H) Péréquation directe'!I296/'H) Péréquation directe'!C296</f>
        <v>6.4379241158445035</v>
      </c>
      <c r="F285" s="242">
        <f>'I) Dépenses thématiques'!P285</f>
        <v>-5.1330303405385864</v>
      </c>
      <c r="G285" s="190">
        <f t="shared" si="23"/>
        <v>18.368061405433156</v>
      </c>
      <c r="H285" s="161">
        <f t="shared" si="20"/>
        <v>0</v>
      </c>
      <c r="I285" s="206">
        <f t="shared" si="22"/>
        <v>0</v>
      </c>
      <c r="J285" s="63">
        <f t="shared" si="21"/>
        <v>18.368061405433156</v>
      </c>
    </row>
    <row r="286" spans="1:10" x14ac:dyDescent="0.25">
      <c r="A286" s="82">
        <f>'A) Base RI'!A288</f>
        <v>5885</v>
      </c>
      <c r="B286" s="147" t="str">
        <f>'A) Base RI'!B288</f>
        <v>Jongny</v>
      </c>
      <c r="C286" s="158">
        <f>'B) D RI'!U288</f>
        <v>76199.638309178743</v>
      </c>
      <c r="D286" s="247">
        <f>'E) Fact soc'!G292/C286</f>
        <v>17.40184118182091</v>
      </c>
      <c r="E286" s="247">
        <f>'H) Péréquation directe'!I297/'H) Péréquation directe'!C297</f>
        <v>15.061777528959109</v>
      </c>
      <c r="F286" s="242">
        <f>'I) Dépenses thématiques'!P286</f>
        <v>-0.10007921519335347</v>
      </c>
      <c r="G286" s="190">
        <f t="shared" si="23"/>
        <v>32.363539495586664</v>
      </c>
      <c r="H286" s="161">
        <f t="shared" si="20"/>
        <v>0</v>
      </c>
      <c r="I286" s="206">
        <f t="shared" si="22"/>
        <v>0</v>
      </c>
      <c r="J286" s="63">
        <f t="shared" si="21"/>
        <v>32.363539495586664</v>
      </c>
    </row>
    <row r="287" spans="1:10" x14ac:dyDescent="0.25">
      <c r="A287" s="82">
        <f>'A) Base RI'!A289</f>
        <v>5886</v>
      </c>
      <c r="B287" s="147" t="str">
        <f>'A) Base RI'!B289</f>
        <v>Montreux</v>
      </c>
      <c r="C287" s="158">
        <f>'B) D RI'!U289</f>
        <v>1119854.9833838383</v>
      </c>
      <c r="D287" s="247">
        <f>'E) Fact soc'!G293/C287</f>
        <v>19.472924362596785</v>
      </c>
      <c r="E287" s="247">
        <f>'H) Péréquation directe'!I298/'H) Péréquation directe'!C298</f>
        <v>-0.89635587104409764</v>
      </c>
      <c r="F287" s="242">
        <f>'I) Dépenses thématiques'!P287</f>
        <v>-3.8537605886786315</v>
      </c>
      <c r="G287" s="190">
        <f t="shared" si="23"/>
        <v>14.722807902874056</v>
      </c>
      <c r="H287" s="161">
        <f t="shared" si="20"/>
        <v>0</v>
      </c>
      <c r="I287" s="206">
        <f t="shared" si="22"/>
        <v>0</v>
      </c>
      <c r="J287" s="63">
        <f t="shared" si="21"/>
        <v>14.722807902874056</v>
      </c>
    </row>
    <row r="288" spans="1:10" x14ac:dyDescent="0.25">
      <c r="A288" s="82">
        <f>'A) Base RI'!A290</f>
        <v>5888</v>
      </c>
      <c r="B288" s="147" t="str">
        <f>'A) Base RI'!B290</f>
        <v>St-Légier-La Chiésaz</v>
      </c>
      <c r="C288" s="158">
        <f>'B) D RI'!U290</f>
        <v>357526.04545454547</v>
      </c>
      <c r="D288" s="247">
        <f>'E) Fact soc'!G294/C288</f>
        <v>20.524687683531738</v>
      </c>
      <c r="E288" s="247">
        <f>'H) Péréquation directe'!I299/'H) Péréquation directe'!C299</f>
        <v>12.935115351249177</v>
      </c>
      <c r="F288" s="242">
        <f>'I) Dépenses thématiques'!P288</f>
        <v>-2.8298828352355767</v>
      </c>
      <c r="G288" s="190">
        <f t="shared" si="23"/>
        <v>30.629920199545342</v>
      </c>
      <c r="H288" s="161">
        <f t="shared" si="20"/>
        <v>0</v>
      </c>
      <c r="I288" s="206">
        <f t="shared" si="22"/>
        <v>0</v>
      </c>
      <c r="J288" s="63">
        <f t="shared" si="21"/>
        <v>30.629920199545342</v>
      </c>
    </row>
    <row r="289" spans="1:10" x14ac:dyDescent="0.25">
      <c r="A289" s="82">
        <f>'A) Base RI'!A291</f>
        <v>5889</v>
      </c>
      <c r="B289" s="147" t="str">
        <f>'A) Base RI'!B291</f>
        <v>La Tour-de-Peilz</v>
      </c>
      <c r="C289" s="158">
        <f>'B) D RI'!U291</f>
        <v>593029.02942708356</v>
      </c>
      <c r="D289" s="247">
        <f>'E) Fact soc'!G295/C289</f>
        <v>17.178535012615679</v>
      </c>
      <c r="E289" s="247">
        <f>'H) Péréquation directe'!I300/'H) Péréquation directe'!C300</f>
        <v>8.3102727783176018</v>
      </c>
      <c r="F289" s="242">
        <f>'I) Dépenses thématiques'!P289</f>
        <v>0</v>
      </c>
      <c r="G289" s="190">
        <f t="shared" si="23"/>
        <v>25.488807790933279</v>
      </c>
      <c r="H289" s="161">
        <f t="shared" si="20"/>
        <v>0</v>
      </c>
      <c r="I289" s="206">
        <f t="shared" si="22"/>
        <v>0</v>
      </c>
      <c r="J289" s="63">
        <f t="shared" si="21"/>
        <v>25.488807790933279</v>
      </c>
    </row>
    <row r="290" spans="1:10" x14ac:dyDescent="0.25">
      <c r="A290" s="82">
        <f>'A) Base RI'!A292</f>
        <v>5890</v>
      </c>
      <c r="B290" s="147" t="str">
        <f>'A) Base RI'!B292</f>
        <v>Vevey</v>
      </c>
      <c r="C290" s="158">
        <f>'B) D RI'!U292</f>
        <v>920050.18059360737</v>
      </c>
      <c r="D290" s="247">
        <f>'E) Fact soc'!G296/C290</f>
        <v>17.19078468277549</v>
      </c>
      <c r="E290" s="247">
        <f>'H) Péréquation directe'!I301/'H) Péréquation directe'!C301</f>
        <v>3.5785569846589698</v>
      </c>
      <c r="F290" s="242">
        <f>'I) Dépenses thématiques'!P290</f>
        <v>-0.8509894530914025</v>
      </c>
      <c r="G290" s="190">
        <f t="shared" si="23"/>
        <v>19.918352214343059</v>
      </c>
      <c r="H290" s="161">
        <f t="shared" si="20"/>
        <v>0</v>
      </c>
      <c r="I290" s="206">
        <f t="shared" si="22"/>
        <v>0</v>
      </c>
      <c r="J290" s="63">
        <f t="shared" si="21"/>
        <v>19.918352214343059</v>
      </c>
    </row>
    <row r="291" spans="1:10" x14ac:dyDescent="0.25">
      <c r="A291" s="82">
        <f>'A) Base RI'!A293</f>
        <v>5891</v>
      </c>
      <c r="B291" s="147" t="str">
        <f>'A) Base RI'!B293</f>
        <v>Veytaux</v>
      </c>
      <c r="C291" s="158">
        <f>'B) D RI'!U293</f>
        <v>37637.543719806752</v>
      </c>
      <c r="D291" s="247">
        <f>'E) Fact soc'!G297/C291</f>
        <v>22.806801074305103</v>
      </c>
      <c r="E291" s="247">
        <f>'H) Péréquation directe'!I302/'H) Péréquation directe'!C302</f>
        <v>16.310788094201172</v>
      </c>
      <c r="F291" s="242">
        <f>'I) Dépenses thématiques'!P291</f>
        <v>-9.1288900933029353</v>
      </c>
      <c r="G291" s="190">
        <f t="shared" si="23"/>
        <v>29.988699075203336</v>
      </c>
      <c r="H291" s="161">
        <f t="shared" si="20"/>
        <v>0</v>
      </c>
      <c r="I291" s="206">
        <f t="shared" si="22"/>
        <v>0</v>
      </c>
      <c r="J291" s="63">
        <f t="shared" si="21"/>
        <v>29.988699075203336</v>
      </c>
    </row>
    <row r="292" spans="1:10" x14ac:dyDescent="0.25">
      <c r="A292" s="82">
        <f>'A) Base RI'!A294</f>
        <v>5902</v>
      </c>
      <c r="B292" s="147" t="str">
        <f>'A) Base RI'!B294</f>
        <v>Belmont-sur-Yverdon</v>
      </c>
      <c r="C292" s="158">
        <f>'B) D RI'!U294</f>
        <v>8809.0856578947369</v>
      </c>
      <c r="D292" s="247">
        <f>'E) Fact soc'!G298/C292</f>
        <v>19.888018045468382</v>
      </c>
      <c r="E292" s="247">
        <f>'H) Péréquation directe'!I303/'H) Péréquation directe'!C303</f>
        <v>-3.3547110436799068</v>
      </c>
      <c r="F292" s="242">
        <f>'I) Dépenses thématiques'!P292</f>
        <v>-1.7206099008035229</v>
      </c>
      <c r="G292" s="190">
        <f t="shared" si="23"/>
        <v>14.812697100984952</v>
      </c>
      <c r="H292" s="161">
        <f t="shared" si="20"/>
        <v>0</v>
      </c>
      <c r="I292" s="206">
        <f t="shared" si="22"/>
        <v>0</v>
      </c>
      <c r="J292" s="63">
        <f t="shared" si="21"/>
        <v>14.812697100984952</v>
      </c>
    </row>
    <row r="293" spans="1:10" x14ac:dyDescent="0.25">
      <c r="A293" s="82">
        <f>'A) Base RI'!A295</f>
        <v>5903</v>
      </c>
      <c r="B293" s="147" t="str">
        <f>'A) Base RI'!B295</f>
        <v>Bioley-Magnoux</v>
      </c>
      <c r="C293" s="158">
        <f>'B) D RI'!U295</f>
        <v>6088.8460038610028</v>
      </c>
      <c r="D293" s="247">
        <f>'E) Fact soc'!G299/C293</f>
        <v>16.08247267534567</v>
      </c>
      <c r="E293" s="247">
        <f>'H) Péréquation directe'!I304/'H) Péréquation directe'!C304</f>
        <v>6.3694084929996313</v>
      </c>
      <c r="F293" s="242">
        <f>'I) Dépenses thématiques'!P293</f>
        <v>-3.5446782504129661</v>
      </c>
      <c r="G293" s="190">
        <f t="shared" si="23"/>
        <v>18.907202917932338</v>
      </c>
      <c r="H293" s="161">
        <f t="shared" si="20"/>
        <v>0</v>
      </c>
      <c r="I293" s="206">
        <f t="shared" si="22"/>
        <v>0</v>
      </c>
      <c r="J293" s="63">
        <f t="shared" si="21"/>
        <v>18.907202917932338</v>
      </c>
    </row>
    <row r="294" spans="1:10" x14ac:dyDescent="0.25">
      <c r="A294" s="82">
        <f>'A) Base RI'!A296</f>
        <v>5904</v>
      </c>
      <c r="B294" s="147" t="str">
        <f>'A) Base RI'!B296</f>
        <v>Chamblon</v>
      </c>
      <c r="C294" s="158">
        <f>'B) D RI'!U296</f>
        <v>21622.015909090911</v>
      </c>
      <c r="D294" s="247">
        <f>'E) Fact soc'!G300/C294</f>
        <v>16.125477444514559</v>
      </c>
      <c r="E294" s="247">
        <f>'H) Péréquation directe'!I305/'H) Péréquation directe'!C305</f>
        <v>12.41931400970223</v>
      </c>
      <c r="F294" s="242">
        <f>'I) Dépenses thématiques'!P294</f>
        <v>0</v>
      </c>
      <c r="G294" s="190">
        <f t="shared" si="23"/>
        <v>28.544791454216789</v>
      </c>
      <c r="H294" s="161">
        <f t="shared" si="20"/>
        <v>0</v>
      </c>
      <c r="I294" s="206">
        <f t="shared" si="22"/>
        <v>0</v>
      </c>
      <c r="J294" s="63">
        <f t="shared" si="21"/>
        <v>28.544791454216789</v>
      </c>
    </row>
    <row r="295" spans="1:10" x14ac:dyDescent="0.25">
      <c r="A295" s="82">
        <f>'A) Base RI'!A297</f>
        <v>5905</v>
      </c>
      <c r="B295" s="147" t="str">
        <f>'A) Base RI'!B297</f>
        <v>Champvent</v>
      </c>
      <c r="C295" s="158">
        <f>'B) D RI'!U297</f>
        <v>20315.716338028171</v>
      </c>
      <c r="D295" s="247">
        <f>'E) Fact soc'!G301/C295</f>
        <v>17.761254520618525</v>
      </c>
      <c r="E295" s="247">
        <f>'H) Péréquation directe'!I306/'H) Péréquation directe'!C306</f>
        <v>9.6830548061554165</v>
      </c>
      <c r="F295" s="242">
        <f>'I) Dépenses thématiques'!P295</f>
        <v>0</v>
      </c>
      <c r="G295" s="190">
        <f t="shared" si="23"/>
        <v>27.44430932677394</v>
      </c>
      <c r="H295" s="161">
        <f t="shared" si="20"/>
        <v>0</v>
      </c>
      <c r="I295" s="206">
        <f t="shared" si="22"/>
        <v>0</v>
      </c>
      <c r="J295" s="63">
        <f t="shared" si="21"/>
        <v>27.44430932677394</v>
      </c>
    </row>
    <row r="296" spans="1:10" x14ac:dyDescent="0.25">
      <c r="A296" s="82">
        <f>'A) Base RI'!A298</f>
        <v>5907</v>
      </c>
      <c r="B296" s="147" t="str">
        <f>'A) Base RI'!B298</f>
        <v>Chavannes-le-Chêne</v>
      </c>
      <c r="C296" s="158">
        <f>'B) D RI'!U298</f>
        <v>6770.541794871795</v>
      </c>
      <c r="D296" s="247">
        <f>'E) Fact soc'!G302/C296</f>
        <v>16.375122612877021</v>
      </c>
      <c r="E296" s="247">
        <f>'H) Péréquation directe'!I307/'H) Péréquation directe'!C307</f>
        <v>-4.240901923098777</v>
      </c>
      <c r="F296" s="242">
        <f>'I) Dépenses thématiques'!P296</f>
        <v>-15.919996252240995</v>
      </c>
      <c r="G296" s="190">
        <f t="shared" si="23"/>
        <v>-3.7857755624627512</v>
      </c>
      <c r="H296" s="161">
        <f t="shared" si="20"/>
        <v>0</v>
      </c>
      <c r="I296" s="206">
        <f t="shared" si="22"/>
        <v>0</v>
      </c>
      <c r="J296" s="63">
        <f t="shared" si="21"/>
        <v>-3.7857755624627512</v>
      </c>
    </row>
    <row r="297" spans="1:10" x14ac:dyDescent="0.25">
      <c r="A297" s="82">
        <f>'A) Base RI'!A299</f>
        <v>5908</v>
      </c>
      <c r="B297" s="147" t="str">
        <f>'A) Base RI'!B299</f>
        <v>Chêne-Pâquier</v>
      </c>
      <c r="C297" s="158">
        <f>'B) D RI'!U299</f>
        <v>3326.5444303797472</v>
      </c>
      <c r="D297" s="247">
        <f>'E) Fact soc'!G303/C297</f>
        <v>20.126825886683569</v>
      </c>
      <c r="E297" s="247">
        <f>'H) Péréquation directe'!I308/'H) Péréquation directe'!C308</f>
        <v>-3.7872927387692092</v>
      </c>
      <c r="F297" s="242">
        <f>'I) Dépenses thématiques'!P297</f>
        <v>-10.316411134205826</v>
      </c>
      <c r="G297" s="190">
        <f t="shared" si="23"/>
        <v>6.0231220137085337</v>
      </c>
      <c r="H297" s="161">
        <f t="shared" si="20"/>
        <v>0</v>
      </c>
      <c r="I297" s="206">
        <f t="shared" si="22"/>
        <v>0</v>
      </c>
      <c r="J297" s="63">
        <f t="shared" si="21"/>
        <v>6.0231220137085337</v>
      </c>
    </row>
    <row r="298" spans="1:10" x14ac:dyDescent="0.25">
      <c r="A298" s="82">
        <f>'A) Base RI'!A300</f>
        <v>5909</v>
      </c>
      <c r="B298" s="147" t="str">
        <f>'A) Base RI'!B300</f>
        <v>Cheseaux-Noréaz</v>
      </c>
      <c r="C298" s="158">
        <f>'B) D RI'!U300</f>
        <v>30671.321093750001</v>
      </c>
      <c r="D298" s="247">
        <f>'E) Fact soc'!G304/C298</f>
        <v>20.234559195629931</v>
      </c>
      <c r="E298" s="247">
        <f>'H) Péréquation directe'!I309/'H) Péréquation directe'!C309</f>
        <v>16.394272632177692</v>
      </c>
      <c r="F298" s="242">
        <f>'I) Dépenses thématiques'!P298</f>
        <v>-2.7008944201259264</v>
      </c>
      <c r="G298" s="190">
        <f t="shared" si="23"/>
        <v>33.927937407681696</v>
      </c>
      <c r="H298" s="161">
        <f t="shared" si="20"/>
        <v>0</v>
      </c>
      <c r="I298" s="206">
        <f t="shared" si="22"/>
        <v>0</v>
      </c>
      <c r="J298" s="63">
        <f t="shared" si="21"/>
        <v>33.927937407681696</v>
      </c>
    </row>
    <row r="299" spans="1:10" x14ac:dyDescent="0.25">
      <c r="A299" s="82">
        <f>'A) Base RI'!A301</f>
        <v>5910</v>
      </c>
      <c r="B299" s="147" t="str">
        <f>'A) Base RI'!B301</f>
        <v>Cronay</v>
      </c>
      <c r="C299" s="158">
        <f>'B) D RI'!U301</f>
        <v>9292.7018518518507</v>
      </c>
      <c r="D299" s="247">
        <f>'E) Fact soc'!G305/C299</f>
        <v>17.132134877634666</v>
      </c>
      <c r="E299" s="247">
        <f>'H) Péréquation directe'!I310/'H) Péréquation directe'!C310</f>
        <v>-2.4874274869802382</v>
      </c>
      <c r="F299" s="242">
        <f>'I) Dépenses thématiques'!P299</f>
        <v>-10.483710932852723</v>
      </c>
      <c r="G299" s="190">
        <f t="shared" si="23"/>
        <v>4.1609964578017049</v>
      </c>
      <c r="H299" s="161">
        <f t="shared" si="20"/>
        <v>0</v>
      </c>
      <c r="I299" s="206">
        <f t="shared" si="22"/>
        <v>0</v>
      </c>
      <c r="J299" s="63">
        <f t="shared" si="21"/>
        <v>4.1609964578017049</v>
      </c>
    </row>
    <row r="300" spans="1:10" x14ac:dyDescent="0.25">
      <c r="A300" s="82">
        <f>'A) Base RI'!A302</f>
        <v>5911</v>
      </c>
      <c r="B300" s="147" t="str">
        <f>'A) Base RI'!B302</f>
        <v>Cuarny</v>
      </c>
      <c r="C300" s="158">
        <f>'B) D RI'!U302</f>
        <v>6815.3613580246902</v>
      </c>
      <c r="D300" s="247">
        <f>'E) Fact soc'!G306/C300</f>
        <v>16.412404812437213</v>
      </c>
      <c r="E300" s="247">
        <f>'H) Péréquation directe'!I311/'H) Péréquation directe'!C311</f>
        <v>7.4021338380812463</v>
      </c>
      <c r="F300" s="242">
        <f>'I) Dépenses thématiques'!P300</f>
        <v>-12.742097658218608</v>
      </c>
      <c r="G300" s="190">
        <f t="shared" si="23"/>
        <v>11.07244099229985</v>
      </c>
      <c r="H300" s="161">
        <f t="shared" si="20"/>
        <v>0</v>
      </c>
      <c r="I300" s="206">
        <f t="shared" si="22"/>
        <v>0</v>
      </c>
      <c r="J300" s="63">
        <f t="shared" si="21"/>
        <v>11.07244099229985</v>
      </c>
    </row>
    <row r="301" spans="1:10" x14ac:dyDescent="0.25">
      <c r="A301" s="82">
        <f>'A) Base RI'!A303</f>
        <v>5912</v>
      </c>
      <c r="B301" s="147" t="str">
        <f>'A) Base RI'!B303</f>
        <v>Démoret</v>
      </c>
      <c r="C301" s="158">
        <f>'B) D RI'!U303</f>
        <v>3149.2327160493824</v>
      </c>
      <c r="D301" s="247">
        <f>'E) Fact soc'!G307/C301</f>
        <v>14.703972779680477</v>
      </c>
      <c r="E301" s="247">
        <f>'H) Péréquation directe'!I312/'H) Péréquation directe'!C312</f>
        <v>-5.1387396606432105</v>
      </c>
      <c r="F301" s="242">
        <f>'I) Dépenses thématiques'!P301</f>
        <v>-6.1837284684472431</v>
      </c>
      <c r="G301" s="190">
        <f t="shared" si="23"/>
        <v>3.3815046505900233</v>
      </c>
      <c r="H301" s="161">
        <f t="shared" si="20"/>
        <v>0</v>
      </c>
      <c r="I301" s="206">
        <f t="shared" si="22"/>
        <v>0</v>
      </c>
      <c r="J301" s="63">
        <f t="shared" si="21"/>
        <v>3.3815046505900233</v>
      </c>
    </row>
    <row r="302" spans="1:10" x14ac:dyDescent="0.25">
      <c r="A302" s="82">
        <f>'A) Base RI'!A304</f>
        <v>5913</v>
      </c>
      <c r="B302" s="147" t="str">
        <f>'A) Base RI'!B304</f>
        <v>Donneloye</v>
      </c>
      <c r="C302" s="158">
        <f>'B) D RI'!U304</f>
        <v>23147.804931506846</v>
      </c>
      <c r="D302" s="247">
        <f>'E) Fact soc'!G308/C302</f>
        <v>16.644874402893731</v>
      </c>
      <c r="E302" s="247">
        <f>'H) Péréquation directe'!I313/'H) Péréquation directe'!C313</f>
        <v>7.3719395401360197</v>
      </c>
      <c r="F302" s="242">
        <f>'I) Dépenses thématiques'!P302</f>
        <v>-1.2022738260646106</v>
      </c>
      <c r="G302" s="190">
        <f t="shared" si="23"/>
        <v>22.814540116965137</v>
      </c>
      <c r="H302" s="161">
        <f t="shared" si="20"/>
        <v>0</v>
      </c>
      <c r="I302" s="206">
        <f t="shared" si="22"/>
        <v>0</v>
      </c>
      <c r="J302" s="63">
        <f t="shared" si="21"/>
        <v>22.814540116965137</v>
      </c>
    </row>
    <row r="303" spans="1:10" x14ac:dyDescent="0.25">
      <c r="A303" s="82">
        <f>'A) Base RI'!A305</f>
        <v>5914</v>
      </c>
      <c r="B303" s="147" t="str">
        <f>'A) Base RI'!B305</f>
        <v>Ependes</v>
      </c>
      <c r="C303" s="158">
        <f>'B) D RI'!U305</f>
        <v>8718.0938666666661</v>
      </c>
      <c r="D303" s="247">
        <f>'E) Fact soc'!G309/C303</f>
        <v>15.336627077011308</v>
      </c>
      <c r="E303" s="247">
        <f>'H) Péréquation directe'!I314/'H) Péréquation directe'!C314</f>
        <v>-1.7329035902295356</v>
      </c>
      <c r="F303" s="242">
        <f>'I) Dépenses thématiques'!P303</f>
        <v>-2.7891417977238575</v>
      </c>
      <c r="G303" s="190">
        <f t="shared" si="23"/>
        <v>10.814581689057915</v>
      </c>
      <c r="H303" s="161">
        <f t="shared" si="20"/>
        <v>0</v>
      </c>
      <c r="I303" s="206">
        <f t="shared" si="22"/>
        <v>0</v>
      </c>
      <c r="J303" s="63">
        <f t="shared" si="21"/>
        <v>10.814581689057915</v>
      </c>
    </row>
    <row r="304" spans="1:10" x14ac:dyDescent="0.25">
      <c r="A304" s="82">
        <f>'A) Base RI'!A306</f>
        <v>5915</v>
      </c>
      <c r="B304" s="147" t="str">
        <f>'A) Base RI'!B306</f>
        <v>Essert-Pittet</v>
      </c>
      <c r="C304" s="158">
        <f>'B) D RI'!U306</f>
        <v>3469.1017098039219</v>
      </c>
      <c r="D304" s="247">
        <f>'E) Fact soc'!G310/C304</f>
        <v>18.682108975160279</v>
      </c>
      <c r="E304" s="247">
        <f>'H) Péréquation directe'!I315/'H) Péréquation directe'!C315</f>
        <v>-6.132316358829101</v>
      </c>
      <c r="F304" s="242">
        <f>'I) Dépenses thématiques'!P304</f>
        <v>-4.9300947134717141</v>
      </c>
      <c r="G304" s="190">
        <f t="shared" si="23"/>
        <v>7.619697902859464</v>
      </c>
      <c r="H304" s="161">
        <f t="shared" si="20"/>
        <v>0</v>
      </c>
      <c r="I304" s="206">
        <f t="shared" si="22"/>
        <v>0</v>
      </c>
      <c r="J304" s="63">
        <f t="shared" si="21"/>
        <v>7.619697902859464</v>
      </c>
    </row>
    <row r="305" spans="1:10" x14ac:dyDescent="0.25">
      <c r="A305" s="82">
        <f>'A) Base RI'!A307</f>
        <v>5919</v>
      </c>
      <c r="B305" s="147" t="str">
        <f>'A) Base RI'!B307</f>
        <v>Mathod</v>
      </c>
      <c r="C305" s="158">
        <f>'B) D RI'!U307</f>
        <v>14691.435202702703</v>
      </c>
      <c r="D305" s="247">
        <f>'E) Fact soc'!G311/C305</f>
        <v>18.69061740009494</v>
      </c>
      <c r="E305" s="247">
        <f>'H) Péréquation directe'!I316/'H) Péréquation directe'!C316</f>
        <v>0.68935662482229254</v>
      </c>
      <c r="F305" s="242">
        <f>'I) Dépenses thématiques'!P305</f>
        <v>-4.1301614963279691</v>
      </c>
      <c r="G305" s="190">
        <f t="shared" si="23"/>
        <v>15.249812528589263</v>
      </c>
      <c r="H305" s="161">
        <f t="shared" si="20"/>
        <v>0</v>
      </c>
      <c r="I305" s="206">
        <f t="shared" si="22"/>
        <v>0</v>
      </c>
      <c r="J305" s="63">
        <f t="shared" si="21"/>
        <v>15.249812528589263</v>
      </c>
    </row>
    <row r="306" spans="1:10" x14ac:dyDescent="0.25">
      <c r="A306" s="82">
        <f>'A) Base RI'!A308</f>
        <v>5921</v>
      </c>
      <c r="B306" s="147" t="str">
        <f>'A) Base RI'!B308</f>
        <v>Molondin</v>
      </c>
      <c r="C306" s="158">
        <f>'B) D RI'!U308</f>
        <v>4662.1348148148145</v>
      </c>
      <c r="D306" s="247">
        <f>'E) Fact soc'!G312/C306</f>
        <v>15.006827126554096</v>
      </c>
      <c r="E306" s="247">
        <f>'H) Péréquation directe'!I317/'H) Péréquation directe'!C317</f>
        <v>-16.208206636494943</v>
      </c>
      <c r="F306" s="242">
        <f>'I) Dépenses thématiques'!P306</f>
        <v>-11.458913592596748</v>
      </c>
      <c r="G306" s="190">
        <f t="shared" si="23"/>
        <v>-12.660293102537594</v>
      </c>
      <c r="H306" s="161">
        <f t="shared" si="20"/>
        <v>0</v>
      </c>
      <c r="I306" s="206">
        <f t="shared" si="22"/>
        <v>0</v>
      </c>
      <c r="J306" s="63">
        <f t="shared" si="21"/>
        <v>-12.660293102537594</v>
      </c>
    </row>
    <row r="307" spans="1:10" x14ac:dyDescent="0.25">
      <c r="A307" s="82">
        <f>'A) Base RI'!A309</f>
        <v>5922</v>
      </c>
      <c r="B307" s="147" t="str">
        <f>'A) Base RI'!B309</f>
        <v>Montagny-près-Yverdon</v>
      </c>
      <c r="C307" s="158">
        <f>'B) D RI'!U309</f>
        <v>45740.98344262295</v>
      </c>
      <c r="D307" s="247">
        <f>'E) Fact soc'!G313/C307</f>
        <v>19.408502882567117</v>
      </c>
      <c r="E307" s="247">
        <f>'H) Péréquation directe'!I318/'H) Péréquation directe'!C318</f>
        <v>16.896277527673625</v>
      </c>
      <c r="F307" s="242">
        <f>'I) Dépenses thématiques'!P307</f>
        <v>-1.3650431457567365</v>
      </c>
      <c r="G307" s="190">
        <f t="shared" si="23"/>
        <v>34.939737264484002</v>
      </c>
      <c r="H307" s="161">
        <f t="shared" si="20"/>
        <v>0</v>
      </c>
      <c r="I307" s="206">
        <f t="shared" si="22"/>
        <v>0</v>
      </c>
      <c r="J307" s="63">
        <f t="shared" si="21"/>
        <v>34.939737264484002</v>
      </c>
    </row>
    <row r="308" spans="1:10" x14ac:dyDescent="0.25">
      <c r="A308" s="82">
        <f>'A) Base RI'!A310</f>
        <v>5923</v>
      </c>
      <c r="B308" s="147" t="str">
        <f>'A) Base RI'!B310</f>
        <v>Oppens</v>
      </c>
      <c r="C308" s="158">
        <f>'B) D RI'!U310</f>
        <v>4470.86061728395</v>
      </c>
      <c r="D308" s="247">
        <f>'E) Fact soc'!G314/C308</f>
        <v>16.727985827764957</v>
      </c>
      <c r="E308" s="247">
        <f>'H) Péréquation directe'!I319/'H) Péréquation directe'!C319</f>
        <v>-4.3376608018044065</v>
      </c>
      <c r="F308" s="242">
        <f>'I) Dépenses thématiques'!P308</f>
        <v>-5.11668825271882</v>
      </c>
      <c r="G308" s="190">
        <f t="shared" si="23"/>
        <v>7.27363677324173</v>
      </c>
      <c r="H308" s="161">
        <f t="shared" si="20"/>
        <v>0</v>
      </c>
      <c r="I308" s="206">
        <f t="shared" si="22"/>
        <v>0</v>
      </c>
      <c r="J308" s="63">
        <f t="shared" si="21"/>
        <v>7.27363677324173</v>
      </c>
    </row>
    <row r="309" spans="1:10" x14ac:dyDescent="0.25">
      <c r="A309" s="82">
        <f>'A) Base RI'!A311</f>
        <v>5924</v>
      </c>
      <c r="B309" s="147" t="str">
        <f>'A) Base RI'!B311</f>
        <v>Orges</v>
      </c>
      <c r="C309" s="158">
        <f>'B) D RI'!U311</f>
        <v>7786.4310810810803</v>
      </c>
      <c r="D309" s="247">
        <f>'E) Fact soc'!G315/C309</f>
        <v>17.209328599622221</v>
      </c>
      <c r="E309" s="247">
        <f>'H) Péréquation directe'!I320/'H) Péréquation directe'!C320</f>
        <v>3.2043848503526977</v>
      </c>
      <c r="F309" s="242">
        <f>'I) Dépenses thématiques'!P309</f>
        <v>0</v>
      </c>
      <c r="G309" s="190">
        <f t="shared" si="23"/>
        <v>20.413713449974921</v>
      </c>
      <c r="H309" s="161">
        <f t="shared" si="20"/>
        <v>0</v>
      </c>
      <c r="I309" s="206">
        <f t="shared" si="22"/>
        <v>0</v>
      </c>
      <c r="J309" s="63">
        <f t="shared" si="21"/>
        <v>20.413713449974921</v>
      </c>
    </row>
    <row r="310" spans="1:10" x14ac:dyDescent="0.25">
      <c r="A310" s="82">
        <f>'A) Base RI'!A312</f>
        <v>5925</v>
      </c>
      <c r="B310" s="147" t="str">
        <f>'A) Base RI'!B312</f>
        <v>Orzens</v>
      </c>
      <c r="C310" s="158">
        <f>'B) D RI'!U312</f>
        <v>5069.9973417721512</v>
      </c>
      <c r="D310" s="247">
        <f>'E) Fact soc'!G316/C310</f>
        <v>14.785675220623862</v>
      </c>
      <c r="E310" s="247">
        <f>'H) Péréquation directe'!I321/'H) Péréquation directe'!C321</f>
        <v>-2.8069830476583313</v>
      </c>
      <c r="F310" s="242">
        <f>'I) Dépenses thématiques'!P310</f>
        <v>-1.3116377685664782</v>
      </c>
      <c r="G310" s="190">
        <f t="shared" si="23"/>
        <v>10.667054404399053</v>
      </c>
      <c r="H310" s="161">
        <f t="shared" si="20"/>
        <v>0</v>
      </c>
      <c r="I310" s="206">
        <f t="shared" si="22"/>
        <v>0</v>
      </c>
      <c r="J310" s="63">
        <f t="shared" si="21"/>
        <v>10.667054404399053</v>
      </c>
    </row>
    <row r="311" spans="1:10" x14ac:dyDescent="0.25">
      <c r="A311" s="82">
        <f>'A) Base RI'!A313</f>
        <v>5926</v>
      </c>
      <c r="B311" s="147" t="str">
        <f>'A) Base RI'!B313</f>
        <v>Pomy</v>
      </c>
      <c r="C311" s="158">
        <f>'B) D RI'!U313</f>
        <v>22116.912816901407</v>
      </c>
      <c r="D311" s="247">
        <f>'E) Fact soc'!G317/C311</f>
        <v>16.910729715755913</v>
      </c>
      <c r="E311" s="247">
        <f>'H) Péréquation directe'!I322/'H) Péréquation directe'!C322</f>
        <v>6.0608302751466425</v>
      </c>
      <c r="F311" s="242">
        <f>'I) Dépenses thématiques'!P311</f>
        <v>-0.93887425301652871</v>
      </c>
      <c r="G311" s="190">
        <f t="shared" si="23"/>
        <v>22.032685737886027</v>
      </c>
      <c r="H311" s="161">
        <f t="shared" si="20"/>
        <v>0</v>
      </c>
      <c r="I311" s="206">
        <f t="shared" si="22"/>
        <v>0</v>
      </c>
      <c r="J311" s="63">
        <f t="shared" si="21"/>
        <v>22.032685737886027</v>
      </c>
    </row>
    <row r="312" spans="1:10" x14ac:dyDescent="0.25">
      <c r="A312" s="82">
        <f>'A) Base RI'!A314</f>
        <v>5928</v>
      </c>
      <c r="B312" s="147" t="str">
        <f>'A) Base RI'!B314</f>
        <v>Rovray</v>
      </c>
      <c r="C312" s="158">
        <f>'B) D RI'!U314</f>
        <v>4108.2366666666667</v>
      </c>
      <c r="D312" s="247">
        <f>'E) Fact soc'!G318/C312</f>
        <v>16.978909381914473</v>
      </c>
      <c r="E312" s="247">
        <f>'H) Péréquation directe'!I323/'H) Péréquation directe'!C323</f>
        <v>-2.4951991189856662</v>
      </c>
      <c r="F312" s="242">
        <f>'I) Dépenses thématiques'!P312</f>
        <v>-3.225958257841361</v>
      </c>
      <c r="G312" s="190">
        <f t="shared" si="23"/>
        <v>11.257752005087445</v>
      </c>
      <c r="H312" s="161">
        <f t="shared" si="20"/>
        <v>0</v>
      </c>
      <c r="I312" s="206">
        <f t="shared" si="22"/>
        <v>0</v>
      </c>
      <c r="J312" s="63">
        <f t="shared" si="21"/>
        <v>11.257752005087445</v>
      </c>
    </row>
    <row r="313" spans="1:10" x14ac:dyDescent="0.25">
      <c r="A313" s="82">
        <f>'A) Base RI'!A315</f>
        <v>5929</v>
      </c>
      <c r="B313" s="147" t="str">
        <f>'A) Base RI'!B315</f>
        <v>Suchy</v>
      </c>
      <c r="C313" s="158">
        <f>'B) D RI'!U315</f>
        <v>16171.057696078431</v>
      </c>
      <c r="D313" s="247">
        <f>'E) Fact soc'!G319/C313</f>
        <v>15.486345530071073</v>
      </c>
      <c r="E313" s="247">
        <f>'H) Péréquation directe'!I324/'H) Péréquation directe'!C324</f>
        <v>7.5149373197051652</v>
      </c>
      <c r="F313" s="242">
        <f>'I) Dépenses thématiques'!P313</f>
        <v>-1.2461151508281816</v>
      </c>
      <c r="G313" s="190">
        <f t="shared" si="23"/>
        <v>21.755167698948057</v>
      </c>
      <c r="H313" s="161">
        <f t="shared" si="20"/>
        <v>0</v>
      </c>
      <c r="I313" s="206">
        <f t="shared" si="22"/>
        <v>0</v>
      </c>
      <c r="J313" s="63">
        <f t="shared" si="21"/>
        <v>21.755167698948057</v>
      </c>
    </row>
    <row r="314" spans="1:10" x14ac:dyDescent="0.25">
      <c r="A314" s="82">
        <f>'A) Base RI'!A316</f>
        <v>5930</v>
      </c>
      <c r="B314" s="147" t="str">
        <f>'A) Base RI'!B316</f>
        <v>Suscévaz</v>
      </c>
      <c r="C314" s="158">
        <f>'B) D RI'!U316</f>
        <v>4973.4774242424237</v>
      </c>
      <c r="D314" s="247">
        <f>'E) Fact soc'!G320/C314</f>
        <v>29.378035617445168</v>
      </c>
      <c r="E314" s="247">
        <f>'H) Péréquation directe'!I325/'H) Péréquation directe'!C325</f>
        <v>1.4775926195018676</v>
      </c>
      <c r="F314" s="242">
        <f>'I) Dépenses thématiques'!P314</f>
        <v>-1.1414548646241698</v>
      </c>
      <c r="G314" s="190">
        <f t="shared" si="23"/>
        <v>29.714173372322865</v>
      </c>
      <c r="H314" s="161">
        <f t="shared" si="20"/>
        <v>0</v>
      </c>
      <c r="I314" s="206">
        <f t="shared" si="22"/>
        <v>0</v>
      </c>
      <c r="J314" s="63">
        <f t="shared" si="21"/>
        <v>29.714173372322865</v>
      </c>
    </row>
    <row r="315" spans="1:10" x14ac:dyDescent="0.25">
      <c r="A315" s="82">
        <f>'A) Base RI'!A317</f>
        <v>5931</v>
      </c>
      <c r="B315" s="147" t="str">
        <f>'A) Base RI'!B317</f>
        <v>Treycovagnes</v>
      </c>
      <c r="C315" s="158">
        <f>'B) D RI'!U317</f>
        <v>11474.723896103897</v>
      </c>
      <c r="D315" s="247">
        <f>'E) Fact soc'!G321/C315</f>
        <v>15.703278998748326</v>
      </c>
      <c r="E315" s="247">
        <f>'H) Péréquation directe'!I326/'H) Péréquation directe'!C326</f>
        <v>-4.4179244242825355</v>
      </c>
      <c r="F315" s="242">
        <f>'I) Dépenses thématiques'!P315</f>
        <v>-1.6276644361213388</v>
      </c>
      <c r="G315" s="190">
        <f t="shared" si="23"/>
        <v>9.6576901383444511</v>
      </c>
      <c r="H315" s="161">
        <f t="shared" si="20"/>
        <v>0</v>
      </c>
      <c r="I315" s="206">
        <f>H315*C315</f>
        <v>0</v>
      </c>
      <c r="J315" s="63">
        <f t="shared" si="21"/>
        <v>9.6576901383444511</v>
      </c>
    </row>
    <row r="316" spans="1:10" x14ac:dyDescent="0.25">
      <c r="A316" s="82">
        <f>'A) Base RI'!A318</f>
        <v>5932</v>
      </c>
      <c r="B316" s="147" t="str">
        <f>'A) Base RI'!B318</f>
        <v>Ursins</v>
      </c>
      <c r="C316" s="158">
        <f>'B) D RI'!U318</f>
        <v>5257.3797435897432</v>
      </c>
      <c r="D316" s="247">
        <f>'E) Fact soc'!G322/C316</f>
        <v>14.52221698333582</v>
      </c>
      <c r="E316" s="247">
        <f>'H) Péréquation directe'!I327/'H) Péréquation directe'!C327</f>
        <v>-3.188803950910212</v>
      </c>
      <c r="F316" s="242">
        <f>'I) Dépenses thématiques'!P316</f>
        <v>-4.3791776745957245</v>
      </c>
      <c r="G316" s="190">
        <f t="shared" si="23"/>
        <v>6.9542353578298828</v>
      </c>
      <c r="H316" s="161">
        <f t="shared" si="20"/>
        <v>0</v>
      </c>
      <c r="I316" s="206">
        <f t="shared" si="22"/>
        <v>0</v>
      </c>
      <c r="J316" s="63">
        <f t="shared" si="21"/>
        <v>6.9542353578298828</v>
      </c>
    </row>
    <row r="317" spans="1:10" x14ac:dyDescent="0.25">
      <c r="A317" s="82">
        <f>'A) Base RI'!A319</f>
        <v>5933</v>
      </c>
      <c r="B317" s="147" t="str">
        <f>'A) Base RI'!B319</f>
        <v>Valeyres-sous-Montagny</v>
      </c>
      <c r="C317" s="158">
        <f>'B) D RI'!U319</f>
        <v>19712.293888888889</v>
      </c>
      <c r="D317" s="247">
        <f>'E) Fact soc'!G323/C317</f>
        <v>15.341866451426275</v>
      </c>
      <c r="E317" s="247">
        <f>'H) Péréquation directe'!I328/'H) Péréquation directe'!C328</f>
        <v>6.4674556269641377</v>
      </c>
      <c r="F317" s="242">
        <f>'I) Dépenses thématiques'!P317</f>
        <v>-6.4075241933763332</v>
      </c>
      <c r="G317" s="190">
        <f t="shared" si="23"/>
        <v>15.40179788501408</v>
      </c>
      <c r="H317" s="161">
        <f t="shared" si="20"/>
        <v>0</v>
      </c>
      <c r="I317" s="206">
        <f t="shared" si="22"/>
        <v>0</v>
      </c>
      <c r="J317" s="63">
        <f t="shared" si="21"/>
        <v>15.40179788501408</v>
      </c>
    </row>
    <row r="318" spans="1:10" x14ac:dyDescent="0.25">
      <c r="A318" s="82">
        <f>'A) Base RI'!A320</f>
        <v>5934</v>
      </c>
      <c r="B318" s="147" t="str">
        <f>'A) Base RI'!B320</f>
        <v>Valeyres-sous-Ursins</v>
      </c>
      <c r="C318" s="158">
        <f>'B) D RI'!U320</f>
        <v>5945.0260256410256</v>
      </c>
      <c r="D318" s="247">
        <f>'E) Fact soc'!G324/C318</f>
        <v>15.249671507284788</v>
      </c>
      <c r="E318" s="247">
        <f>'H) Péréquation directe'!I329/'H) Péréquation directe'!C329</f>
        <v>-4.3206070531759195</v>
      </c>
      <c r="F318" s="242">
        <f>'I) Dépenses thématiques'!P318</f>
        <v>-4.3631432205888645</v>
      </c>
      <c r="G318" s="190">
        <f t="shared" si="23"/>
        <v>6.5659212335200037</v>
      </c>
      <c r="H318" s="161">
        <f t="shared" si="20"/>
        <v>0</v>
      </c>
      <c r="I318" s="206">
        <f t="shared" si="22"/>
        <v>0</v>
      </c>
      <c r="J318" s="63">
        <f t="shared" si="21"/>
        <v>6.5659212335200037</v>
      </c>
    </row>
    <row r="319" spans="1:10" x14ac:dyDescent="0.25">
      <c r="A319" s="82">
        <f>'A) Base RI'!A321</f>
        <v>5935</v>
      </c>
      <c r="B319" s="147" t="str">
        <f>'A) Base RI'!B321</f>
        <v>Villars-Epeney</v>
      </c>
      <c r="C319" s="158">
        <f>'B) D RI'!U321</f>
        <v>3981.1370000000011</v>
      </c>
      <c r="D319" s="247">
        <f>'E) Fact soc'!G325/C319</f>
        <v>18.630996293473149</v>
      </c>
      <c r="E319" s="247">
        <f>'H) Péréquation directe'!I330/'H) Péréquation directe'!C330</f>
        <v>16.320463224450698</v>
      </c>
      <c r="F319" s="242">
        <f>'I) Dépenses thématiques'!P319</f>
        <v>-1.8012442174182899</v>
      </c>
      <c r="G319" s="190">
        <f t="shared" si="23"/>
        <v>33.150215300505565</v>
      </c>
      <c r="H319" s="161">
        <f>IF(G319&gt;H$4,H$4-G319,0)</f>
        <v>0</v>
      </c>
      <c r="I319" s="206">
        <f t="shared" si="22"/>
        <v>0</v>
      </c>
      <c r="J319" s="63">
        <f t="shared" si="21"/>
        <v>33.150215300505565</v>
      </c>
    </row>
    <row r="320" spans="1:10" x14ac:dyDescent="0.25">
      <c r="A320" s="82">
        <f>'A) Base RI'!A322</f>
        <v>5937</v>
      </c>
      <c r="B320" s="147" t="str">
        <f>'A) Base RI'!B322</f>
        <v>Vugelles-La Mothe</v>
      </c>
      <c r="C320" s="158">
        <f>'B) D RI'!U322</f>
        <v>2078.5690612244898</v>
      </c>
      <c r="D320" s="247">
        <f>'E) Fact soc'!G326/C320</f>
        <v>20.615827908868454</v>
      </c>
      <c r="E320" s="247">
        <f>'H) Péréquation directe'!I331/'H) Péréquation directe'!C331</f>
        <v>-24.881403797112466</v>
      </c>
      <c r="F320" s="242">
        <f>'I) Dépenses thématiques'!P320</f>
        <v>-18.358302695759576</v>
      </c>
      <c r="G320" s="190">
        <f t="shared" si="23"/>
        <v>-22.623878584003588</v>
      </c>
      <c r="H320" s="161">
        <f>IF(G320&gt;H$4,H$4-G320,0)</f>
        <v>0</v>
      </c>
      <c r="I320" s="206">
        <f>H320*C320</f>
        <v>0</v>
      </c>
      <c r="J320" s="63">
        <f t="shared" si="21"/>
        <v>-22.623878584003588</v>
      </c>
    </row>
    <row r="321" spans="1:13" x14ac:dyDescent="0.25">
      <c r="A321" s="82">
        <f>'A) Base RI'!A323</f>
        <v>5938</v>
      </c>
      <c r="B321" s="147" t="str">
        <f>'A) Base RI'!B323</f>
        <v>Yverdon-les-Bains</v>
      </c>
      <c r="C321" s="158">
        <f>'B) D RI'!U323</f>
        <v>756903.16758169921</v>
      </c>
      <c r="D321" s="247">
        <f>'E) Fact soc'!G327/C321</f>
        <v>18.970468475116494</v>
      </c>
      <c r="E321" s="247">
        <f>'H) Péréquation directe'!I332/'H) Péréquation directe'!C332</f>
        <v>-29.505425176349195</v>
      </c>
      <c r="F321" s="242">
        <f>'I) Dépenses thématiques'!P321</f>
        <v>-8.6976594655212729</v>
      </c>
      <c r="G321" s="190">
        <f t="shared" si="23"/>
        <v>-19.232616166753974</v>
      </c>
      <c r="H321" s="161">
        <f t="shared" si="20"/>
        <v>0</v>
      </c>
      <c r="I321" s="206">
        <f t="shared" si="22"/>
        <v>0</v>
      </c>
      <c r="J321" s="63">
        <f t="shared" si="21"/>
        <v>-19.232616166753974</v>
      </c>
    </row>
    <row r="322" spans="1:13" x14ac:dyDescent="0.25">
      <c r="A322" s="84">
        <f>'A) Base RI'!A324</f>
        <v>5939</v>
      </c>
      <c r="B322" s="148" t="str">
        <f>'A) Base RI'!B324</f>
        <v>Yvonand</v>
      </c>
      <c r="C322" s="159">
        <f>'B) D RI'!U324</f>
        <v>81342.881095890421</v>
      </c>
      <c r="D322" s="248">
        <f>'E) Fact soc'!G328/C322</f>
        <v>19.92672800073159</v>
      </c>
      <c r="E322" s="248">
        <f>'H) Péréquation directe'!I333/'H) Péréquation directe'!C333</f>
        <v>-6.0358534852436811</v>
      </c>
      <c r="F322" s="243">
        <f>'I) Dépenses thématiques'!P322</f>
        <v>-1.5863465648319557</v>
      </c>
      <c r="G322" s="193">
        <f t="shared" si="23"/>
        <v>12.304527950655952</v>
      </c>
      <c r="H322" s="162">
        <f t="shared" si="20"/>
        <v>0</v>
      </c>
      <c r="I322" s="207">
        <f t="shared" si="22"/>
        <v>0</v>
      </c>
      <c r="J322" s="151">
        <f t="shared" si="21"/>
        <v>12.304527950655952</v>
      </c>
    </row>
    <row r="323" spans="1:13" x14ac:dyDescent="0.25">
      <c r="A323" s="60"/>
      <c r="B323" s="213">
        <f>COUNTA(B5:B322)</f>
        <v>318</v>
      </c>
      <c r="C323" s="159">
        <f>SUM(C5:C322)</f>
        <v>34755744.815253168</v>
      </c>
      <c r="D323" s="243">
        <f>'E) Fact soc'!G329/C323</f>
        <v>20.253820005925029</v>
      </c>
      <c r="E323" s="196">
        <f>'H) Péréquation directe'!I334/'H) Péréquation directe'!C334</f>
        <v>3.8183318768732049</v>
      </c>
      <c r="F323" s="196">
        <f>'I) Dépenses thématiques'!P323</f>
        <v>-3.9999998694528611</v>
      </c>
      <c r="G323" s="245">
        <f>SUM(D323:F323)</f>
        <v>20.072152013345374</v>
      </c>
      <c r="H323" s="249"/>
      <c r="I323" s="67">
        <f>SUM(I5:I322)</f>
        <v>-203846.23121607001</v>
      </c>
      <c r="J323" s="45">
        <f>G323+H323</f>
        <v>20.072152013345374</v>
      </c>
      <c r="L323" s="23"/>
      <c r="M323" s="23"/>
    </row>
  </sheetData>
  <sheetProtection sheet="1" objects="1" scenarios="1"/>
  <mergeCells count="9">
    <mergeCell ref="C3:C4"/>
    <mergeCell ref="B3:B4"/>
    <mergeCell ref="A3:A4"/>
    <mergeCell ref="J3:J4"/>
    <mergeCell ref="I3:I4"/>
    <mergeCell ref="G3:G4"/>
    <mergeCell ref="F3:F4"/>
    <mergeCell ref="E3:E4"/>
    <mergeCell ref="D3:D4"/>
  </mergeCells>
  <phoneticPr fontId="0" type="noConversion"/>
  <printOptions horizontalCentered="1"/>
  <pageMargins left="0" right="0" top="0" bottom="0" header="0.51181102362204722" footer="0.51181102362204722"/>
  <pageSetup paperSize="9" scale="64" orientation="portrait" horizontalDpi="4294967292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325"/>
  <sheetViews>
    <sheetView workbookViewId="0"/>
  </sheetViews>
  <sheetFormatPr baseColWidth="10" defaultColWidth="10.75" defaultRowHeight="15" x14ac:dyDescent="0.25"/>
  <cols>
    <col min="1" max="1" width="7.25" style="24" customWidth="1"/>
    <col min="2" max="2" width="18" style="24" customWidth="1"/>
    <col min="3" max="4" width="9.25" style="24" customWidth="1"/>
    <col min="5" max="5" width="11.625" style="24" customWidth="1"/>
    <col min="6" max="6" width="11" style="24" customWidth="1"/>
    <col min="7" max="7" width="10.375" style="24" customWidth="1"/>
    <col min="8" max="8" width="12.25" style="24" customWidth="1"/>
    <col min="9" max="9" width="10" style="24" customWidth="1"/>
    <col min="10" max="10" width="12.875" style="24" customWidth="1"/>
    <col min="11" max="14" width="12.125" style="24" customWidth="1"/>
    <col min="15" max="17" width="8.125" style="24" customWidth="1"/>
    <col min="18" max="16384" width="10.75" style="24"/>
  </cols>
  <sheetData>
    <row r="1" spans="1:25" s="75" customFormat="1" ht="20.25" customHeight="1" x14ac:dyDescent="0.25">
      <c r="A1" s="86" t="s">
        <v>5</v>
      </c>
      <c r="B1" s="74"/>
      <c r="C1" s="123"/>
      <c r="D1" s="123"/>
      <c r="E1" s="123"/>
      <c r="F1" s="123"/>
      <c r="G1" s="123"/>
      <c r="H1" s="123"/>
      <c r="I1" s="123"/>
      <c r="J1" s="123"/>
      <c r="L1" s="101"/>
      <c r="N1" s="24"/>
      <c r="O1" s="24"/>
      <c r="P1" s="24"/>
      <c r="Q1" s="24"/>
      <c r="R1" s="24"/>
      <c r="Y1" s="24"/>
    </row>
    <row r="3" spans="1:25" ht="45" customHeight="1" x14ac:dyDescent="0.25">
      <c r="A3" s="435" t="s">
        <v>53</v>
      </c>
      <c r="B3" s="435" t="s">
        <v>123</v>
      </c>
      <c r="C3" s="435" t="s">
        <v>419</v>
      </c>
      <c r="D3" s="435" t="s">
        <v>120</v>
      </c>
      <c r="E3" s="435" t="s">
        <v>375</v>
      </c>
      <c r="F3" s="435" t="s">
        <v>417</v>
      </c>
      <c r="G3" s="435" t="s">
        <v>418</v>
      </c>
      <c r="H3" s="435" t="s">
        <v>463</v>
      </c>
      <c r="I3" s="203" t="s">
        <v>182</v>
      </c>
      <c r="J3" s="435" t="s">
        <v>529</v>
      </c>
    </row>
    <row r="4" spans="1:25" x14ac:dyDescent="0.25">
      <c r="A4" s="437"/>
      <c r="B4" s="437"/>
      <c r="C4" s="437"/>
      <c r="D4" s="437"/>
      <c r="E4" s="436"/>
      <c r="F4" s="436"/>
      <c r="G4" s="436"/>
      <c r="H4" s="436"/>
      <c r="I4" s="253">
        <f>Paramètres!B43</f>
        <v>-5.5</v>
      </c>
      <c r="J4" s="436"/>
    </row>
    <row r="5" spans="1:25" x14ac:dyDescent="0.25">
      <c r="A5" s="78">
        <f>'A) Base RI'!A7</f>
        <v>5401</v>
      </c>
      <c r="B5" s="146" t="str">
        <f>'A) Base RI'!B7</f>
        <v>Aigle</v>
      </c>
      <c r="C5" s="157">
        <f>'B) D RI'!U7</f>
        <v>256314.41797530872</v>
      </c>
      <c r="D5" s="244">
        <f>'E) Fact soc'!G11/C5</f>
        <v>17.324507839328465</v>
      </c>
      <c r="E5" s="244">
        <f>'H) Péréquation directe'!I16/'H) Péréquation directe'!C16</f>
        <v>-12.562244026864107</v>
      </c>
      <c r="F5" s="241">
        <f>'I) Dépenses thématiques'!P5</f>
        <v>-8.2589657527729265</v>
      </c>
      <c r="G5" s="186">
        <f>SUM(D5:F5)</f>
        <v>-3.4967019403085686</v>
      </c>
      <c r="H5" s="241">
        <f>G5-F5</f>
        <v>4.7622638124643579</v>
      </c>
      <c r="I5" s="244">
        <f>IF(H5&lt;I$4,H5-I$4,0)</f>
        <v>0</v>
      </c>
      <c r="J5" s="171">
        <f t="shared" ref="J5:J60" si="0">-I5*C5</f>
        <v>0</v>
      </c>
    </row>
    <row r="6" spans="1:25" x14ac:dyDescent="0.25">
      <c r="A6" s="82">
        <f>'A) Base RI'!A8</f>
        <v>5402</v>
      </c>
      <c r="B6" s="147" t="str">
        <f>'A) Base RI'!B8</f>
        <v>Bex</v>
      </c>
      <c r="C6" s="158">
        <f>'B) D RI'!U8</f>
        <v>163724.47859154927</v>
      </c>
      <c r="D6" s="247">
        <f>'E) Fact soc'!G12/C6</f>
        <v>18.48165837601767</v>
      </c>
      <c r="E6" s="247">
        <f>'H) Péréquation directe'!I17/'H) Péréquation directe'!C17</f>
        <v>-17.375810946619204</v>
      </c>
      <c r="F6" s="242">
        <f>'I) Dépenses thématiques'!P6</f>
        <v>-12.045480412980794</v>
      </c>
      <c r="G6" s="190">
        <f t="shared" ref="G6:G61" si="1">SUM(D6:F6)</f>
        <v>-10.939632983582328</v>
      </c>
      <c r="H6" s="242">
        <f t="shared" ref="H6:H61" si="2">G6-F6</f>
        <v>1.1058474293984659</v>
      </c>
      <c r="I6" s="247">
        <f t="shared" ref="I6:I61" si="3">IF(H6&lt;I$4,H6-I$4,0)</f>
        <v>0</v>
      </c>
      <c r="J6" s="98">
        <f t="shared" si="0"/>
        <v>0</v>
      </c>
    </row>
    <row r="7" spans="1:25" x14ac:dyDescent="0.25">
      <c r="A7" s="82">
        <f>'A) Base RI'!A9</f>
        <v>5403</v>
      </c>
      <c r="B7" s="147" t="str">
        <f>'A) Base RI'!B9</f>
        <v>Chessel</v>
      </c>
      <c r="C7" s="158">
        <f>'B) D RI'!U9</f>
        <v>7826.6322368421061</v>
      </c>
      <c r="D7" s="247">
        <f>'E) Fact soc'!G13/C7</f>
        <v>17.752706799121739</v>
      </c>
      <c r="E7" s="247">
        <f>'H) Péréquation directe'!I18/'H) Péréquation directe'!C18</f>
        <v>-9.6964202023422423</v>
      </c>
      <c r="F7" s="242">
        <f>'I) Dépenses thématiques'!P7</f>
        <v>-4.5994239809234339</v>
      </c>
      <c r="G7" s="190">
        <f t="shared" si="1"/>
        <v>3.4568626158560631</v>
      </c>
      <c r="H7" s="242">
        <f t="shared" si="2"/>
        <v>8.056286596779497</v>
      </c>
      <c r="I7" s="247">
        <f t="shared" si="3"/>
        <v>0</v>
      </c>
      <c r="J7" s="98">
        <f t="shared" si="0"/>
        <v>0</v>
      </c>
    </row>
    <row r="8" spans="1:25" x14ac:dyDescent="0.25">
      <c r="A8" s="82">
        <f>'A) Base RI'!A10</f>
        <v>5404</v>
      </c>
      <c r="B8" s="147" t="str">
        <f>'A) Base RI'!B10</f>
        <v>Corbeyrier</v>
      </c>
      <c r="C8" s="158">
        <f>'B) D RI'!U10</f>
        <v>8762.5650952380947</v>
      </c>
      <c r="D8" s="247">
        <f>'E) Fact soc'!G14/C8</f>
        <v>25.40637577902254</v>
      </c>
      <c r="E8" s="247">
        <f>'H) Péréquation directe'!I19/'H) Péréquation directe'!C19</f>
        <v>-7.8248908723490338</v>
      </c>
      <c r="F8" s="242">
        <f>'I) Dépenses thématiques'!P8</f>
        <v>-24.913366990977917</v>
      </c>
      <c r="G8" s="190">
        <f t="shared" si="1"/>
        <v>-7.3318820843044108</v>
      </c>
      <c r="H8" s="242">
        <f t="shared" si="2"/>
        <v>17.581484906673506</v>
      </c>
      <c r="I8" s="247">
        <f t="shared" si="3"/>
        <v>0</v>
      </c>
      <c r="J8" s="98">
        <f t="shared" si="0"/>
        <v>0</v>
      </c>
    </row>
    <row r="9" spans="1:25" x14ac:dyDescent="0.25">
      <c r="A9" s="82">
        <f>'A) Base RI'!A11</f>
        <v>5405</v>
      </c>
      <c r="B9" s="147" t="str">
        <f>'A) Base RI'!B11</f>
        <v>Gryon</v>
      </c>
      <c r="C9" s="158">
        <f>'B) D RI'!U11</f>
        <v>67187.701777777766</v>
      </c>
      <c r="D9" s="247">
        <f>'E) Fact soc'!G15/C9</f>
        <v>20.791857740971221</v>
      </c>
      <c r="E9" s="247">
        <f>'H) Péréquation directe'!I20/'H) Péréquation directe'!C20</f>
        <v>15.775625180716773</v>
      </c>
      <c r="F9" s="242">
        <f>'I) Dépenses thématiques'!P9</f>
        <v>-9.186800317140051</v>
      </c>
      <c r="G9" s="190">
        <f t="shared" si="1"/>
        <v>27.380682604547946</v>
      </c>
      <c r="H9" s="242">
        <f t="shared" si="2"/>
        <v>36.567482921687997</v>
      </c>
      <c r="I9" s="247">
        <f t="shared" si="3"/>
        <v>0</v>
      </c>
      <c r="J9" s="98">
        <f t="shared" si="0"/>
        <v>0</v>
      </c>
    </row>
    <row r="10" spans="1:25" x14ac:dyDescent="0.25">
      <c r="A10" s="82">
        <f>'A) Base RI'!A12</f>
        <v>5406</v>
      </c>
      <c r="B10" s="147" t="str">
        <f>'A) Base RI'!B12</f>
        <v>Lavey-Morcles</v>
      </c>
      <c r="C10" s="158">
        <f>'B) D RI'!U12</f>
        <v>19209.951419284946</v>
      </c>
      <c r="D10" s="247">
        <f>'E) Fact soc'!G16/C10</f>
        <v>18.106313498551089</v>
      </c>
      <c r="E10" s="247">
        <f>'H) Péréquation directe'!I21/'H) Péréquation directe'!C21</f>
        <v>-6.5111420113064762</v>
      </c>
      <c r="F10" s="242">
        <f>'I) Dépenses thématiques'!P10</f>
        <v>-4.1914213233859963</v>
      </c>
      <c r="G10" s="190">
        <f t="shared" si="1"/>
        <v>7.403750163858617</v>
      </c>
      <c r="H10" s="242">
        <f t="shared" si="2"/>
        <v>11.595171487244613</v>
      </c>
      <c r="I10" s="247">
        <f t="shared" si="3"/>
        <v>0</v>
      </c>
      <c r="J10" s="98">
        <f t="shared" si="0"/>
        <v>0</v>
      </c>
    </row>
    <row r="11" spans="1:25" x14ac:dyDescent="0.25">
      <c r="A11" s="82">
        <f>'A) Base RI'!A13</f>
        <v>5407</v>
      </c>
      <c r="B11" s="147" t="str">
        <f>'A) Base RI'!B13</f>
        <v>Leysin</v>
      </c>
      <c r="C11" s="158">
        <f>'B) D RI'!U13</f>
        <v>99721.08303418805</v>
      </c>
      <c r="D11" s="247">
        <f>'E) Fact soc'!G17/C11</f>
        <v>19.91609904308276</v>
      </c>
      <c r="E11" s="247">
        <f>'H) Péréquation directe'!I22/'H) Péréquation directe'!C22</f>
        <v>-13.633603923730131</v>
      </c>
      <c r="F11" s="242">
        <f>'I) Dépenses thématiques'!P11</f>
        <v>-20.487713709442616</v>
      </c>
      <c r="G11" s="190">
        <f t="shared" si="1"/>
        <v>-14.205218590089988</v>
      </c>
      <c r="H11" s="242">
        <f t="shared" si="2"/>
        <v>6.2824951193526282</v>
      </c>
      <c r="I11" s="247">
        <f t="shared" si="3"/>
        <v>0</v>
      </c>
      <c r="J11" s="98">
        <f t="shared" si="0"/>
        <v>0</v>
      </c>
      <c r="L11" s="58"/>
    </row>
    <row r="12" spans="1:25" x14ac:dyDescent="0.25">
      <c r="A12" s="82">
        <f>'A) Base RI'!A14</f>
        <v>5408</v>
      </c>
      <c r="B12" s="147" t="str">
        <f>'A) Base RI'!B14</f>
        <v>Noville</v>
      </c>
      <c r="C12" s="158">
        <f>'B) D RI'!U14</f>
        <v>27782.072271762208</v>
      </c>
      <c r="D12" s="247">
        <f>'E) Fact soc'!G18/C12</f>
        <v>18.44035634040484</v>
      </c>
      <c r="E12" s="247">
        <f>'H) Péréquation directe'!I23/'H) Péréquation directe'!C23</f>
        <v>2.0021504603921061</v>
      </c>
      <c r="F12" s="242">
        <f>'I) Dépenses thématiques'!P12</f>
        <v>-6.9232056600578362</v>
      </c>
      <c r="G12" s="190">
        <f t="shared" si="1"/>
        <v>13.51930114073911</v>
      </c>
      <c r="H12" s="242">
        <f t="shared" si="2"/>
        <v>20.442506800796945</v>
      </c>
      <c r="I12" s="247">
        <f t="shared" si="3"/>
        <v>0</v>
      </c>
      <c r="J12" s="98">
        <f t="shared" si="0"/>
        <v>0</v>
      </c>
    </row>
    <row r="13" spans="1:25" x14ac:dyDescent="0.25">
      <c r="A13" s="82">
        <f>'A) Base RI'!A15</f>
        <v>5409</v>
      </c>
      <c r="B13" s="147" t="str">
        <f>'A) Base RI'!B15</f>
        <v>Ollon</v>
      </c>
      <c r="C13" s="158">
        <f>'B) D RI'!U15</f>
        <v>373016.06252262433</v>
      </c>
      <c r="D13" s="247">
        <f>'E) Fact soc'!G19/C13</f>
        <v>18.760656016283484</v>
      </c>
      <c r="E13" s="247">
        <f>'H) Péréquation directe'!I24/'H) Péréquation directe'!C24</f>
        <v>10.2688500170624</v>
      </c>
      <c r="F13" s="242">
        <f>'I) Dépenses thématiques'!P13</f>
        <v>-4.7468384820361615</v>
      </c>
      <c r="G13" s="190">
        <f t="shared" si="1"/>
        <v>24.282667551309721</v>
      </c>
      <c r="H13" s="242">
        <f t="shared" si="2"/>
        <v>29.029506033345882</v>
      </c>
      <c r="I13" s="247">
        <f t="shared" si="3"/>
        <v>0</v>
      </c>
      <c r="J13" s="98">
        <f t="shared" si="0"/>
        <v>0</v>
      </c>
    </row>
    <row r="14" spans="1:25" x14ac:dyDescent="0.25">
      <c r="A14" s="82">
        <f>'A) Base RI'!A16</f>
        <v>5410</v>
      </c>
      <c r="B14" s="147" t="str">
        <f>'A) Base RI'!B16</f>
        <v>Ormont-Dessous</v>
      </c>
      <c r="C14" s="158">
        <f>'B) D RI'!U16</f>
        <v>31634.392526539275</v>
      </c>
      <c r="D14" s="247">
        <f>'E) Fact soc'!G20/C14</f>
        <v>18.781308767054657</v>
      </c>
      <c r="E14" s="247">
        <f>'H) Péréquation directe'!I25/'H) Péréquation directe'!C25</f>
        <v>2.6825755689995598</v>
      </c>
      <c r="F14" s="242">
        <f>'I) Dépenses thématiques'!P14</f>
        <v>-25.383670615022424</v>
      </c>
      <c r="G14" s="190">
        <f t="shared" si="1"/>
        <v>-3.919786278968207</v>
      </c>
      <c r="H14" s="242">
        <f t="shared" si="2"/>
        <v>21.463884336054218</v>
      </c>
      <c r="I14" s="247">
        <f t="shared" si="3"/>
        <v>0</v>
      </c>
      <c r="J14" s="98">
        <f t="shared" si="0"/>
        <v>0</v>
      </c>
    </row>
    <row r="15" spans="1:25" x14ac:dyDescent="0.25">
      <c r="A15" s="82">
        <f>'A) Base RI'!A17</f>
        <v>5411</v>
      </c>
      <c r="B15" s="147" t="str">
        <f>'A) Base RI'!B17</f>
        <v>Ormont-Dessus</v>
      </c>
      <c r="C15" s="158">
        <f>'B) D RI'!U17</f>
        <v>68022.060675675675</v>
      </c>
      <c r="D15" s="247">
        <f>'E) Fact soc'!G21/C15</f>
        <v>19.719625275447989</v>
      </c>
      <c r="E15" s="247">
        <f>'H) Péréquation directe'!I26/'H) Péréquation directe'!C26</f>
        <v>14.734337508219635</v>
      </c>
      <c r="F15" s="242">
        <f>'I) Dépenses thématiques'!P15</f>
        <v>-13.87163209445988</v>
      </c>
      <c r="G15" s="190">
        <f t="shared" si="1"/>
        <v>20.58233068920774</v>
      </c>
      <c r="H15" s="242">
        <f t="shared" si="2"/>
        <v>34.45396278366762</v>
      </c>
      <c r="I15" s="247">
        <f t="shared" si="3"/>
        <v>0</v>
      </c>
      <c r="J15" s="98">
        <f t="shared" si="0"/>
        <v>0</v>
      </c>
    </row>
    <row r="16" spans="1:25" x14ac:dyDescent="0.25">
      <c r="A16" s="82">
        <f>'A) Base RI'!A18</f>
        <v>5412</v>
      </c>
      <c r="B16" s="147" t="str">
        <f>'A) Base RI'!B18</f>
        <v>Rennaz</v>
      </c>
      <c r="C16" s="158">
        <f>'B) D RI'!U18</f>
        <v>24549.662992125981</v>
      </c>
      <c r="D16" s="247">
        <f>'E) Fact soc'!G22/C16</f>
        <v>23.610465608560613</v>
      </c>
      <c r="E16" s="247">
        <f>'H) Péréquation directe'!I27/'H) Péréquation directe'!C27</f>
        <v>8.3493079863275543</v>
      </c>
      <c r="F16" s="242">
        <f>'I) Dépenses thématiques'!P16</f>
        <v>-1.8797406715848244</v>
      </c>
      <c r="G16" s="190">
        <f t="shared" si="1"/>
        <v>30.080032923303346</v>
      </c>
      <c r="H16" s="242">
        <f t="shared" si="2"/>
        <v>31.959773594888169</v>
      </c>
      <c r="I16" s="247">
        <f t="shared" si="3"/>
        <v>0</v>
      </c>
      <c r="J16" s="98">
        <f t="shared" si="0"/>
        <v>0</v>
      </c>
    </row>
    <row r="17" spans="1:10" x14ac:dyDescent="0.25">
      <c r="A17" s="82">
        <f>'A) Base RI'!A19</f>
        <v>5413</v>
      </c>
      <c r="B17" s="147" t="str">
        <f>'A) Base RI'!B19</f>
        <v>Roche</v>
      </c>
      <c r="C17" s="158">
        <f>'B) D RI'!U19</f>
        <v>35383.920882352941</v>
      </c>
      <c r="D17" s="247">
        <f>'E) Fact soc'!G23/C17</f>
        <v>20.760834692152184</v>
      </c>
      <c r="E17" s="247">
        <f>'H) Péréquation directe'!I28/'H) Péréquation directe'!C28</f>
        <v>-4.9844741739383487</v>
      </c>
      <c r="F17" s="242">
        <f>'I) Dépenses thématiques'!P17</f>
        <v>0</v>
      </c>
      <c r="G17" s="190">
        <f t="shared" si="1"/>
        <v>15.776360518213835</v>
      </c>
      <c r="H17" s="242">
        <f t="shared" si="2"/>
        <v>15.776360518213835</v>
      </c>
      <c r="I17" s="247">
        <f t="shared" si="3"/>
        <v>0</v>
      </c>
      <c r="J17" s="98">
        <f t="shared" si="0"/>
        <v>0</v>
      </c>
    </row>
    <row r="18" spans="1:10" x14ac:dyDescent="0.25">
      <c r="A18" s="82">
        <f>'A) Base RI'!A20</f>
        <v>5414</v>
      </c>
      <c r="B18" s="147" t="str">
        <f>'A) Base RI'!B20</f>
        <v>Villeneuve</v>
      </c>
      <c r="C18" s="158">
        <f>'B) D RI'!U20</f>
        <v>178367.91043478262</v>
      </c>
      <c r="D18" s="247">
        <f>'E) Fact soc'!G24/C18</f>
        <v>20.074792908331158</v>
      </c>
      <c r="E18" s="247">
        <f>'H) Péréquation directe'!I29/'H) Péréquation directe'!C29</f>
        <v>2.6132582609624104</v>
      </c>
      <c r="F18" s="242">
        <f>'I) Dépenses thématiques'!P18</f>
        <v>-7.2313511822610588</v>
      </c>
      <c r="G18" s="190">
        <f t="shared" si="1"/>
        <v>15.456699987032511</v>
      </c>
      <c r="H18" s="242">
        <f t="shared" si="2"/>
        <v>22.688051169293569</v>
      </c>
      <c r="I18" s="247">
        <f t="shared" si="3"/>
        <v>0</v>
      </c>
      <c r="J18" s="98">
        <f t="shared" si="0"/>
        <v>0</v>
      </c>
    </row>
    <row r="19" spans="1:10" x14ac:dyDescent="0.25">
      <c r="A19" s="82">
        <f>'A) Base RI'!A21</f>
        <v>5415</v>
      </c>
      <c r="B19" s="147" t="str">
        <f>'A) Base RI'!B21</f>
        <v>Yvorne</v>
      </c>
      <c r="C19" s="158">
        <f>'B) D RI'!U21</f>
        <v>40073.521995133822</v>
      </c>
      <c r="D19" s="247">
        <f>'E) Fact soc'!G25/C19</f>
        <v>18.817529346638032</v>
      </c>
      <c r="E19" s="247">
        <f>'H) Péréquation directe'!I30/'H) Péréquation directe'!C30</f>
        <v>13.16177494542438</v>
      </c>
      <c r="F19" s="242">
        <f>'I) Dépenses thématiques'!P19</f>
        <v>-9.2273646435394916</v>
      </c>
      <c r="G19" s="190">
        <f t="shared" si="1"/>
        <v>22.751939648522921</v>
      </c>
      <c r="H19" s="242">
        <f t="shared" si="2"/>
        <v>31.979304292062412</v>
      </c>
      <c r="I19" s="247">
        <f t="shared" si="3"/>
        <v>0</v>
      </c>
      <c r="J19" s="98">
        <f t="shared" si="0"/>
        <v>0</v>
      </c>
    </row>
    <row r="20" spans="1:10" x14ac:dyDescent="0.25">
      <c r="A20" s="82">
        <f>'A) Base RI'!A22</f>
        <v>5421</v>
      </c>
      <c r="B20" s="147" t="str">
        <f>'A) Base RI'!B22</f>
        <v>Apples</v>
      </c>
      <c r="C20" s="158">
        <f>'B) D RI'!U22</f>
        <v>49174.834507042251</v>
      </c>
      <c r="D20" s="247">
        <f>'E) Fact soc'!G26/C20</f>
        <v>17.739906210037674</v>
      </c>
      <c r="E20" s="247">
        <f>'H) Péréquation directe'!I31/'H) Péréquation directe'!C31</f>
        <v>10.16639641717712</v>
      </c>
      <c r="F20" s="242">
        <f>'I) Dépenses thématiques'!P20</f>
        <v>-2.7026832186078233</v>
      </c>
      <c r="G20" s="190">
        <f t="shared" si="1"/>
        <v>25.203619408606968</v>
      </c>
      <c r="H20" s="242">
        <f t="shared" si="2"/>
        <v>27.906302627214792</v>
      </c>
      <c r="I20" s="247">
        <f t="shared" si="3"/>
        <v>0</v>
      </c>
      <c r="J20" s="98">
        <f t="shared" si="0"/>
        <v>0</v>
      </c>
    </row>
    <row r="21" spans="1:10" x14ac:dyDescent="0.25">
      <c r="A21" s="82">
        <f>'A) Base RI'!A23</f>
        <v>5422</v>
      </c>
      <c r="B21" s="147" t="str">
        <f>'A) Base RI'!B23</f>
        <v>Aubonne</v>
      </c>
      <c r="C21" s="158">
        <f>'B) D RI'!U23</f>
        <v>256689.81279411758</v>
      </c>
      <c r="D21" s="247">
        <f>'E) Fact soc'!G27/C21</f>
        <v>24.543886924777979</v>
      </c>
      <c r="E21" s="247">
        <f>'H) Péréquation directe'!I32/'H) Péréquation directe'!C32</f>
        <v>14.808976098381118</v>
      </c>
      <c r="F21" s="242">
        <f>'I) Dépenses thématiques'!P21</f>
        <v>0</v>
      </c>
      <c r="G21" s="190">
        <f t="shared" si="1"/>
        <v>39.352863023159095</v>
      </c>
      <c r="H21" s="242">
        <f t="shared" si="2"/>
        <v>39.352863023159095</v>
      </c>
      <c r="I21" s="247">
        <f t="shared" si="3"/>
        <v>0</v>
      </c>
      <c r="J21" s="98">
        <f t="shared" si="0"/>
        <v>0</v>
      </c>
    </row>
    <row r="22" spans="1:10" x14ac:dyDescent="0.25">
      <c r="A22" s="82">
        <f>'A) Base RI'!A24</f>
        <v>5423</v>
      </c>
      <c r="B22" s="147" t="str">
        <f>'A) Base RI'!B24</f>
        <v>Ballens</v>
      </c>
      <c r="C22" s="158">
        <f>'B) D RI'!U24</f>
        <v>16056.117971014495</v>
      </c>
      <c r="D22" s="247">
        <f>'E) Fact soc'!G28/C22</f>
        <v>15.877748038701949</v>
      </c>
      <c r="E22" s="247">
        <f>'H) Péréquation directe'!I33/'H) Péréquation directe'!C33</f>
        <v>8.1109395882116857</v>
      </c>
      <c r="F22" s="242">
        <f>'I) Dépenses thématiques'!P22</f>
        <v>-3.302728598265861</v>
      </c>
      <c r="G22" s="190">
        <f t="shared" si="1"/>
        <v>20.685959028647773</v>
      </c>
      <c r="H22" s="242">
        <f t="shared" si="2"/>
        <v>23.988687626913634</v>
      </c>
      <c r="I22" s="247">
        <f t="shared" si="3"/>
        <v>0</v>
      </c>
      <c r="J22" s="98">
        <f t="shared" si="0"/>
        <v>0</v>
      </c>
    </row>
    <row r="23" spans="1:10" x14ac:dyDescent="0.25">
      <c r="A23" s="82">
        <f>'A) Base RI'!A25</f>
        <v>5424</v>
      </c>
      <c r="B23" s="147" t="str">
        <f>'A) Base RI'!B25</f>
        <v>Berolle</v>
      </c>
      <c r="C23" s="158">
        <f>'B) D RI'!U25</f>
        <v>9358.0229870129861</v>
      </c>
      <c r="D23" s="247">
        <f>'E) Fact soc'!G29/C23</f>
        <v>15.477477325511234</v>
      </c>
      <c r="E23" s="247">
        <f>'H) Péréquation directe'!I34/'H) Péréquation directe'!C34</f>
        <v>5.534780903798989</v>
      </c>
      <c r="F23" s="242">
        <f>'I) Dépenses thématiques'!P23</f>
        <v>-3.6182856194081512</v>
      </c>
      <c r="G23" s="190">
        <f t="shared" si="1"/>
        <v>17.393972609902072</v>
      </c>
      <c r="H23" s="242">
        <f t="shared" si="2"/>
        <v>21.012258229310223</v>
      </c>
      <c r="I23" s="247">
        <f t="shared" si="3"/>
        <v>0</v>
      </c>
      <c r="J23" s="98">
        <f t="shared" si="0"/>
        <v>0</v>
      </c>
    </row>
    <row r="24" spans="1:10" x14ac:dyDescent="0.25">
      <c r="A24" s="82">
        <f>'A) Base RI'!A26</f>
        <v>5425</v>
      </c>
      <c r="B24" s="147" t="str">
        <f>'A) Base RI'!B26</f>
        <v>Bière</v>
      </c>
      <c r="C24" s="158">
        <f>'B) D RI'!U26</f>
        <v>37126.422058823526</v>
      </c>
      <c r="D24" s="247">
        <f>'E) Fact soc'!G30/C24</f>
        <v>16.50244016767461</v>
      </c>
      <c r="E24" s="247">
        <f>'H) Péréquation directe'!I35/'H) Péréquation directe'!C35</f>
        <v>-3.8575326859650887</v>
      </c>
      <c r="F24" s="242">
        <f>'I) Dépenses thématiques'!P24</f>
        <v>-12.351553814516198</v>
      </c>
      <c r="G24" s="190">
        <f t="shared" si="1"/>
        <v>0.29335366719332434</v>
      </c>
      <c r="H24" s="242">
        <f t="shared" si="2"/>
        <v>12.644907481709522</v>
      </c>
      <c r="I24" s="247">
        <f t="shared" si="3"/>
        <v>0</v>
      </c>
      <c r="J24" s="98">
        <f t="shared" si="0"/>
        <v>0</v>
      </c>
    </row>
    <row r="25" spans="1:10" x14ac:dyDescent="0.25">
      <c r="A25" s="82">
        <f>'A) Base RI'!A27</f>
        <v>5426</v>
      </c>
      <c r="B25" s="147" t="str">
        <f>'A) Base RI'!B27</f>
        <v>Bougy-Villars</v>
      </c>
      <c r="C25" s="158">
        <f>'B) D RI'!U27</f>
        <v>52784.469677419351</v>
      </c>
      <c r="D25" s="247">
        <f>'E) Fact soc'!G31/C25</f>
        <v>31.418490769234673</v>
      </c>
      <c r="E25" s="247">
        <f>'H) Péréquation directe'!I36/'H) Péréquation directe'!C36</f>
        <v>17.423256387922134</v>
      </c>
      <c r="F25" s="242">
        <f>'I) Dépenses thématiques'!P25</f>
        <v>0</v>
      </c>
      <c r="G25" s="190">
        <f t="shared" si="1"/>
        <v>48.841747157156803</v>
      </c>
      <c r="H25" s="242">
        <f t="shared" si="2"/>
        <v>48.841747157156803</v>
      </c>
      <c r="I25" s="247">
        <f t="shared" si="3"/>
        <v>0</v>
      </c>
      <c r="J25" s="98">
        <f t="shared" si="0"/>
        <v>0</v>
      </c>
    </row>
    <row r="26" spans="1:10" x14ac:dyDescent="0.25">
      <c r="A26" s="82">
        <f>'A) Base RI'!A28</f>
        <v>5427</v>
      </c>
      <c r="B26" s="147" t="str">
        <f>'A) Base RI'!B28</f>
        <v>Féchy</v>
      </c>
      <c r="C26" s="158">
        <f>'B) D RI'!U28</f>
        <v>75059.583293269228</v>
      </c>
      <c r="D26" s="247">
        <f>'E) Fact soc'!G32/C26</f>
        <v>24.915116110721655</v>
      </c>
      <c r="E26" s="247">
        <f>'H) Péréquation directe'!I37/'H) Péréquation directe'!C37</f>
        <v>17.205891304340501</v>
      </c>
      <c r="F26" s="242">
        <f>'I) Dépenses thématiques'!P26</f>
        <v>0</v>
      </c>
      <c r="G26" s="190">
        <f t="shared" si="1"/>
        <v>42.121007415062152</v>
      </c>
      <c r="H26" s="242">
        <f t="shared" si="2"/>
        <v>42.121007415062152</v>
      </c>
      <c r="I26" s="247">
        <f t="shared" si="3"/>
        <v>0</v>
      </c>
      <c r="J26" s="98">
        <f t="shared" si="0"/>
        <v>0</v>
      </c>
    </row>
    <row r="27" spans="1:10" x14ac:dyDescent="0.25">
      <c r="A27" s="82">
        <f>'A) Base RI'!A29</f>
        <v>5428</v>
      </c>
      <c r="B27" s="147" t="str">
        <f>'A) Base RI'!B29</f>
        <v>Gimel</v>
      </c>
      <c r="C27" s="158">
        <f>'B) D RI'!U29</f>
        <v>54244.883403263411</v>
      </c>
      <c r="D27" s="247">
        <f>'E) Fact soc'!G33/C27</f>
        <v>18.485510438408216</v>
      </c>
      <c r="E27" s="247">
        <f>'H) Péréquation directe'!I38/'H) Péréquation directe'!C38</f>
        <v>-0.52223853853332547</v>
      </c>
      <c r="F27" s="242">
        <f>'I) Dépenses thématiques'!P27</f>
        <v>-4.9117074880461642</v>
      </c>
      <c r="G27" s="190">
        <f t="shared" si="1"/>
        <v>13.051564411828725</v>
      </c>
      <c r="H27" s="242">
        <f t="shared" si="2"/>
        <v>17.96327189987489</v>
      </c>
      <c r="I27" s="247">
        <f t="shared" si="3"/>
        <v>0</v>
      </c>
      <c r="J27" s="98">
        <f t="shared" si="0"/>
        <v>0</v>
      </c>
    </row>
    <row r="28" spans="1:10" x14ac:dyDescent="0.25">
      <c r="A28" s="82">
        <f>'A) Base RI'!A30</f>
        <v>5429</v>
      </c>
      <c r="B28" s="147" t="str">
        <f>'A) Base RI'!B30</f>
        <v>Longirod</v>
      </c>
      <c r="C28" s="158">
        <f>'B) D RI'!U30</f>
        <v>14621.746419753083</v>
      </c>
      <c r="D28" s="247">
        <f>'E) Fact soc'!G34/C28</f>
        <v>17.956973892399283</v>
      </c>
      <c r="E28" s="247">
        <f>'H) Péréquation directe'!I39/'H) Péréquation directe'!C39</f>
        <v>7.1182260371914303</v>
      </c>
      <c r="F28" s="242">
        <f>'I) Dépenses thématiques'!P28</f>
        <v>-5.0127391007809399</v>
      </c>
      <c r="G28" s="190">
        <f t="shared" si="1"/>
        <v>20.062460828809773</v>
      </c>
      <c r="H28" s="242">
        <f t="shared" si="2"/>
        <v>25.075199929590713</v>
      </c>
      <c r="I28" s="247">
        <f t="shared" si="3"/>
        <v>0</v>
      </c>
      <c r="J28" s="98">
        <f t="shared" si="0"/>
        <v>0</v>
      </c>
    </row>
    <row r="29" spans="1:10" x14ac:dyDescent="0.25">
      <c r="A29" s="82">
        <f>'A) Base RI'!A31</f>
        <v>5430</v>
      </c>
      <c r="B29" s="147" t="str">
        <f>'A) Base RI'!B31</f>
        <v>Marchissy</v>
      </c>
      <c r="C29" s="158">
        <f>'B) D RI'!U31</f>
        <v>13069.378271604934</v>
      </c>
      <c r="D29" s="247">
        <f>'E) Fact soc'!G35/C29</f>
        <v>17.93767060585968</v>
      </c>
      <c r="E29" s="247">
        <f>'H) Péréquation directe'!I40/'H) Péréquation directe'!C40</f>
        <v>2.3743067063056609</v>
      </c>
      <c r="F29" s="242">
        <f>'I) Dépenses thématiques'!P29</f>
        <v>-20.986231655403643</v>
      </c>
      <c r="G29" s="190">
        <f t="shared" si="1"/>
        <v>-0.67425434323830302</v>
      </c>
      <c r="H29" s="242">
        <f t="shared" si="2"/>
        <v>20.31197731216534</v>
      </c>
      <c r="I29" s="247">
        <f t="shared" si="3"/>
        <v>0</v>
      </c>
      <c r="J29" s="98">
        <f t="shared" si="0"/>
        <v>0</v>
      </c>
    </row>
    <row r="30" spans="1:10" x14ac:dyDescent="0.25">
      <c r="A30" s="82">
        <f>'A) Base RI'!A32</f>
        <v>5431</v>
      </c>
      <c r="B30" s="147" t="str">
        <f>'A) Base RI'!B32</f>
        <v>Mollens</v>
      </c>
      <c r="C30" s="158">
        <f>'B) D RI'!U32</f>
        <v>8024.3136486486483</v>
      </c>
      <c r="D30" s="247">
        <f>'E) Fact soc'!G36/C30</f>
        <v>17.456165300932323</v>
      </c>
      <c r="E30" s="247">
        <f>'H) Péréquation directe'!I41/'H) Péréquation directe'!C41</f>
        <v>2.4641445001286595</v>
      </c>
      <c r="F30" s="242">
        <f>'I) Dépenses thématiques'!P30</f>
        <v>-1.4500928689346018</v>
      </c>
      <c r="G30" s="190">
        <f t="shared" si="1"/>
        <v>18.47021693212638</v>
      </c>
      <c r="H30" s="242">
        <f t="shared" si="2"/>
        <v>19.920309801060981</v>
      </c>
      <c r="I30" s="247">
        <f t="shared" si="3"/>
        <v>0</v>
      </c>
      <c r="J30" s="98">
        <f t="shared" si="0"/>
        <v>0</v>
      </c>
    </row>
    <row r="31" spans="1:10" x14ac:dyDescent="0.25">
      <c r="A31" s="82">
        <f>'A) Base RI'!A33</f>
        <v>5432</v>
      </c>
      <c r="B31" s="147" t="str">
        <f>'A) Base RI'!B33</f>
        <v>Montherod</v>
      </c>
      <c r="C31" s="158">
        <f>'B) D RI'!U33</f>
        <v>17799.430540540543</v>
      </c>
      <c r="D31" s="247">
        <f>'E) Fact soc'!G37/C31</f>
        <v>18.775248361082514</v>
      </c>
      <c r="E31" s="247">
        <f>'H) Péréquation directe'!I42/'H) Péréquation directe'!C42</f>
        <v>9.4499607134325387</v>
      </c>
      <c r="F31" s="242">
        <f>'I) Dépenses thématiques'!P31</f>
        <v>0</v>
      </c>
      <c r="G31" s="190">
        <f t="shared" si="1"/>
        <v>28.225209074515053</v>
      </c>
      <c r="H31" s="242">
        <f t="shared" si="2"/>
        <v>28.225209074515053</v>
      </c>
      <c r="I31" s="247">
        <f t="shared" si="3"/>
        <v>0</v>
      </c>
      <c r="J31" s="98">
        <f t="shared" si="0"/>
        <v>0</v>
      </c>
    </row>
    <row r="32" spans="1:10" x14ac:dyDescent="0.25">
      <c r="A32" s="82">
        <f>'A) Base RI'!A34</f>
        <v>5434</v>
      </c>
      <c r="B32" s="147" t="str">
        <f>'A) Base RI'!B34</f>
        <v>Saint-George</v>
      </c>
      <c r="C32" s="158">
        <f>'B) D RI'!U34</f>
        <v>35135.099562043797</v>
      </c>
      <c r="D32" s="247">
        <f>'E) Fact soc'!G38/C32</f>
        <v>20.351375686469499</v>
      </c>
      <c r="E32" s="247">
        <f>'H) Péréquation directe'!I43/'H) Péréquation directe'!C43</f>
        <v>12.358354142637081</v>
      </c>
      <c r="F32" s="242">
        <f>'I) Dépenses thématiques'!P32</f>
        <v>-1.6184954848237272</v>
      </c>
      <c r="G32" s="190">
        <f t="shared" si="1"/>
        <v>31.091234344282853</v>
      </c>
      <c r="H32" s="242">
        <f t="shared" si="2"/>
        <v>32.709729829106578</v>
      </c>
      <c r="I32" s="247">
        <f t="shared" si="3"/>
        <v>0</v>
      </c>
      <c r="J32" s="98">
        <f t="shared" si="0"/>
        <v>0</v>
      </c>
    </row>
    <row r="33" spans="1:10" x14ac:dyDescent="0.25">
      <c r="A33" s="82">
        <f>'A) Base RI'!A35</f>
        <v>5435</v>
      </c>
      <c r="B33" s="147" t="str">
        <f>'A) Base RI'!B35</f>
        <v>Saint-Livres</v>
      </c>
      <c r="C33" s="158">
        <f>'B) D RI'!U35</f>
        <v>21558.748985507245</v>
      </c>
      <c r="D33" s="247">
        <f>'E) Fact soc'!G39/C33</f>
        <v>18.369879018902925</v>
      </c>
      <c r="E33" s="247">
        <f>'H) Péréquation directe'!I44/'H) Péréquation directe'!C44</f>
        <v>7.3234695067391797</v>
      </c>
      <c r="F33" s="242">
        <f>'I) Dépenses thématiques'!P33</f>
        <v>-4.1659189065365361</v>
      </c>
      <c r="G33" s="190">
        <f t="shared" si="1"/>
        <v>21.527429619105568</v>
      </c>
      <c r="H33" s="242">
        <f t="shared" si="2"/>
        <v>25.693348525642104</v>
      </c>
      <c r="I33" s="247">
        <f t="shared" si="3"/>
        <v>0</v>
      </c>
      <c r="J33" s="98">
        <f t="shared" si="0"/>
        <v>0</v>
      </c>
    </row>
    <row r="34" spans="1:10" x14ac:dyDescent="0.25">
      <c r="A34" s="82">
        <f>'A) Base RI'!A36</f>
        <v>5436</v>
      </c>
      <c r="B34" s="147" t="str">
        <f>'A) Base RI'!B36</f>
        <v>Saint-Oyens</v>
      </c>
      <c r="C34" s="158">
        <f>'B) D RI'!U36</f>
        <v>11369.478086419756</v>
      </c>
      <c r="D34" s="247">
        <f>'E) Fact soc'!G40/C34</f>
        <v>19.452089949314978</v>
      </c>
      <c r="E34" s="247">
        <f>'H) Péréquation directe'!I45/'H) Péréquation directe'!C45</f>
        <v>8.9691027327952852</v>
      </c>
      <c r="F34" s="242">
        <f>'I) Dépenses thématiques'!P34</f>
        <v>-20.009273800503721</v>
      </c>
      <c r="G34" s="190">
        <f t="shared" si="1"/>
        <v>8.4119188816065424</v>
      </c>
      <c r="H34" s="242">
        <f t="shared" si="2"/>
        <v>28.421192682110263</v>
      </c>
      <c r="I34" s="247">
        <f t="shared" si="3"/>
        <v>0</v>
      </c>
      <c r="J34" s="98">
        <f t="shared" si="0"/>
        <v>0</v>
      </c>
    </row>
    <row r="35" spans="1:10" x14ac:dyDescent="0.25">
      <c r="A35" s="82">
        <f>'A) Base RI'!A37</f>
        <v>5437</v>
      </c>
      <c r="B35" s="147" t="str">
        <f>'A) Base RI'!B37</f>
        <v>Saubraz</v>
      </c>
      <c r="C35" s="158">
        <f>'B) D RI'!U37</f>
        <v>8208.7877108433731</v>
      </c>
      <c r="D35" s="247">
        <f>'E) Fact soc'!G41/C35</f>
        <v>21.897151611088631</v>
      </c>
      <c r="E35" s="247">
        <f>'H) Péréquation directe'!I46/'H) Péréquation directe'!C46</f>
        <v>-15.093540759795394</v>
      </c>
      <c r="F35" s="242">
        <f>'I) Dépenses thématiques'!P35</f>
        <v>-7.6915133176849064</v>
      </c>
      <c r="G35" s="190">
        <f t="shared" si="1"/>
        <v>-0.88790246639166881</v>
      </c>
      <c r="H35" s="242">
        <f t="shared" si="2"/>
        <v>6.8036108512932376</v>
      </c>
      <c r="I35" s="247">
        <f t="shared" si="3"/>
        <v>0</v>
      </c>
      <c r="J35" s="98">
        <f t="shared" si="0"/>
        <v>0</v>
      </c>
    </row>
    <row r="36" spans="1:10" x14ac:dyDescent="0.25">
      <c r="A36" s="82">
        <f>'A) Base RI'!A38</f>
        <v>5451</v>
      </c>
      <c r="B36" s="147" t="str">
        <f>'A) Base RI'!B38</f>
        <v>Avenches</v>
      </c>
      <c r="C36" s="158">
        <f>'B) D RI'!U38</f>
        <v>103750.47926470588</v>
      </c>
      <c r="D36" s="247">
        <f>'E) Fact soc'!G42/C36</f>
        <v>19.566921278624001</v>
      </c>
      <c r="E36" s="247">
        <f>'H) Péréquation directe'!I47/'H) Péréquation directe'!C47</f>
        <v>-7.0573708640556223</v>
      </c>
      <c r="F36" s="242">
        <f>'I) Dépenses thématiques'!P36</f>
        <v>-14.605359037753219</v>
      </c>
      <c r="G36" s="190">
        <f t="shared" si="1"/>
        <v>-2.0958086231848405</v>
      </c>
      <c r="H36" s="242">
        <f t="shared" si="2"/>
        <v>12.509550414568379</v>
      </c>
      <c r="I36" s="247">
        <f t="shared" si="3"/>
        <v>0</v>
      </c>
      <c r="J36" s="98">
        <f t="shared" si="0"/>
        <v>0</v>
      </c>
    </row>
    <row r="37" spans="1:10" x14ac:dyDescent="0.25">
      <c r="A37" s="82">
        <f>'A) Base RI'!A39</f>
        <v>5456</v>
      </c>
      <c r="B37" s="147" t="str">
        <f>'A) Base RI'!B39</f>
        <v>Cudrefin</v>
      </c>
      <c r="C37" s="158">
        <f>'B) D RI'!U39</f>
        <v>45260.404011299433</v>
      </c>
      <c r="D37" s="247">
        <f>'E) Fact soc'!G43/C37</f>
        <v>19.899870620696131</v>
      </c>
      <c r="E37" s="247">
        <f>'H) Péréquation directe'!I48/'H) Péréquation directe'!C48</f>
        <v>6.963033607911095</v>
      </c>
      <c r="F37" s="242">
        <f>'I) Dépenses thématiques'!P37</f>
        <v>-6.5968920632139927</v>
      </c>
      <c r="G37" s="190">
        <f t="shared" si="1"/>
        <v>20.266012165393235</v>
      </c>
      <c r="H37" s="242">
        <f t="shared" si="2"/>
        <v>26.862904228607228</v>
      </c>
      <c r="I37" s="247">
        <f t="shared" si="3"/>
        <v>0</v>
      </c>
      <c r="J37" s="98">
        <f t="shared" si="0"/>
        <v>0</v>
      </c>
    </row>
    <row r="38" spans="1:10" x14ac:dyDescent="0.25">
      <c r="A38" s="82">
        <f>'A) Base RI'!A40</f>
        <v>5458</v>
      </c>
      <c r="B38" s="147" t="str">
        <f>'A) Base RI'!B40</f>
        <v>Faoug</v>
      </c>
      <c r="C38" s="158">
        <f>'B) D RI'!U40</f>
        <v>26731.83262295082</v>
      </c>
      <c r="D38" s="247">
        <f>'E) Fact soc'!G44/C38</f>
        <v>21.295909758400548</v>
      </c>
      <c r="E38" s="247">
        <f>'H) Péréquation directe'!I49/'H) Péréquation directe'!C49</f>
        <v>10.238100598218153</v>
      </c>
      <c r="F38" s="242">
        <f>'I) Dépenses thématiques'!P38</f>
        <v>-4.438640690056153</v>
      </c>
      <c r="G38" s="190">
        <f t="shared" si="1"/>
        <v>27.095369666562547</v>
      </c>
      <c r="H38" s="242">
        <f t="shared" si="2"/>
        <v>31.534010356618701</v>
      </c>
      <c r="I38" s="247">
        <f t="shared" si="3"/>
        <v>0</v>
      </c>
      <c r="J38" s="98">
        <f t="shared" si="0"/>
        <v>0</v>
      </c>
    </row>
    <row r="39" spans="1:10" x14ac:dyDescent="0.25">
      <c r="A39" s="82">
        <f>'A) Base RI'!A41</f>
        <v>5464</v>
      </c>
      <c r="B39" s="147" t="str">
        <f>'A) Base RI'!B41</f>
        <v>Vully-les-Lacs</v>
      </c>
      <c r="C39" s="158">
        <f>'B) D RI'!U41</f>
        <v>91629.911044776149</v>
      </c>
      <c r="D39" s="247">
        <f>'E) Fact soc'!G45/C39</f>
        <v>17.983403960716362</v>
      </c>
      <c r="E39" s="247">
        <f>'H) Péréquation directe'!I50/'H) Péréquation directe'!C50</f>
        <v>4.5407696701665978</v>
      </c>
      <c r="F39" s="242">
        <f>'I) Dépenses thématiques'!P39</f>
        <v>-7.5601623105525562</v>
      </c>
      <c r="G39" s="190">
        <f t="shared" si="1"/>
        <v>14.964011320330403</v>
      </c>
      <c r="H39" s="242">
        <f t="shared" si="2"/>
        <v>22.524173630882959</v>
      </c>
      <c r="I39" s="247">
        <f t="shared" si="3"/>
        <v>0</v>
      </c>
      <c r="J39" s="98">
        <f t="shared" si="0"/>
        <v>0</v>
      </c>
    </row>
    <row r="40" spans="1:10" x14ac:dyDescent="0.25">
      <c r="A40" s="82">
        <f>'A) Base RI'!A42</f>
        <v>5471</v>
      </c>
      <c r="B40" s="147" t="str">
        <f>'A) Base RI'!B42</f>
        <v>Bettens</v>
      </c>
      <c r="C40" s="158">
        <f>'B) D RI'!U42</f>
        <v>18668.279507936502</v>
      </c>
      <c r="D40" s="247">
        <f>'E) Fact soc'!G46/C40</f>
        <v>21.697929772262693</v>
      </c>
      <c r="E40" s="247">
        <f>'H) Péréquation directe'!I51/'H) Péréquation directe'!C51</f>
        <v>10.889138841171148</v>
      </c>
      <c r="F40" s="242">
        <f>'I) Dépenses thématiques'!P40</f>
        <v>0</v>
      </c>
      <c r="G40" s="190">
        <f t="shared" si="1"/>
        <v>32.587068613433843</v>
      </c>
      <c r="H40" s="242">
        <f t="shared" si="2"/>
        <v>32.587068613433843</v>
      </c>
      <c r="I40" s="247">
        <f t="shared" si="3"/>
        <v>0</v>
      </c>
      <c r="J40" s="98">
        <f t="shared" si="0"/>
        <v>0</v>
      </c>
    </row>
    <row r="41" spans="1:10" x14ac:dyDescent="0.25">
      <c r="A41" s="82">
        <f>'A) Base RI'!A43</f>
        <v>5472</v>
      </c>
      <c r="B41" s="147" t="str">
        <f>'A) Base RI'!B43</f>
        <v>Bournens</v>
      </c>
      <c r="C41" s="158">
        <f>'B) D RI'!U43</f>
        <v>12834.669250000001</v>
      </c>
      <c r="D41" s="247">
        <f>'E) Fact soc'!G47/C41</f>
        <v>16.987393430074412</v>
      </c>
      <c r="E41" s="247">
        <f>'H) Péréquation directe'!I52/'H) Péréquation directe'!C52</f>
        <v>9.7037535853157451</v>
      </c>
      <c r="F41" s="242">
        <f>'I) Dépenses thématiques'!P41</f>
        <v>-2.3574429080048165</v>
      </c>
      <c r="G41" s="190">
        <f t="shared" si="1"/>
        <v>24.333704107385341</v>
      </c>
      <c r="H41" s="242">
        <f t="shared" si="2"/>
        <v>26.691147015390158</v>
      </c>
      <c r="I41" s="247">
        <f t="shared" si="3"/>
        <v>0</v>
      </c>
      <c r="J41" s="98">
        <f t="shared" si="0"/>
        <v>0</v>
      </c>
    </row>
    <row r="42" spans="1:10" x14ac:dyDescent="0.25">
      <c r="A42" s="82">
        <f>'A) Base RI'!A44</f>
        <v>5473</v>
      </c>
      <c r="B42" s="147" t="str">
        <f>'A) Base RI'!B44</f>
        <v>Boussens</v>
      </c>
      <c r="C42" s="158">
        <f>'B) D RI'!U44</f>
        <v>32904.507681159426</v>
      </c>
      <c r="D42" s="247">
        <f>'E) Fact soc'!G48/C42</f>
        <v>16.661399987517722</v>
      </c>
      <c r="E42" s="247">
        <f>'H) Péréquation directe'!I53/'H) Péréquation directe'!C53</f>
        <v>10.797830820738538</v>
      </c>
      <c r="F42" s="242">
        <f>'I) Dépenses thématiques'!P42</f>
        <v>0</v>
      </c>
      <c r="G42" s="190">
        <f t="shared" si="1"/>
        <v>27.459230808256258</v>
      </c>
      <c r="H42" s="242">
        <f t="shared" si="2"/>
        <v>27.459230808256258</v>
      </c>
      <c r="I42" s="247">
        <f t="shared" si="3"/>
        <v>0</v>
      </c>
      <c r="J42" s="98">
        <f t="shared" si="0"/>
        <v>0</v>
      </c>
    </row>
    <row r="43" spans="1:10" x14ac:dyDescent="0.25">
      <c r="A43" s="82">
        <f>'A) Base RI'!A45</f>
        <v>5474</v>
      </c>
      <c r="B43" s="147" t="str">
        <f>'A) Base RI'!B45</f>
        <v>La Chaux (Cossonay)</v>
      </c>
      <c r="C43" s="158">
        <f>'B) D RI'!U45</f>
        <v>12942.370952380952</v>
      </c>
      <c r="D43" s="247">
        <f>'E) Fact soc'!G49/C43</f>
        <v>17.23863767370203</v>
      </c>
      <c r="E43" s="247">
        <f>'H) Péréquation directe'!I54/'H) Péréquation directe'!C54</f>
        <v>5.1556323057986679</v>
      </c>
      <c r="F43" s="242">
        <f>'I) Dépenses thématiques'!P43</f>
        <v>-10.820969396974037</v>
      </c>
      <c r="G43" s="190">
        <f t="shared" si="1"/>
        <v>11.573300582526661</v>
      </c>
      <c r="H43" s="242">
        <f t="shared" si="2"/>
        <v>22.394269979500699</v>
      </c>
      <c r="I43" s="247">
        <f t="shared" si="3"/>
        <v>0</v>
      </c>
      <c r="J43" s="98">
        <f t="shared" si="0"/>
        <v>0</v>
      </c>
    </row>
    <row r="44" spans="1:10" x14ac:dyDescent="0.25">
      <c r="A44" s="82">
        <f>'A) Base RI'!A46</f>
        <v>5475</v>
      </c>
      <c r="B44" s="147" t="str">
        <f>'A) Base RI'!B46</f>
        <v>Chavannes-le-Veyron</v>
      </c>
      <c r="C44" s="158">
        <f>'B) D RI'!U46</f>
        <v>2876.9510389610391</v>
      </c>
      <c r="D44" s="247">
        <f>'E) Fact soc'!G50/C44</f>
        <v>20.517107482312518</v>
      </c>
      <c r="E44" s="247">
        <f>'H) Péréquation directe'!I55/'H) Péréquation directe'!C55</f>
        <v>-7.9310217810783241</v>
      </c>
      <c r="F44" s="242">
        <f>'I) Dépenses thématiques'!P44</f>
        <v>-10.1690990231677</v>
      </c>
      <c r="G44" s="190">
        <f t="shared" si="1"/>
        <v>2.4169866780664933</v>
      </c>
      <c r="H44" s="242">
        <f t="shared" si="2"/>
        <v>12.586085701234193</v>
      </c>
      <c r="I44" s="247">
        <f t="shared" si="3"/>
        <v>0</v>
      </c>
      <c r="J44" s="98">
        <f t="shared" si="0"/>
        <v>0</v>
      </c>
    </row>
    <row r="45" spans="1:10" x14ac:dyDescent="0.25">
      <c r="A45" s="82">
        <f>'A) Base RI'!A47</f>
        <v>5476</v>
      </c>
      <c r="B45" s="147" t="str">
        <f>'A) Base RI'!B47</f>
        <v>Chevilly</v>
      </c>
      <c r="C45" s="158">
        <f>'B) D RI'!U47</f>
        <v>7286.6650000000009</v>
      </c>
      <c r="D45" s="247">
        <f>'E) Fact soc'!G51/C45</f>
        <v>20.678964537478691</v>
      </c>
      <c r="E45" s="247">
        <f>'H) Péréquation directe'!I56/'H) Péréquation directe'!C56</f>
        <v>4.2780419915443675</v>
      </c>
      <c r="F45" s="242">
        <f>'I) Dépenses thématiques'!P45</f>
        <v>-5.1161951317921153</v>
      </c>
      <c r="G45" s="190">
        <f t="shared" si="1"/>
        <v>19.840811397230944</v>
      </c>
      <c r="H45" s="242">
        <f t="shared" si="2"/>
        <v>24.957006529023058</v>
      </c>
      <c r="I45" s="247">
        <f t="shared" si="3"/>
        <v>0</v>
      </c>
      <c r="J45" s="98">
        <f t="shared" si="0"/>
        <v>0</v>
      </c>
    </row>
    <row r="46" spans="1:10" x14ac:dyDescent="0.25">
      <c r="A46" s="82">
        <f>'A) Base RI'!A48</f>
        <v>5477</v>
      </c>
      <c r="B46" s="147" t="str">
        <f>'A) Base RI'!B48</f>
        <v>Cossonay</v>
      </c>
      <c r="C46" s="158">
        <f>'B) D RI'!U48</f>
        <v>125737.979346211</v>
      </c>
      <c r="D46" s="247">
        <f>'E) Fact soc'!G52/C46</f>
        <v>17.393846210051191</v>
      </c>
      <c r="E46" s="247">
        <f>'H) Péréquation directe'!I57/'H) Péréquation directe'!C57</f>
        <v>5.1201775725662939</v>
      </c>
      <c r="F46" s="242">
        <f>'I) Dépenses thématiques'!P46</f>
        <v>-4.4578575456238303</v>
      </c>
      <c r="G46" s="190">
        <f t="shared" si="1"/>
        <v>18.056166236993654</v>
      </c>
      <c r="H46" s="242">
        <f t="shared" si="2"/>
        <v>22.514023782617485</v>
      </c>
      <c r="I46" s="247">
        <f t="shared" si="3"/>
        <v>0</v>
      </c>
      <c r="J46" s="98">
        <f t="shared" si="0"/>
        <v>0</v>
      </c>
    </row>
    <row r="47" spans="1:10" x14ac:dyDescent="0.25">
      <c r="A47" s="82">
        <f>'A) Base RI'!A49</f>
        <v>5478</v>
      </c>
      <c r="B47" s="147" t="str">
        <f>'A) Base RI'!B49</f>
        <v>Cottens</v>
      </c>
      <c r="C47" s="158">
        <f>'B) D RI'!U49</f>
        <v>15613.399583333334</v>
      </c>
      <c r="D47" s="247">
        <f>'E) Fact soc'!G53/C47</f>
        <v>16.268002940251652</v>
      </c>
      <c r="E47" s="247">
        <f>'H) Péréquation directe'!I58/'H) Péréquation directe'!C58</f>
        <v>8.8155420249506484</v>
      </c>
      <c r="F47" s="242">
        <f>'I) Dépenses thématiques'!P47</f>
        <v>0</v>
      </c>
      <c r="G47" s="190">
        <f t="shared" si="1"/>
        <v>25.0835449652023</v>
      </c>
      <c r="H47" s="242">
        <f t="shared" si="2"/>
        <v>25.0835449652023</v>
      </c>
      <c r="I47" s="247">
        <f t="shared" si="3"/>
        <v>0</v>
      </c>
      <c r="J47" s="98">
        <f t="shared" si="0"/>
        <v>0</v>
      </c>
    </row>
    <row r="48" spans="1:10" x14ac:dyDescent="0.25">
      <c r="A48" s="82">
        <f>'A) Base RI'!A50</f>
        <v>5479</v>
      </c>
      <c r="B48" s="147" t="str">
        <f>'A) Base RI'!B50</f>
        <v>Cuarnens</v>
      </c>
      <c r="C48" s="158">
        <f>'B) D RI'!U50</f>
        <v>12479.493246753247</v>
      </c>
      <c r="D48" s="247">
        <f>'E) Fact soc'!G54/C48</f>
        <v>20.872761330451539</v>
      </c>
      <c r="E48" s="247">
        <f>'H) Péréquation directe'!I59/'H) Péréquation directe'!C59</f>
        <v>2.6023846618196309</v>
      </c>
      <c r="F48" s="242">
        <f>'I) Dépenses thématiques'!P48</f>
        <v>-18.083025932059471</v>
      </c>
      <c r="G48" s="190">
        <f t="shared" si="1"/>
        <v>5.392120060211699</v>
      </c>
      <c r="H48" s="242">
        <f t="shared" si="2"/>
        <v>23.47514599227117</v>
      </c>
      <c r="I48" s="247">
        <f t="shared" si="3"/>
        <v>0</v>
      </c>
      <c r="J48" s="98">
        <f t="shared" si="0"/>
        <v>0</v>
      </c>
    </row>
    <row r="49" spans="1:10" x14ac:dyDescent="0.25">
      <c r="A49" s="82">
        <f>'A) Base RI'!A51</f>
        <v>5480</v>
      </c>
      <c r="B49" s="147" t="str">
        <f>'A) Base RI'!B51</f>
        <v>Daillens</v>
      </c>
      <c r="C49" s="158">
        <f>'B) D RI'!U51</f>
        <v>38475.41492957747</v>
      </c>
      <c r="D49" s="247">
        <f>'E) Fact soc'!G55/C49</f>
        <v>18.251484107781309</v>
      </c>
      <c r="E49" s="247">
        <f>'H) Péréquation directe'!I60/'H) Péréquation directe'!C60</f>
        <v>14.680184227955698</v>
      </c>
      <c r="F49" s="242">
        <f>'I) Dépenses thématiques'!P49</f>
        <v>-3.9471958984190691</v>
      </c>
      <c r="G49" s="190">
        <f t="shared" si="1"/>
        <v>28.98447243731794</v>
      </c>
      <c r="H49" s="242">
        <f t="shared" si="2"/>
        <v>32.931668335737008</v>
      </c>
      <c r="I49" s="247">
        <f t="shared" si="3"/>
        <v>0</v>
      </c>
      <c r="J49" s="98">
        <f t="shared" si="0"/>
        <v>0</v>
      </c>
    </row>
    <row r="50" spans="1:10" x14ac:dyDescent="0.25">
      <c r="A50" s="82">
        <f>'A) Base RI'!A52</f>
        <v>5481</v>
      </c>
      <c r="B50" s="147" t="str">
        <f>'A) Base RI'!B52</f>
        <v>Dizy</v>
      </c>
      <c r="C50" s="158">
        <f>'B) D RI'!U52</f>
        <v>8070.2010810810825</v>
      </c>
      <c r="D50" s="247">
        <f>'E) Fact soc'!G56/C50</f>
        <v>17.884687221530502</v>
      </c>
      <c r="E50" s="247">
        <f>'H) Péréquation directe'!I61/'H) Péréquation directe'!C61</f>
        <v>11.047761041917308</v>
      </c>
      <c r="F50" s="242">
        <f>'I) Dépenses thématiques'!P50</f>
        <v>-1.8490245596211403</v>
      </c>
      <c r="G50" s="190">
        <f t="shared" si="1"/>
        <v>27.083423703826671</v>
      </c>
      <c r="H50" s="242">
        <f t="shared" si="2"/>
        <v>28.93244826344781</v>
      </c>
      <c r="I50" s="247">
        <f t="shared" si="3"/>
        <v>0</v>
      </c>
      <c r="J50" s="98">
        <f t="shared" si="0"/>
        <v>0</v>
      </c>
    </row>
    <row r="51" spans="1:10" x14ac:dyDescent="0.25">
      <c r="A51" s="82">
        <f>'A) Base RI'!A53</f>
        <v>5482</v>
      </c>
      <c r="B51" s="147" t="str">
        <f>'A) Base RI'!B53</f>
        <v>Eclépens</v>
      </c>
      <c r="C51" s="158">
        <f>'B) D RI'!U53</f>
        <v>68499.201739130425</v>
      </c>
      <c r="D51" s="247">
        <f>'E) Fact soc'!G57/C51</f>
        <v>19.203335415728198</v>
      </c>
      <c r="E51" s="247">
        <f>'H) Péréquation directe'!I62/'H) Péréquation directe'!C62</f>
        <v>16.936561627681755</v>
      </c>
      <c r="F51" s="242">
        <f>'I) Dépenses thématiques'!P51</f>
        <v>-2.4857751002022619</v>
      </c>
      <c r="G51" s="190">
        <f t="shared" si="1"/>
        <v>33.654121943207691</v>
      </c>
      <c r="H51" s="242">
        <f t="shared" si="2"/>
        <v>36.139897043409952</v>
      </c>
      <c r="I51" s="247">
        <f t="shared" si="3"/>
        <v>0</v>
      </c>
      <c r="J51" s="98">
        <f t="shared" si="0"/>
        <v>0</v>
      </c>
    </row>
    <row r="52" spans="1:10" x14ac:dyDescent="0.25">
      <c r="A52" s="82">
        <f>'A) Base RI'!A54</f>
        <v>5483</v>
      </c>
      <c r="B52" s="147" t="str">
        <f>'A) Base RI'!B54</f>
        <v>Ferreyres</v>
      </c>
      <c r="C52" s="158">
        <f>'B) D RI'!U54</f>
        <v>10043.857368421051</v>
      </c>
      <c r="D52" s="247">
        <f>'E) Fact soc'!G58/C52</f>
        <v>15.564763345132954</v>
      </c>
      <c r="E52" s="247">
        <f>'H) Péréquation directe'!I63/'H) Péréquation directe'!C63</f>
        <v>8.2282066915031322</v>
      </c>
      <c r="F52" s="242">
        <f>'I) Dépenses thématiques'!P52</f>
        <v>-0.51872500861877935</v>
      </c>
      <c r="G52" s="190">
        <f t="shared" si="1"/>
        <v>23.274245028017305</v>
      </c>
      <c r="H52" s="242">
        <f t="shared" si="2"/>
        <v>23.792970036636085</v>
      </c>
      <c r="I52" s="247">
        <f t="shared" si="3"/>
        <v>0</v>
      </c>
      <c r="J52" s="98">
        <f t="shared" si="0"/>
        <v>0</v>
      </c>
    </row>
    <row r="53" spans="1:10" x14ac:dyDescent="0.25">
      <c r="A53" s="82">
        <f>'A) Base RI'!A55</f>
        <v>5484</v>
      </c>
      <c r="B53" s="147" t="str">
        <f>'A) Base RI'!B55</f>
        <v>Gollion</v>
      </c>
      <c r="C53" s="158">
        <f>'B) D RI'!U55</f>
        <v>24450.824189189188</v>
      </c>
      <c r="D53" s="247">
        <f>'E) Fact soc'!G59/C53</f>
        <v>18.455316550737869</v>
      </c>
      <c r="E53" s="247">
        <f>'H) Péréquation directe'!I64/'H) Péréquation directe'!C64</f>
        <v>5.2504643986859785</v>
      </c>
      <c r="F53" s="242">
        <f>'I) Dépenses thématiques'!P53</f>
        <v>-6.7971532866970898</v>
      </c>
      <c r="G53" s="190">
        <f t="shared" si="1"/>
        <v>16.908627662726758</v>
      </c>
      <c r="H53" s="242">
        <f t="shared" si="2"/>
        <v>23.705780949423847</v>
      </c>
      <c r="I53" s="247">
        <f t="shared" si="3"/>
        <v>0</v>
      </c>
      <c r="J53" s="98">
        <f t="shared" si="0"/>
        <v>0</v>
      </c>
    </row>
    <row r="54" spans="1:10" x14ac:dyDescent="0.25">
      <c r="A54" s="82">
        <f>'A) Base RI'!A56</f>
        <v>5485</v>
      </c>
      <c r="B54" s="147" t="str">
        <f>'A) Base RI'!B56</f>
        <v>Grancy</v>
      </c>
      <c r="C54" s="158">
        <f>'B) D RI'!U56</f>
        <v>18011.997142857144</v>
      </c>
      <c r="D54" s="247">
        <f>'E) Fact soc'!G60/C54</f>
        <v>17.376590299605347</v>
      </c>
      <c r="E54" s="247">
        <f>'H) Péréquation directe'!I65/'H) Péréquation directe'!C65</f>
        <v>16.401790298815122</v>
      </c>
      <c r="F54" s="242">
        <f>'I) Dépenses thématiques'!P54</f>
        <v>-6.8510448353549744</v>
      </c>
      <c r="G54" s="190">
        <f t="shared" si="1"/>
        <v>26.927335763065493</v>
      </c>
      <c r="H54" s="242">
        <f t="shared" si="2"/>
        <v>33.778380598420469</v>
      </c>
      <c r="I54" s="247">
        <f t="shared" si="3"/>
        <v>0</v>
      </c>
      <c r="J54" s="98">
        <f t="shared" si="0"/>
        <v>0</v>
      </c>
    </row>
    <row r="55" spans="1:10" x14ac:dyDescent="0.25">
      <c r="A55" s="82">
        <f>'A) Base RI'!A57</f>
        <v>5486</v>
      </c>
      <c r="B55" s="147" t="str">
        <f>'A) Base RI'!B57</f>
        <v>L'Isle</v>
      </c>
      <c r="C55" s="158">
        <f>'B) D RI'!U57</f>
        <v>26627.790138888886</v>
      </c>
      <c r="D55" s="247">
        <f>'E) Fact soc'!G61/C55</f>
        <v>20.697624885950795</v>
      </c>
      <c r="E55" s="247">
        <f>'H) Péréquation directe'!I66/'H) Péréquation directe'!C66</f>
        <v>1.2715012517532116</v>
      </c>
      <c r="F55" s="242">
        <f>'I) Dépenses thématiques'!P55</f>
        <v>-10.299540388800885</v>
      </c>
      <c r="G55" s="190">
        <f t="shared" si="1"/>
        <v>11.669585748903121</v>
      </c>
      <c r="H55" s="242">
        <f t="shared" si="2"/>
        <v>21.969126137704006</v>
      </c>
      <c r="I55" s="247">
        <f t="shared" si="3"/>
        <v>0</v>
      </c>
      <c r="J55" s="98">
        <f t="shared" si="0"/>
        <v>0</v>
      </c>
    </row>
    <row r="56" spans="1:10" x14ac:dyDescent="0.25">
      <c r="A56" s="82">
        <f>'A) Base RI'!A58</f>
        <v>5487</v>
      </c>
      <c r="B56" s="147" t="str">
        <f>'A) Base RI'!B58</f>
        <v>Lussery-Villars</v>
      </c>
      <c r="C56" s="158">
        <f>'B) D RI'!U58</f>
        <v>14161.564</v>
      </c>
      <c r="D56" s="247">
        <f>'E) Fact soc'!G62/C56</f>
        <v>18.847860724993296</v>
      </c>
      <c r="E56" s="247">
        <f>'H) Péréquation directe'!I67/'H) Péréquation directe'!C67</f>
        <v>11.483125236510823</v>
      </c>
      <c r="F56" s="242">
        <f>'I) Dépenses thématiques'!P56</f>
        <v>-1.2569233172268262</v>
      </c>
      <c r="G56" s="190">
        <f t="shared" si="1"/>
        <v>29.074062644277294</v>
      </c>
      <c r="H56" s="242">
        <f t="shared" si="2"/>
        <v>30.330985961504119</v>
      </c>
      <c r="I56" s="247">
        <f t="shared" si="3"/>
        <v>0</v>
      </c>
      <c r="J56" s="98">
        <f t="shared" si="0"/>
        <v>0</v>
      </c>
    </row>
    <row r="57" spans="1:10" x14ac:dyDescent="0.25">
      <c r="A57" s="82">
        <f>'A) Base RI'!A59</f>
        <v>5488</v>
      </c>
      <c r="B57" s="147" t="str">
        <f>'A) Base RI'!B59</f>
        <v>Mauraz</v>
      </c>
      <c r="C57" s="158">
        <f>'B) D RI'!U59</f>
        <v>1648.4024324324325</v>
      </c>
      <c r="D57" s="247">
        <f>'E) Fact soc'!G63/C57</f>
        <v>14.785675220623862</v>
      </c>
      <c r="E57" s="247">
        <f>'H) Péréquation directe'!I68/'H) Péréquation directe'!C68</f>
        <v>8.9699562696110533</v>
      </c>
      <c r="F57" s="242">
        <f>'I) Dépenses thématiques'!P57</f>
        <v>-1.4759745266875102</v>
      </c>
      <c r="G57" s="190">
        <f t="shared" si="1"/>
        <v>22.279656963547406</v>
      </c>
      <c r="H57" s="242">
        <f t="shared" si="2"/>
        <v>23.755631490234915</v>
      </c>
      <c r="I57" s="247">
        <f t="shared" si="3"/>
        <v>0</v>
      </c>
      <c r="J57" s="98">
        <f t="shared" si="0"/>
        <v>0</v>
      </c>
    </row>
    <row r="58" spans="1:10" x14ac:dyDescent="0.25">
      <c r="A58" s="82">
        <f>'A) Base RI'!A60</f>
        <v>5489</v>
      </c>
      <c r="B58" s="147" t="str">
        <f>'A) Base RI'!B60</f>
        <v>Mex</v>
      </c>
      <c r="C58" s="158">
        <f>'B) D RI'!U60</f>
        <v>53932.616065573762</v>
      </c>
      <c r="D58" s="247">
        <f>'E) Fact soc'!G64/C58</f>
        <v>22.357677746288299</v>
      </c>
      <c r="E58" s="247">
        <f>'H) Péréquation directe'!I69/'H) Péréquation directe'!C69</f>
        <v>17.132337896745618</v>
      </c>
      <c r="F58" s="242">
        <f>'I) Dépenses thématiques'!P58</f>
        <v>-0.26448314871975775</v>
      </c>
      <c r="G58" s="190">
        <f t="shared" si="1"/>
        <v>39.225532494314159</v>
      </c>
      <c r="H58" s="242">
        <f t="shared" si="2"/>
        <v>39.490015643033914</v>
      </c>
      <c r="I58" s="247">
        <f t="shared" si="3"/>
        <v>0</v>
      </c>
      <c r="J58" s="98">
        <f t="shared" si="0"/>
        <v>0</v>
      </c>
    </row>
    <row r="59" spans="1:10" x14ac:dyDescent="0.25">
      <c r="A59" s="82">
        <f>'A) Base RI'!A61</f>
        <v>5490</v>
      </c>
      <c r="B59" s="147" t="str">
        <f>'A) Base RI'!B61</f>
        <v>Moiry</v>
      </c>
      <c r="C59" s="158">
        <f>'B) D RI'!U61</f>
        <v>7150.2259259259263</v>
      </c>
      <c r="D59" s="247">
        <f>'E) Fact soc'!G65/C59</f>
        <v>19.762587890050003</v>
      </c>
      <c r="E59" s="247">
        <f>'H) Péréquation directe'!I70/'H) Péréquation directe'!C70</f>
        <v>-1.1220160252542148</v>
      </c>
      <c r="F59" s="242">
        <f>'I) Dépenses thématiques'!P59</f>
        <v>-2.5767017980783824</v>
      </c>
      <c r="G59" s="190">
        <f t="shared" si="1"/>
        <v>16.063870066717406</v>
      </c>
      <c r="H59" s="242">
        <f t="shared" si="2"/>
        <v>18.640571864795788</v>
      </c>
      <c r="I59" s="247">
        <f t="shared" si="3"/>
        <v>0</v>
      </c>
      <c r="J59" s="98">
        <f t="shared" si="0"/>
        <v>0</v>
      </c>
    </row>
    <row r="60" spans="1:10" x14ac:dyDescent="0.25">
      <c r="A60" s="82">
        <f>'A) Base RI'!A62</f>
        <v>5491</v>
      </c>
      <c r="B60" s="147" t="str">
        <f>'A) Base RI'!B62</f>
        <v>Mont-la-Ville</v>
      </c>
      <c r="C60" s="158">
        <f>'B) D RI'!U62</f>
        <v>9158.0513157894729</v>
      </c>
      <c r="D60" s="247">
        <f>'E) Fact soc'!G66/C60</f>
        <v>23.556214632378172</v>
      </c>
      <c r="E60" s="247">
        <f>'H) Péréquation directe'!I71/'H) Péréquation directe'!C71</f>
        <v>-3.4583667046211306</v>
      </c>
      <c r="F60" s="242">
        <f>'I) Dépenses thématiques'!P60</f>
        <v>-10.060546378589217</v>
      </c>
      <c r="G60" s="190">
        <f t="shared" si="1"/>
        <v>10.037301549167823</v>
      </c>
      <c r="H60" s="242">
        <f t="shared" si="2"/>
        <v>20.097847927757041</v>
      </c>
      <c r="I60" s="247">
        <f t="shared" si="3"/>
        <v>0</v>
      </c>
      <c r="J60" s="98">
        <f t="shared" si="0"/>
        <v>0</v>
      </c>
    </row>
    <row r="61" spans="1:10" x14ac:dyDescent="0.25">
      <c r="A61" s="82">
        <f>'A) Base RI'!A63</f>
        <v>5492</v>
      </c>
      <c r="B61" s="147" t="str">
        <f>'A) Base RI'!B63</f>
        <v>Montricher</v>
      </c>
      <c r="C61" s="158">
        <f>'B) D RI'!U63</f>
        <v>150474.39203125</v>
      </c>
      <c r="D61" s="247">
        <f>'E) Fact soc'!G67/C61</f>
        <v>33.544762809440087</v>
      </c>
      <c r="E61" s="247">
        <f>'H) Péréquation directe'!I72/'H) Péréquation directe'!C72</f>
        <v>17.601667375074538</v>
      </c>
      <c r="F61" s="242">
        <f>'I) Dépenses thématiques'!P61</f>
        <v>-3.1499594461085896</v>
      </c>
      <c r="G61" s="190">
        <f t="shared" si="1"/>
        <v>47.996470738406039</v>
      </c>
      <c r="H61" s="242">
        <f t="shared" si="2"/>
        <v>51.146430184514628</v>
      </c>
      <c r="I61" s="247">
        <f t="shared" si="3"/>
        <v>0</v>
      </c>
      <c r="J61" s="98">
        <f t="shared" ref="J61:J115" si="4">-I61*C61</f>
        <v>0</v>
      </c>
    </row>
    <row r="62" spans="1:10" x14ac:dyDescent="0.25">
      <c r="A62" s="82">
        <f>'A) Base RI'!A64</f>
        <v>5493</v>
      </c>
      <c r="B62" s="147" t="str">
        <f>'A) Base RI'!B64</f>
        <v>Orny</v>
      </c>
      <c r="C62" s="158">
        <f>'B) D RI'!U64</f>
        <v>9474.9746364594321</v>
      </c>
      <c r="D62" s="247">
        <f>'E) Fact soc'!G68/C62</f>
        <v>19.597909738334192</v>
      </c>
      <c r="E62" s="247">
        <f>'H) Péréquation directe'!I73/'H) Péréquation directe'!C73</f>
        <v>0.19910051273393758</v>
      </c>
      <c r="F62" s="242">
        <f>'I) Dépenses thématiques'!P62</f>
        <v>-5.6186957794214605</v>
      </c>
      <c r="G62" s="190">
        <f t="shared" ref="G62:G116" si="5">SUM(D62:F62)</f>
        <v>14.178314471646669</v>
      </c>
      <c r="H62" s="242">
        <f t="shared" ref="H62:H116" si="6">G62-F62</f>
        <v>19.79701025106813</v>
      </c>
      <c r="I62" s="247">
        <f t="shared" ref="I62:I116" si="7">IF(H62&lt;I$4,H62-I$4,0)</f>
        <v>0</v>
      </c>
      <c r="J62" s="98">
        <f t="shared" si="4"/>
        <v>0</v>
      </c>
    </row>
    <row r="63" spans="1:10" x14ac:dyDescent="0.25">
      <c r="A63" s="82">
        <f>'A) Base RI'!A65</f>
        <v>5494</v>
      </c>
      <c r="B63" s="147" t="str">
        <f>'A) Base RI'!B65</f>
        <v>Pampigny</v>
      </c>
      <c r="C63" s="158">
        <f>'B) D RI'!U65</f>
        <v>34918.82189206349</v>
      </c>
      <c r="D63" s="247">
        <f>'E) Fact soc'!G69/C63</f>
        <v>16.591881489407946</v>
      </c>
      <c r="E63" s="247">
        <f>'H) Péréquation directe'!I74/'H) Péréquation directe'!C74</f>
        <v>6.0012330903294471</v>
      </c>
      <c r="F63" s="242">
        <f>'I) Dépenses thématiques'!P63</f>
        <v>-5.5861563887507497</v>
      </c>
      <c r="G63" s="190">
        <f t="shared" si="5"/>
        <v>17.006958190986644</v>
      </c>
      <c r="H63" s="242">
        <f t="shared" si="6"/>
        <v>22.593114579737396</v>
      </c>
      <c r="I63" s="247">
        <f t="shared" si="7"/>
        <v>0</v>
      </c>
      <c r="J63" s="98">
        <f t="shared" si="4"/>
        <v>0</v>
      </c>
    </row>
    <row r="64" spans="1:10" x14ac:dyDescent="0.25">
      <c r="A64" s="82">
        <f>'A) Base RI'!A66</f>
        <v>5495</v>
      </c>
      <c r="B64" s="147" t="str">
        <f>'A) Base RI'!B66</f>
        <v>Penthalaz</v>
      </c>
      <c r="C64" s="158">
        <f>'B) D RI'!U66</f>
        <v>87716.055405405408</v>
      </c>
      <c r="D64" s="247">
        <f>'E) Fact soc'!G70/C64</f>
        <v>17.464629363214264</v>
      </c>
      <c r="E64" s="247">
        <f>'H) Péréquation directe'!I75/'H) Péréquation directe'!C75</f>
        <v>-3.941584550863523</v>
      </c>
      <c r="F64" s="242">
        <f>'I) Dépenses thématiques'!P64</f>
        <v>-5.1616776188512805</v>
      </c>
      <c r="G64" s="190">
        <f t="shared" si="5"/>
        <v>8.3613671934994613</v>
      </c>
      <c r="H64" s="242">
        <f t="shared" si="6"/>
        <v>13.523044812350742</v>
      </c>
      <c r="I64" s="247">
        <f t="shared" si="7"/>
        <v>0</v>
      </c>
      <c r="J64" s="98">
        <f t="shared" si="4"/>
        <v>0</v>
      </c>
    </row>
    <row r="65" spans="1:10" x14ac:dyDescent="0.25">
      <c r="A65" s="82">
        <f>'A) Base RI'!A67</f>
        <v>5496</v>
      </c>
      <c r="B65" s="147" t="str">
        <f>'A) Base RI'!B67</f>
        <v>Penthaz</v>
      </c>
      <c r="C65" s="158">
        <f>'B) D RI'!U67</f>
        <v>51566.366901408452</v>
      </c>
      <c r="D65" s="247">
        <f>'E) Fact soc'!G71/C65</f>
        <v>16.965164910383841</v>
      </c>
      <c r="E65" s="247">
        <f>'H) Péréquation directe'!I76/'H) Péréquation directe'!C76</f>
        <v>3.7374756145833556</v>
      </c>
      <c r="F65" s="242">
        <f>'I) Dépenses thématiques'!P65</f>
        <v>-4.416405763768859</v>
      </c>
      <c r="G65" s="190">
        <f t="shared" si="5"/>
        <v>16.286234761198337</v>
      </c>
      <c r="H65" s="242">
        <f t="shared" si="6"/>
        <v>20.702640524967194</v>
      </c>
      <c r="I65" s="247">
        <f t="shared" si="7"/>
        <v>0</v>
      </c>
      <c r="J65" s="98">
        <f t="shared" si="4"/>
        <v>0</v>
      </c>
    </row>
    <row r="66" spans="1:10" x14ac:dyDescent="0.25">
      <c r="A66" s="82">
        <f>'A) Base RI'!A68</f>
        <v>5497</v>
      </c>
      <c r="B66" s="147" t="str">
        <f>'A) Base RI'!B68</f>
        <v>Pompaples</v>
      </c>
      <c r="C66" s="158">
        <f>'B) D RI'!U68</f>
        <v>20299.313939393938</v>
      </c>
      <c r="D66" s="247">
        <f>'E) Fact soc'!G72/C66</f>
        <v>18.756408676968768</v>
      </c>
      <c r="E66" s="247">
        <f>'H) Péréquation directe'!I77/'H) Péréquation directe'!C77</f>
        <v>0.34336205034611345</v>
      </c>
      <c r="F66" s="242">
        <f>'I) Dépenses thématiques'!P66</f>
        <v>-7.6867622455549185</v>
      </c>
      <c r="G66" s="190">
        <f t="shared" si="5"/>
        <v>11.413008481759961</v>
      </c>
      <c r="H66" s="242">
        <f t="shared" si="6"/>
        <v>19.09977072731488</v>
      </c>
      <c r="I66" s="247">
        <f t="shared" si="7"/>
        <v>0</v>
      </c>
      <c r="J66" s="98">
        <f t="shared" si="4"/>
        <v>0</v>
      </c>
    </row>
    <row r="67" spans="1:10" x14ac:dyDescent="0.25">
      <c r="A67" s="82">
        <f>'A) Base RI'!A69</f>
        <v>5498</v>
      </c>
      <c r="B67" s="147" t="str">
        <f>'A) Base RI'!B69</f>
        <v>La Sarraz</v>
      </c>
      <c r="C67" s="158">
        <f>'B) D RI'!U69</f>
        <v>72296.623593750002</v>
      </c>
      <c r="D67" s="247">
        <f>'E) Fact soc'!G73/C67</f>
        <v>16.604423503238916</v>
      </c>
      <c r="E67" s="247">
        <f>'H) Péréquation directe'!I78/'H) Péréquation directe'!C78</f>
        <v>1.3486626590380884</v>
      </c>
      <c r="F67" s="242">
        <f>'I) Dépenses thématiques'!P67</f>
        <v>-6.0653593238883774</v>
      </c>
      <c r="G67" s="190">
        <f t="shared" si="5"/>
        <v>11.887726838388627</v>
      </c>
      <c r="H67" s="242">
        <f t="shared" si="6"/>
        <v>17.953086162277003</v>
      </c>
      <c r="I67" s="247">
        <f t="shared" si="7"/>
        <v>0</v>
      </c>
      <c r="J67" s="98">
        <f t="shared" si="4"/>
        <v>0</v>
      </c>
    </row>
    <row r="68" spans="1:10" x14ac:dyDescent="0.25">
      <c r="A68" s="82">
        <f>'A) Base RI'!A70</f>
        <v>5499</v>
      </c>
      <c r="B68" s="147" t="str">
        <f>'A) Base RI'!B70</f>
        <v>Senarclens</v>
      </c>
      <c r="C68" s="158">
        <f>'B) D RI'!U70</f>
        <v>17459.062919708031</v>
      </c>
      <c r="D68" s="247">
        <f>'E) Fact soc'!G74/C68</f>
        <v>15.517728542086648</v>
      </c>
      <c r="E68" s="247">
        <f>'H) Péréquation directe'!I79/'H) Péréquation directe'!C79</f>
        <v>14.334486721024916</v>
      </c>
      <c r="F68" s="242">
        <f>'I) Dépenses thématiques'!P68</f>
        <v>-0.86808782749111346</v>
      </c>
      <c r="G68" s="190">
        <f t="shared" si="5"/>
        <v>28.984127435620451</v>
      </c>
      <c r="H68" s="242">
        <f t="shared" si="6"/>
        <v>29.852215263111564</v>
      </c>
      <c r="I68" s="247">
        <f t="shared" si="7"/>
        <v>0</v>
      </c>
      <c r="J68" s="98">
        <f t="shared" si="4"/>
        <v>0</v>
      </c>
    </row>
    <row r="69" spans="1:10" x14ac:dyDescent="0.25">
      <c r="A69" s="82">
        <f>'A) Base RI'!A71</f>
        <v>5500</v>
      </c>
      <c r="B69" s="147" t="str">
        <f>'A) Base RI'!B71</f>
        <v>Sévery</v>
      </c>
      <c r="C69" s="158">
        <f>'B) D RI'!U71</f>
        <v>6102.0277564102553</v>
      </c>
      <c r="D69" s="247">
        <f>'E) Fact soc'!G75/C69</f>
        <v>15.42892286824012</v>
      </c>
      <c r="E69" s="247">
        <f>'H) Péréquation directe'!I80/'H) Péréquation directe'!C80</f>
        <v>0.31626383921389478</v>
      </c>
      <c r="F69" s="242">
        <f>'I) Dépenses thématiques'!P69</f>
        <v>-1.1075006980918167</v>
      </c>
      <c r="G69" s="190">
        <f t="shared" si="5"/>
        <v>14.637686009362197</v>
      </c>
      <c r="H69" s="242">
        <f t="shared" si="6"/>
        <v>15.745186707454014</v>
      </c>
      <c r="I69" s="247">
        <f t="shared" si="7"/>
        <v>0</v>
      </c>
      <c r="J69" s="98">
        <f t="shared" si="4"/>
        <v>0</v>
      </c>
    </row>
    <row r="70" spans="1:10" x14ac:dyDescent="0.25">
      <c r="A70" s="82">
        <f>'A) Base RI'!A72</f>
        <v>5501</v>
      </c>
      <c r="B70" s="147" t="str">
        <f>'A) Base RI'!B72</f>
        <v>Sullens</v>
      </c>
      <c r="C70" s="158">
        <f>'B) D RI'!U72</f>
        <v>37787.89666666666</v>
      </c>
      <c r="D70" s="247">
        <f>'E) Fact soc'!G76/C70</f>
        <v>20.441172584903377</v>
      </c>
      <c r="E70" s="247">
        <f>'H) Péréquation directe'!I81/'H) Péréquation directe'!C81</f>
        <v>15.203037113871369</v>
      </c>
      <c r="F70" s="242">
        <f>'I) Dépenses thématiques'!P70</f>
        <v>-0.14711059599418477</v>
      </c>
      <c r="G70" s="190">
        <f t="shared" si="5"/>
        <v>35.49709910278056</v>
      </c>
      <c r="H70" s="242">
        <f t="shared" si="6"/>
        <v>35.644209698774745</v>
      </c>
      <c r="I70" s="247">
        <f t="shared" si="7"/>
        <v>0</v>
      </c>
      <c r="J70" s="98">
        <f t="shared" si="4"/>
        <v>0</v>
      </c>
    </row>
    <row r="71" spans="1:10" x14ac:dyDescent="0.25">
      <c r="A71" s="82">
        <f>'A) Base RI'!A73</f>
        <v>5503</v>
      </c>
      <c r="B71" s="147" t="str">
        <f>'A) Base RI'!B73</f>
        <v>Vufflens-la-Ville</v>
      </c>
      <c r="C71" s="158">
        <f>'B) D RI'!U73</f>
        <v>57812.991915422885</v>
      </c>
      <c r="D71" s="247">
        <f>'E) Fact soc'!G77/C71</f>
        <v>16.165376778306452</v>
      </c>
      <c r="E71" s="247">
        <f>'H) Péréquation directe'!I82/'H) Péréquation directe'!C82</f>
        <v>15.457978741307684</v>
      </c>
      <c r="F71" s="242">
        <f>'I) Dépenses thématiques'!P71</f>
        <v>0</v>
      </c>
      <c r="G71" s="190">
        <f t="shared" si="5"/>
        <v>31.623355519614137</v>
      </c>
      <c r="H71" s="242">
        <f t="shared" si="6"/>
        <v>31.623355519614137</v>
      </c>
      <c r="I71" s="247">
        <f t="shared" si="7"/>
        <v>0</v>
      </c>
      <c r="J71" s="98">
        <f t="shared" si="4"/>
        <v>0</v>
      </c>
    </row>
    <row r="72" spans="1:10" x14ac:dyDescent="0.25">
      <c r="A72" s="82">
        <f>'A) Base RI'!A74</f>
        <v>5511</v>
      </c>
      <c r="B72" s="147" t="str">
        <f>'A) Base RI'!B74</f>
        <v>Assens</v>
      </c>
      <c r="C72" s="158">
        <f>'B) D RI'!U74</f>
        <v>39783.593571428566</v>
      </c>
      <c r="D72" s="247">
        <f>'E) Fact soc'!G78/C72</f>
        <v>16.721336584691901</v>
      </c>
      <c r="E72" s="247">
        <f>'H) Péréquation directe'!I83/'H) Péréquation directe'!C83</f>
        <v>13.320575434774062</v>
      </c>
      <c r="F72" s="242">
        <f>'I) Dépenses thématiques'!P72</f>
        <v>-4.5019814431401208</v>
      </c>
      <c r="G72" s="190">
        <f t="shared" si="5"/>
        <v>25.53993057632584</v>
      </c>
      <c r="H72" s="242">
        <f t="shared" si="6"/>
        <v>30.041912019465961</v>
      </c>
      <c r="I72" s="247">
        <f t="shared" si="7"/>
        <v>0</v>
      </c>
      <c r="J72" s="98">
        <f t="shared" si="4"/>
        <v>0</v>
      </c>
    </row>
    <row r="73" spans="1:10" x14ac:dyDescent="0.25">
      <c r="A73" s="82">
        <f>'A) Base RI'!A75</f>
        <v>5512</v>
      </c>
      <c r="B73" s="147" t="str">
        <f>'A) Base RI'!B75</f>
        <v>Bercher</v>
      </c>
      <c r="C73" s="158">
        <f>'B) D RI'!U75</f>
        <v>36622.722911392411</v>
      </c>
      <c r="D73" s="247">
        <f>'E) Fact soc'!G79/C73</f>
        <v>16.132832970728035</v>
      </c>
      <c r="E73" s="247">
        <f>'H) Péréquation directe'!I84/'H) Péréquation directe'!C84</f>
        <v>5.3051905646826434</v>
      </c>
      <c r="F73" s="242">
        <f>'I) Dépenses thématiques'!P73</f>
        <v>-4.4353064733335588</v>
      </c>
      <c r="G73" s="190">
        <f t="shared" si="5"/>
        <v>17.002717062077121</v>
      </c>
      <c r="H73" s="242">
        <f t="shared" si="6"/>
        <v>21.438023535410679</v>
      </c>
      <c r="I73" s="247">
        <f t="shared" si="7"/>
        <v>0</v>
      </c>
      <c r="J73" s="98">
        <f t="shared" si="4"/>
        <v>0</v>
      </c>
    </row>
    <row r="74" spans="1:10" x14ac:dyDescent="0.25">
      <c r="A74" s="82">
        <f>'A) Base RI'!A76</f>
        <v>5513</v>
      </c>
      <c r="B74" s="147" t="str">
        <f>'A) Base RI'!B76</f>
        <v>Bioley-Orjulaz</v>
      </c>
      <c r="C74" s="158">
        <f>'B) D RI'!U76</f>
        <v>30506.038333333338</v>
      </c>
      <c r="D74" s="247">
        <f>'E) Fact soc'!G80/C74</f>
        <v>24.872267654931612</v>
      </c>
      <c r="E74" s="247">
        <f>'H) Péréquation directe'!I85/'H) Péréquation directe'!C85</f>
        <v>16.951269801678301</v>
      </c>
      <c r="F74" s="242">
        <f>'I) Dépenses thématiques'!P74</f>
        <v>0</v>
      </c>
      <c r="G74" s="190">
        <f t="shared" si="5"/>
        <v>41.823537456609913</v>
      </c>
      <c r="H74" s="242">
        <f t="shared" si="6"/>
        <v>41.823537456609913</v>
      </c>
      <c r="I74" s="247">
        <f t="shared" si="7"/>
        <v>0</v>
      </c>
      <c r="J74" s="98">
        <f t="shared" si="4"/>
        <v>0</v>
      </c>
    </row>
    <row r="75" spans="1:10" x14ac:dyDescent="0.25">
      <c r="A75" s="82">
        <f>'A) Base RI'!A77</f>
        <v>5514</v>
      </c>
      <c r="B75" s="147" t="str">
        <f>'A) Base RI'!B77</f>
        <v>Bottens</v>
      </c>
      <c r="C75" s="158">
        <f>'B) D RI'!U77</f>
        <v>42846.050910973077</v>
      </c>
      <c r="D75" s="247">
        <f>'E) Fact soc'!G81/C75</f>
        <v>16.401337890302276</v>
      </c>
      <c r="E75" s="247">
        <f>'H) Péréquation directe'!I86/'H) Péréquation directe'!C86</f>
        <v>8.0336232404546681</v>
      </c>
      <c r="F75" s="242">
        <f>'I) Dépenses thématiques'!P75</f>
        <v>-4.6538711447250955E-2</v>
      </c>
      <c r="G75" s="190">
        <f t="shared" si="5"/>
        <v>24.388422419309695</v>
      </c>
      <c r="H75" s="242">
        <f t="shared" si="6"/>
        <v>24.434961130756946</v>
      </c>
      <c r="I75" s="247">
        <f t="shared" si="7"/>
        <v>0</v>
      </c>
      <c r="J75" s="98">
        <f t="shared" si="4"/>
        <v>0</v>
      </c>
    </row>
    <row r="76" spans="1:10" x14ac:dyDescent="0.25">
      <c r="A76" s="82">
        <f>'A) Base RI'!A78</f>
        <v>5515</v>
      </c>
      <c r="B76" s="147" t="str">
        <f>'A) Base RI'!B78</f>
        <v>Bretigny-sur-Morrens</v>
      </c>
      <c r="C76" s="158">
        <f>'B) D RI'!U78</f>
        <v>22223.6698630137</v>
      </c>
      <c r="D76" s="247">
        <f>'E) Fact soc'!G82/C76</f>
        <v>19.381519904673247</v>
      </c>
      <c r="E76" s="247">
        <f>'H) Péréquation directe'!I87/'H) Péréquation directe'!C87</f>
        <v>3.3848258157639965</v>
      </c>
      <c r="F76" s="242">
        <f>'I) Dépenses thématiques'!P76</f>
        <v>-3.734441724142203</v>
      </c>
      <c r="G76" s="190">
        <f t="shared" si="5"/>
        <v>19.031903996295039</v>
      </c>
      <c r="H76" s="242">
        <f t="shared" si="6"/>
        <v>22.766345720437243</v>
      </c>
      <c r="I76" s="247">
        <f t="shared" si="7"/>
        <v>0</v>
      </c>
      <c r="J76" s="98">
        <f t="shared" si="4"/>
        <v>0</v>
      </c>
    </row>
    <row r="77" spans="1:10" x14ac:dyDescent="0.25">
      <c r="A77" s="82">
        <f>'A) Base RI'!A79</f>
        <v>5516</v>
      </c>
      <c r="B77" s="147" t="str">
        <f>'A) Base RI'!B79</f>
        <v>Cugy</v>
      </c>
      <c r="C77" s="158">
        <f>'B) D RI'!U79</f>
        <v>117631.39925373136</v>
      </c>
      <c r="D77" s="247">
        <f>'E) Fact soc'!G83/C77</f>
        <v>16.155000639023072</v>
      </c>
      <c r="E77" s="247">
        <f>'H) Péréquation directe'!I88/'H) Péréquation directe'!C88</f>
        <v>12.163295711375421</v>
      </c>
      <c r="F77" s="242">
        <f>'I) Dépenses thématiques'!P77</f>
        <v>-0.79125982170145381</v>
      </c>
      <c r="G77" s="190">
        <f t="shared" si="5"/>
        <v>27.527036528697035</v>
      </c>
      <c r="H77" s="242">
        <f t="shared" si="6"/>
        <v>28.318296350398491</v>
      </c>
      <c r="I77" s="247">
        <f t="shared" si="7"/>
        <v>0</v>
      </c>
      <c r="J77" s="98">
        <f t="shared" si="4"/>
        <v>0</v>
      </c>
    </row>
    <row r="78" spans="1:10" x14ac:dyDescent="0.25">
      <c r="A78" s="82">
        <f>'A) Base RI'!A80</f>
        <v>5518</v>
      </c>
      <c r="B78" s="147" t="str">
        <f>'A) Base RI'!B80</f>
        <v>Echallens</v>
      </c>
      <c r="C78" s="158">
        <f>'B) D RI'!U80</f>
        <v>173156.24540540541</v>
      </c>
      <c r="D78" s="247">
        <f>'E) Fact soc'!G84/C78</f>
        <v>17.792338559743296</v>
      </c>
      <c r="E78" s="247">
        <f>'H) Péréquation directe'!I89/'H) Péréquation directe'!C89</f>
        <v>-1.9969764676434807</v>
      </c>
      <c r="F78" s="242">
        <f>'I) Dépenses thématiques'!P78</f>
        <v>-4.1740625543584207</v>
      </c>
      <c r="G78" s="190">
        <f t="shared" si="5"/>
        <v>11.621299537741393</v>
      </c>
      <c r="H78" s="242">
        <f t="shared" si="6"/>
        <v>15.795362092099815</v>
      </c>
      <c r="I78" s="247">
        <f t="shared" si="7"/>
        <v>0</v>
      </c>
      <c r="J78" s="98">
        <f t="shared" si="4"/>
        <v>0</v>
      </c>
    </row>
    <row r="79" spans="1:10" x14ac:dyDescent="0.25">
      <c r="A79" s="82">
        <f>'A) Base RI'!A81</f>
        <v>5520</v>
      </c>
      <c r="B79" s="147" t="str">
        <f>'A) Base RI'!B81</f>
        <v>Essertines-sur-Yverdon</v>
      </c>
      <c r="C79" s="158">
        <f>'B) D RI'!U81</f>
        <v>27983.283972602738</v>
      </c>
      <c r="D79" s="247">
        <f>'E) Fact soc'!G85/C79</f>
        <v>17.261044268367449</v>
      </c>
      <c r="E79" s="247">
        <f>'H) Péréquation directe'!I90/'H) Péréquation directe'!C90</f>
        <v>6.3445770954635421</v>
      </c>
      <c r="F79" s="242">
        <f>'I) Dépenses thématiques'!P79</f>
        <v>-3.4076772437917233</v>
      </c>
      <c r="G79" s="190">
        <f t="shared" si="5"/>
        <v>20.197944120039267</v>
      </c>
      <c r="H79" s="242">
        <f t="shared" si="6"/>
        <v>23.605621363830991</v>
      </c>
      <c r="I79" s="247">
        <f t="shared" si="7"/>
        <v>0</v>
      </c>
      <c r="J79" s="98">
        <f t="shared" si="4"/>
        <v>0</v>
      </c>
    </row>
    <row r="80" spans="1:10" x14ac:dyDescent="0.25">
      <c r="A80" s="82">
        <f>'A) Base RI'!A82</f>
        <v>5521</v>
      </c>
      <c r="B80" s="147" t="str">
        <f>'A) Base RI'!B82</f>
        <v>Etagnières</v>
      </c>
      <c r="C80" s="158">
        <f>'B) D RI'!U82</f>
        <v>36300.178904109591</v>
      </c>
      <c r="D80" s="247">
        <f>'E) Fact soc'!G86/C80</f>
        <v>18.033823537233161</v>
      </c>
      <c r="E80" s="247">
        <f>'H) Péréquation directe'!I91/'H) Péréquation directe'!C91</f>
        <v>7.6528423351162553</v>
      </c>
      <c r="F80" s="242">
        <f>'I) Dépenses thématiques'!P80</f>
        <v>-0.83487191840173047</v>
      </c>
      <c r="G80" s="190">
        <f t="shared" si="5"/>
        <v>24.851793953947684</v>
      </c>
      <c r="H80" s="242">
        <f t="shared" si="6"/>
        <v>25.686665872349415</v>
      </c>
      <c r="I80" s="247">
        <f t="shared" si="7"/>
        <v>0</v>
      </c>
      <c r="J80" s="98">
        <f t="shared" si="4"/>
        <v>0</v>
      </c>
    </row>
    <row r="81" spans="1:10" x14ac:dyDescent="0.25">
      <c r="A81" s="82">
        <f>'A) Base RI'!A83</f>
        <v>5522</v>
      </c>
      <c r="B81" s="147" t="str">
        <f>'A) Base RI'!B83</f>
        <v>Fey</v>
      </c>
      <c r="C81" s="158">
        <f>'B) D RI'!U83</f>
        <v>16159.379733333333</v>
      </c>
      <c r="D81" s="247">
        <f>'E) Fact soc'!G87/C81</f>
        <v>20.280297010892578</v>
      </c>
      <c r="E81" s="247">
        <f>'H) Péréquation directe'!I92/'H) Péréquation directe'!C92</f>
        <v>-0.55399452824799211</v>
      </c>
      <c r="F81" s="242">
        <f>'I) Dépenses thématiques'!P81</f>
        <v>-11.511580460992612</v>
      </c>
      <c r="G81" s="190">
        <f t="shared" si="5"/>
        <v>8.2147220216519763</v>
      </c>
      <c r="H81" s="242">
        <f t="shared" si="6"/>
        <v>19.726302482644588</v>
      </c>
      <c r="I81" s="247">
        <f t="shared" si="7"/>
        <v>0</v>
      </c>
      <c r="J81" s="98">
        <f t="shared" si="4"/>
        <v>0</v>
      </c>
    </row>
    <row r="82" spans="1:10" x14ac:dyDescent="0.25">
      <c r="A82" s="82">
        <f>'A) Base RI'!A84</f>
        <v>5523</v>
      </c>
      <c r="B82" s="147" t="str">
        <f>'A) Base RI'!B84</f>
        <v>Froideville</v>
      </c>
      <c r="C82" s="158">
        <f>'B) D RI'!U84</f>
        <v>72242.876052631575</v>
      </c>
      <c r="D82" s="247">
        <f>'E) Fact soc'!G88/C82</f>
        <v>17.960465767900882</v>
      </c>
      <c r="E82" s="247">
        <f>'H) Péréquation directe'!I93/'H) Péréquation directe'!C93</f>
        <v>1.6763681322109474</v>
      </c>
      <c r="F82" s="242">
        <f>'I) Dépenses thématiques'!P82</f>
        <v>-2.559906389458638</v>
      </c>
      <c r="G82" s="190">
        <f t="shared" si="5"/>
        <v>17.076927510653189</v>
      </c>
      <c r="H82" s="242">
        <f t="shared" si="6"/>
        <v>19.636833900111828</v>
      </c>
      <c r="I82" s="247">
        <f t="shared" si="7"/>
        <v>0</v>
      </c>
      <c r="J82" s="98">
        <f t="shared" si="4"/>
        <v>0</v>
      </c>
    </row>
    <row r="83" spans="1:10" x14ac:dyDescent="0.25">
      <c r="A83" s="82">
        <f>'A) Base RI'!A85</f>
        <v>5527</v>
      </c>
      <c r="B83" s="147" t="str">
        <f>'A) Base RI'!B85</f>
        <v>Morrens</v>
      </c>
      <c r="C83" s="158">
        <f>'B) D RI'!U85</f>
        <v>37759.681126760574</v>
      </c>
      <c r="D83" s="247">
        <f>'E) Fact soc'!G89/C83</f>
        <v>17.06032830129114</v>
      </c>
      <c r="E83" s="247">
        <f>'H) Péréquation directe'!I94/'H) Péréquation directe'!C94</f>
        <v>11.10780665554234</v>
      </c>
      <c r="F83" s="242">
        <f>'I) Dépenses thématiques'!P83</f>
        <v>-0.50524791075312536</v>
      </c>
      <c r="G83" s="190">
        <f t="shared" si="5"/>
        <v>27.662887046080353</v>
      </c>
      <c r="H83" s="242">
        <f t="shared" si="6"/>
        <v>28.16813495683348</v>
      </c>
      <c r="I83" s="247">
        <f t="shared" si="7"/>
        <v>0</v>
      </c>
      <c r="J83" s="98">
        <f t="shared" si="4"/>
        <v>0</v>
      </c>
    </row>
    <row r="84" spans="1:10" x14ac:dyDescent="0.25">
      <c r="A84" s="82">
        <f>'A) Base RI'!A86</f>
        <v>5529</v>
      </c>
      <c r="B84" s="147" t="str">
        <f>'A) Base RI'!B86</f>
        <v>Oulens-sous-Echallens</v>
      </c>
      <c r="C84" s="158">
        <f>'B) D RI'!U86</f>
        <v>19397.63972972973</v>
      </c>
      <c r="D84" s="247">
        <f>'E) Fact soc'!G90/C84</f>
        <v>15.664544517998813</v>
      </c>
      <c r="E84" s="247">
        <f>'H) Péréquation directe'!I95/'H) Péréquation directe'!C95</f>
        <v>11.559612100595675</v>
      </c>
      <c r="F84" s="242">
        <f>'I) Dépenses thématiques'!P84</f>
        <v>-8.5067050578889738</v>
      </c>
      <c r="G84" s="190">
        <f t="shared" si="5"/>
        <v>18.717451560705513</v>
      </c>
      <c r="H84" s="242">
        <f t="shared" si="6"/>
        <v>27.224156618594485</v>
      </c>
      <c r="I84" s="247">
        <f t="shared" si="7"/>
        <v>0</v>
      </c>
      <c r="J84" s="98">
        <f t="shared" si="4"/>
        <v>0</v>
      </c>
    </row>
    <row r="85" spans="1:10" x14ac:dyDescent="0.25">
      <c r="A85" s="82">
        <f>'A) Base RI'!A87</f>
        <v>5530</v>
      </c>
      <c r="B85" s="147" t="str">
        <f>'A) Base RI'!B87</f>
        <v>Pailly</v>
      </c>
      <c r="C85" s="158">
        <f>'B) D RI'!U87</f>
        <v>13906.482623655915</v>
      </c>
      <c r="D85" s="247">
        <f>'E) Fact soc'!G91/C85</f>
        <v>17.889820328213368</v>
      </c>
      <c r="E85" s="247">
        <f>'H) Péréquation directe'!I96/'H) Péréquation directe'!C96</f>
        <v>-0.80011483346467571</v>
      </c>
      <c r="F85" s="242">
        <f>'I) Dépenses thématiques'!P85</f>
        <v>-13.353700214898771</v>
      </c>
      <c r="G85" s="190">
        <f t="shared" si="5"/>
        <v>3.7360052798499215</v>
      </c>
      <c r="H85" s="242">
        <f t="shared" si="6"/>
        <v>17.089705494748692</v>
      </c>
      <c r="I85" s="247">
        <f t="shared" si="7"/>
        <v>0</v>
      </c>
      <c r="J85" s="98">
        <f t="shared" si="4"/>
        <v>0</v>
      </c>
    </row>
    <row r="86" spans="1:10" x14ac:dyDescent="0.25">
      <c r="A86" s="82">
        <f>'A) Base RI'!A88</f>
        <v>5531</v>
      </c>
      <c r="B86" s="147" t="str">
        <f>'A) Base RI'!B88</f>
        <v>Penthéréaz</v>
      </c>
      <c r="C86" s="158">
        <f>'B) D RI'!U88</f>
        <v>13188.510897435897</v>
      </c>
      <c r="D86" s="247">
        <f>'E) Fact soc'!G92/C86</f>
        <v>14.78567522062386</v>
      </c>
      <c r="E86" s="247">
        <f>'H) Péréquation directe'!I97/'H) Péréquation directe'!C97</f>
        <v>8.679057141649027</v>
      </c>
      <c r="F86" s="242">
        <f>'I) Dépenses thématiques'!P86</f>
        <v>-0.74890941644672571</v>
      </c>
      <c r="G86" s="190">
        <f t="shared" si="5"/>
        <v>22.715822945826162</v>
      </c>
      <c r="H86" s="242">
        <f t="shared" si="6"/>
        <v>23.464732362272887</v>
      </c>
      <c r="I86" s="247">
        <f t="shared" si="7"/>
        <v>0</v>
      </c>
      <c r="J86" s="98">
        <f t="shared" si="4"/>
        <v>0</v>
      </c>
    </row>
    <row r="87" spans="1:10" x14ac:dyDescent="0.25">
      <c r="A87" s="82">
        <f>'A) Base RI'!A89</f>
        <v>5533</v>
      </c>
      <c r="B87" s="147" t="str">
        <f>'A) Base RI'!B89</f>
        <v>Poliez-Pittet</v>
      </c>
      <c r="C87" s="158">
        <f>'B) D RI'!U89</f>
        <v>23278.194178403755</v>
      </c>
      <c r="D87" s="247">
        <f>'E) Fact soc'!G93/C87</f>
        <v>15.981023527573507</v>
      </c>
      <c r="E87" s="247">
        <f>'H) Péréquation directe'!I98/'H) Péréquation directe'!C98</f>
        <v>4.8657186280799314</v>
      </c>
      <c r="F87" s="242">
        <f>'I) Dépenses thématiques'!P87</f>
        <v>-1.0622817135420795</v>
      </c>
      <c r="G87" s="190">
        <f t="shared" si="5"/>
        <v>19.784460442111357</v>
      </c>
      <c r="H87" s="242">
        <f t="shared" si="6"/>
        <v>20.846742155653438</v>
      </c>
      <c r="I87" s="247">
        <f t="shared" si="7"/>
        <v>0</v>
      </c>
      <c r="J87" s="98">
        <f t="shared" si="4"/>
        <v>0</v>
      </c>
    </row>
    <row r="88" spans="1:10" x14ac:dyDescent="0.25">
      <c r="A88" s="82">
        <f>'A) Base RI'!A90</f>
        <v>5534</v>
      </c>
      <c r="B88" s="147" t="str">
        <f>'A) Base RI'!B90</f>
        <v>Rueyres</v>
      </c>
      <c r="C88" s="158">
        <f>'B) D RI'!U90</f>
        <v>7491.8463013698638</v>
      </c>
      <c r="D88" s="247">
        <f>'E) Fact soc'!G94/C88</f>
        <v>15.952797402295046</v>
      </c>
      <c r="E88" s="247">
        <f>'H) Péréquation directe'!I99/'H) Péréquation directe'!C99</f>
        <v>3.883998779034759</v>
      </c>
      <c r="F88" s="242">
        <f>'I) Dépenses thématiques'!P88</f>
        <v>-6.4233832441544934</v>
      </c>
      <c r="G88" s="190">
        <f t="shared" si="5"/>
        <v>13.413412937175313</v>
      </c>
      <c r="H88" s="242">
        <f t="shared" si="6"/>
        <v>19.836796181329806</v>
      </c>
      <c r="I88" s="247">
        <f t="shared" si="7"/>
        <v>0</v>
      </c>
      <c r="J88" s="98">
        <f t="shared" si="4"/>
        <v>0</v>
      </c>
    </row>
    <row r="89" spans="1:10" x14ac:dyDescent="0.25">
      <c r="A89" s="82">
        <f>'A) Base RI'!A91</f>
        <v>5535</v>
      </c>
      <c r="B89" s="147" t="str">
        <f>'A) Base RI'!B91</f>
        <v>Saint-Barthélemy</v>
      </c>
      <c r="C89" s="158">
        <f>'B) D RI'!U91</f>
        <v>20337.444935064934</v>
      </c>
      <c r="D89" s="247">
        <f>'E) Fact soc'!G95/C89</f>
        <v>16.591660196478582</v>
      </c>
      <c r="E89" s="247">
        <f>'H) Péréquation directe'!I100/'H) Péréquation directe'!C100</f>
        <v>-1.139470516741633</v>
      </c>
      <c r="F89" s="242">
        <f>'I) Dépenses thématiques'!P89</f>
        <v>0</v>
      </c>
      <c r="G89" s="190">
        <f t="shared" si="5"/>
        <v>15.452189679736948</v>
      </c>
      <c r="H89" s="242">
        <f t="shared" si="6"/>
        <v>15.452189679736948</v>
      </c>
      <c r="I89" s="247">
        <f t="shared" si="7"/>
        <v>0</v>
      </c>
      <c r="J89" s="98">
        <f t="shared" si="4"/>
        <v>0</v>
      </c>
    </row>
    <row r="90" spans="1:10" x14ac:dyDescent="0.25">
      <c r="A90" s="82">
        <f>'A) Base RI'!A92</f>
        <v>5537</v>
      </c>
      <c r="B90" s="147" t="str">
        <f>'A) Base RI'!B92</f>
        <v>Villars-le-Terroir</v>
      </c>
      <c r="C90" s="158">
        <f>'B) D RI'!U92</f>
        <v>28392.00020547945</v>
      </c>
      <c r="D90" s="247">
        <f>'E) Fact soc'!G96/C90</f>
        <v>18.977758347512175</v>
      </c>
      <c r="E90" s="247">
        <f>'H) Péréquation directe'!I101/'H) Péréquation directe'!C101</f>
        <v>5.5200383171598624</v>
      </c>
      <c r="F90" s="242">
        <f>'I) Dépenses thématiques'!P90</f>
        <v>-0.15550154860691839</v>
      </c>
      <c r="G90" s="190">
        <f t="shared" si="5"/>
        <v>24.34229511606512</v>
      </c>
      <c r="H90" s="242">
        <f t="shared" si="6"/>
        <v>24.497796664672038</v>
      </c>
      <c r="I90" s="247">
        <f t="shared" si="7"/>
        <v>0</v>
      </c>
      <c r="J90" s="98">
        <f t="shared" si="4"/>
        <v>0</v>
      </c>
    </row>
    <row r="91" spans="1:10" x14ac:dyDescent="0.25">
      <c r="A91" s="82">
        <f>'A) Base RI'!A93</f>
        <v>5539</v>
      </c>
      <c r="B91" s="147" t="str">
        <f>'A) Base RI'!B93</f>
        <v>Vuarrens</v>
      </c>
      <c r="C91" s="158">
        <f>'B) D RI'!U93</f>
        <v>22715.815066666666</v>
      </c>
      <c r="D91" s="247">
        <f>'E) Fact soc'!G97/C91</f>
        <v>20.403918705414103</v>
      </c>
      <c r="E91" s="247">
        <f>'H) Péréquation directe'!I102/'H) Péréquation directe'!C102</f>
        <v>-3.3357558692976528</v>
      </c>
      <c r="F91" s="242">
        <f>'I) Dépenses thématiques'!P91</f>
        <v>-2.1791425865514324</v>
      </c>
      <c r="G91" s="190">
        <f t="shared" si="5"/>
        <v>14.889020249565018</v>
      </c>
      <c r="H91" s="242">
        <f t="shared" si="6"/>
        <v>17.06816283611645</v>
      </c>
      <c r="I91" s="247">
        <f t="shared" si="7"/>
        <v>0</v>
      </c>
      <c r="J91" s="98">
        <f t="shared" si="4"/>
        <v>0</v>
      </c>
    </row>
    <row r="92" spans="1:10" x14ac:dyDescent="0.25">
      <c r="A92" s="82">
        <f>'A) Base RI'!A94</f>
        <v>5540</v>
      </c>
      <c r="B92" s="147" t="str">
        <f>'A) Base RI'!B94</f>
        <v>Montilliez</v>
      </c>
      <c r="C92" s="158">
        <f>'B) D RI'!U94</f>
        <v>49229.090304054065</v>
      </c>
      <c r="D92" s="247">
        <f>'E) Fact soc'!G98/C92</f>
        <v>17.416827638838122</v>
      </c>
      <c r="E92" s="247">
        <f>'H) Péréquation directe'!I103/'H) Péréquation directe'!C103</f>
        <v>2.0662049563522316</v>
      </c>
      <c r="F92" s="242">
        <f>'I) Dépenses thématiques'!P92</f>
        <v>-2.9744608136287529</v>
      </c>
      <c r="G92" s="190">
        <f>SUM(D92:F92)</f>
        <v>16.508571781561599</v>
      </c>
      <c r="H92" s="242">
        <f>G92-F92</f>
        <v>19.483032595190352</v>
      </c>
      <c r="I92" s="247">
        <f t="shared" si="7"/>
        <v>0</v>
      </c>
      <c r="J92" s="98">
        <f>-I92*C92</f>
        <v>0</v>
      </c>
    </row>
    <row r="93" spans="1:10" x14ac:dyDescent="0.25">
      <c r="A93" s="82">
        <f>'A) Base RI'!A95</f>
        <v>5541</v>
      </c>
      <c r="B93" s="147" t="str">
        <f>'A) Base RI'!B95</f>
        <v>Goumoëns</v>
      </c>
      <c r="C93" s="158">
        <f>'B) D RI'!U95</f>
        <v>28419.250909090908</v>
      </c>
      <c r="D93" s="247">
        <f>'E) Fact soc'!G99/C93</f>
        <v>17.661682588356925</v>
      </c>
      <c r="E93" s="247">
        <f>'H) Péréquation directe'!I104/'H) Péréquation directe'!C104</f>
        <v>3.7444503866091576</v>
      </c>
      <c r="F93" s="242">
        <f>'I) Dépenses thématiques'!P93</f>
        <v>-2.2999198750552443</v>
      </c>
      <c r="G93" s="190">
        <f>SUM(D93:F93)</f>
        <v>19.106213099910839</v>
      </c>
      <c r="H93" s="242">
        <f>G93-F93</f>
        <v>21.406132974966084</v>
      </c>
      <c r="I93" s="247">
        <f t="shared" si="7"/>
        <v>0</v>
      </c>
      <c r="J93" s="98">
        <f>-I93*C93</f>
        <v>0</v>
      </c>
    </row>
    <row r="94" spans="1:10" x14ac:dyDescent="0.25">
      <c r="A94" s="82">
        <f>'A) Base RI'!A96</f>
        <v>5551</v>
      </c>
      <c r="B94" s="147" t="str">
        <f>'A) Base RI'!B96</f>
        <v>Bonvillars</v>
      </c>
      <c r="C94" s="158">
        <f>'B) D RI'!U96</f>
        <v>20657.866545454548</v>
      </c>
      <c r="D94" s="247">
        <f>'E) Fact soc'!G100/C94</f>
        <v>18.963043430943145</v>
      </c>
      <c r="E94" s="247">
        <f>'H) Péréquation directe'!I105/'H) Péréquation directe'!C105</f>
        <v>14.970407772951802</v>
      </c>
      <c r="F94" s="242">
        <f>'I) Dépenses thématiques'!P94</f>
        <v>-2.2108769024867883</v>
      </c>
      <c r="G94" s="190">
        <f t="shared" si="5"/>
        <v>31.722574301408159</v>
      </c>
      <c r="H94" s="242">
        <f t="shared" si="6"/>
        <v>33.933451203894947</v>
      </c>
      <c r="I94" s="247">
        <f t="shared" si="7"/>
        <v>0</v>
      </c>
      <c r="J94" s="98">
        <f t="shared" si="4"/>
        <v>0</v>
      </c>
    </row>
    <row r="95" spans="1:10" x14ac:dyDescent="0.25">
      <c r="A95" s="82">
        <f>'A) Base RI'!A97</f>
        <v>5552</v>
      </c>
      <c r="B95" s="147" t="str">
        <f>'A) Base RI'!B97</f>
        <v>Bullet</v>
      </c>
      <c r="C95" s="158">
        <f>'B) D RI'!U97</f>
        <v>15344.039999999997</v>
      </c>
      <c r="D95" s="247">
        <f>'E) Fact soc'!G101/C95</f>
        <v>20.576965193799115</v>
      </c>
      <c r="E95" s="247">
        <f>'H) Péréquation directe'!I106/'H) Péréquation directe'!C106</f>
        <v>0.96135301636757819</v>
      </c>
      <c r="F95" s="242">
        <f>'I) Dépenses thématiques'!P95</f>
        <v>-10.707936110698357</v>
      </c>
      <c r="G95" s="190">
        <f t="shared" si="5"/>
        <v>10.830382099468336</v>
      </c>
      <c r="H95" s="242">
        <f t="shared" si="6"/>
        <v>21.538318210166693</v>
      </c>
      <c r="I95" s="247">
        <f t="shared" si="7"/>
        <v>0</v>
      </c>
      <c r="J95" s="98">
        <f t="shared" si="4"/>
        <v>0</v>
      </c>
    </row>
    <row r="96" spans="1:10" x14ac:dyDescent="0.25">
      <c r="A96" s="82">
        <f>'A) Base RI'!A98</f>
        <v>5553</v>
      </c>
      <c r="B96" s="147" t="str">
        <f>'A) Base RI'!B98</f>
        <v>Champagne</v>
      </c>
      <c r="C96" s="158">
        <f>'B) D RI'!U98</f>
        <v>34561.95904761905</v>
      </c>
      <c r="D96" s="247">
        <f>'E) Fact soc'!G102/C96</f>
        <v>16.887976913068162</v>
      </c>
      <c r="E96" s="247">
        <f>'H) Péréquation directe'!I107/'H) Péréquation directe'!C107</f>
        <v>11.26667183727117</v>
      </c>
      <c r="F96" s="242">
        <f>'I) Dépenses thématiques'!P96</f>
        <v>-3.3120807718764396</v>
      </c>
      <c r="G96" s="190">
        <f t="shared" si="5"/>
        <v>24.842567978462895</v>
      </c>
      <c r="H96" s="242">
        <f t="shared" si="6"/>
        <v>28.154648750339334</v>
      </c>
      <c r="I96" s="247">
        <f t="shared" si="7"/>
        <v>0</v>
      </c>
      <c r="J96" s="98">
        <f t="shared" si="4"/>
        <v>0</v>
      </c>
    </row>
    <row r="97" spans="1:10" x14ac:dyDescent="0.25">
      <c r="A97" s="82">
        <f>'A) Base RI'!A99</f>
        <v>5554</v>
      </c>
      <c r="B97" s="147" t="str">
        <f>'A) Base RI'!B99</f>
        <v>Concise</v>
      </c>
      <c r="C97" s="158">
        <f>'B) D RI'!U99</f>
        <v>28927.786533333336</v>
      </c>
      <c r="D97" s="247">
        <f>'E) Fact soc'!G103/C97</f>
        <v>17.388908963144242</v>
      </c>
      <c r="E97" s="247">
        <f>'H) Péréquation directe'!I108/'H) Péréquation directe'!C108</f>
        <v>6.0949692440734715</v>
      </c>
      <c r="F97" s="242">
        <f>'I) Dépenses thématiques'!P97</f>
        <v>-2.6913569730019993</v>
      </c>
      <c r="G97" s="190">
        <f t="shared" si="5"/>
        <v>20.792521234215716</v>
      </c>
      <c r="H97" s="242">
        <f t="shared" si="6"/>
        <v>23.483878207217714</v>
      </c>
      <c r="I97" s="247">
        <f t="shared" si="7"/>
        <v>0</v>
      </c>
      <c r="J97" s="98">
        <f t="shared" si="4"/>
        <v>0</v>
      </c>
    </row>
    <row r="98" spans="1:10" x14ac:dyDescent="0.25">
      <c r="A98" s="82">
        <f>'A) Base RI'!A100</f>
        <v>5555</v>
      </c>
      <c r="B98" s="147" t="str">
        <f>'A) Base RI'!B100</f>
        <v>Corcelles-près-Concise</v>
      </c>
      <c r="C98" s="158">
        <f>'B) D RI'!U100</f>
        <v>9553.9681690140824</v>
      </c>
      <c r="D98" s="247">
        <f>'E) Fact soc'!G104/C98</f>
        <v>19.567773526977621</v>
      </c>
      <c r="E98" s="247">
        <f>'H) Péréquation directe'!I109/'H) Péréquation directe'!C109</f>
        <v>4.6771945916679307</v>
      </c>
      <c r="F98" s="242">
        <f>'I) Dépenses thématiques'!P98</f>
        <v>-13.142392540853244</v>
      </c>
      <c r="G98" s="190">
        <f t="shared" si="5"/>
        <v>11.102575577792308</v>
      </c>
      <c r="H98" s="242">
        <f t="shared" si="6"/>
        <v>24.244968118645552</v>
      </c>
      <c r="I98" s="247">
        <f t="shared" si="7"/>
        <v>0</v>
      </c>
      <c r="J98" s="98">
        <f t="shared" si="4"/>
        <v>0</v>
      </c>
    </row>
    <row r="99" spans="1:10" x14ac:dyDescent="0.25">
      <c r="A99" s="82">
        <f>'A) Base RI'!A101</f>
        <v>5556</v>
      </c>
      <c r="B99" s="147" t="str">
        <f>'A) Base RI'!B101</f>
        <v>Fiez</v>
      </c>
      <c r="C99" s="158">
        <f>'B) D RI'!U101</f>
        <v>10930.395096618358</v>
      </c>
      <c r="D99" s="247">
        <f>'E) Fact soc'!G105/C99</f>
        <v>18.795169352593408</v>
      </c>
      <c r="E99" s="247">
        <f>'H) Péréquation directe'!I110/'H) Péréquation directe'!C110</f>
        <v>2.5048929116823646</v>
      </c>
      <c r="F99" s="242">
        <f>'I) Dépenses thématiques'!P99</f>
        <v>-4.4883098521459539</v>
      </c>
      <c r="G99" s="190">
        <f t="shared" si="5"/>
        <v>16.81175241212982</v>
      </c>
      <c r="H99" s="242">
        <f t="shared" si="6"/>
        <v>21.300062264275773</v>
      </c>
      <c r="I99" s="247">
        <f t="shared" si="7"/>
        <v>0</v>
      </c>
      <c r="J99" s="98">
        <f t="shared" si="4"/>
        <v>0</v>
      </c>
    </row>
    <row r="100" spans="1:10" x14ac:dyDescent="0.25">
      <c r="A100" s="82">
        <f>'A) Base RI'!A102</f>
        <v>5557</v>
      </c>
      <c r="B100" s="147" t="str">
        <f>'A) Base RI'!B102</f>
        <v>Fontaines-sur-Grandson</v>
      </c>
      <c r="C100" s="158">
        <f>'B) D RI'!U102</f>
        <v>4594.8315942028985</v>
      </c>
      <c r="D100" s="247">
        <f>'E) Fact soc'!G106/C100</f>
        <v>22.803330328262444</v>
      </c>
      <c r="E100" s="247">
        <f>'H) Péréquation directe'!I111/'H) Péréquation directe'!C111</f>
        <v>0.43380927305757822</v>
      </c>
      <c r="F100" s="242">
        <f>'I) Dépenses thématiques'!P100</f>
        <v>-0.8352863258018508</v>
      </c>
      <c r="G100" s="190">
        <f t="shared" si="5"/>
        <v>22.401853275518171</v>
      </c>
      <c r="H100" s="242">
        <f t="shared" si="6"/>
        <v>23.23713960132002</v>
      </c>
      <c r="I100" s="247">
        <f t="shared" si="7"/>
        <v>0</v>
      </c>
      <c r="J100" s="98">
        <f t="shared" si="4"/>
        <v>0</v>
      </c>
    </row>
    <row r="101" spans="1:10" x14ac:dyDescent="0.25">
      <c r="A101" s="82">
        <f>'A) Base RI'!A103</f>
        <v>5559</v>
      </c>
      <c r="B101" s="147" t="str">
        <f>'A) Base RI'!B103</f>
        <v>Giez</v>
      </c>
      <c r="C101" s="158">
        <f>'B) D RI'!U103</f>
        <v>14748.809242424242</v>
      </c>
      <c r="D101" s="247">
        <f>'E) Fact soc'!G107/C101</f>
        <v>24.097438478430156</v>
      </c>
      <c r="E101" s="247">
        <f>'H) Péréquation directe'!I112/'H) Péréquation directe'!C112</f>
        <v>13.494942706598538</v>
      </c>
      <c r="F101" s="242">
        <f>'I) Dépenses thématiques'!P101</f>
        <v>-1.200435893432835</v>
      </c>
      <c r="G101" s="190">
        <f t="shared" si="5"/>
        <v>36.39194529159586</v>
      </c>
      <c r="H101" s="242">
        <f t="shared" si="6"/>
        <v>37.592381185028692</v>
      </c>
      <c r="I101" s="247">
        <f t="shared" si="7"/>
        <v>0</v>
      </c>
      <c r="J101" s="98">
        <f t="shared" si="4"/>
        <v>0</v>
      </c>
    </row>
    <row r="102" spans="1:10" x14ac:dyDescent="0.25">
      <c r="A102" s="82">
        <f>'A) Base RI'!A104</f>
        <v>5560</v>
      </c>
      <c r="B102" s="147" t="str">
        <f>'A) Base RI'!B104</f>
        <v>Grandevent</v>
      </c>
      <c r="C102" s="158">
        <f>'B) D RI'!U104</f>
        <v>6117.1622727272734</v>
      </c>
      <c r="D102" s="247">
        <f>'E) Fact soc'!G108/C102</f>
        <v>22.334302008876911</v>
      </c>
      <c r="E102" s="247">
        <f>'H) Péréquation directe'!I113/'H) Péréquation directe'!C113</f>
        <v>4.1147214884547534</v>
      </c>
      <c r="F102" s="242">
        <f>'I) Dépenses thématiques'!P102</f>
        <v>0</v>
      </c>
      <c r="G102" s="190">
        <f t="shared" si="5"/>
        <v>26.449023497331666</v>
      </c>
      <c r="H102" s="242">
        <f t="shared" si="6"/>
        <v>26.449023497331666</v>
      </c>
      <c r="I102" s="247">
        <f t="shared" si="7"/>
        <v>0</v>
      </c>
      <c r="J102" s="98">
        <f t="shared" si="4"/>
        <v>0</v>
      </c>
    </row>
    <row r="103" spans="1:10" x14ac:dyDescent="0.25">
      <c r="A103" s="82">
        <f>'A) Base RI'!A105</f>
        <v>5561</v>
      </c>
      <c r="B103" s="147" t="str">
        <f>'A) Base RI'!B105</f>
        <v>Grandson</v>
      </c>
      <c r="C103" s="158">
        <f>'B) D RI'!U105</f>
        <v>108535.21144927538</v>
      </c>
      <c r="D103" s="247">
        <f>'E) Fact soc'!G109/C103</f>
        <v>18.055685480528041</v>
      </c>
      <c r="E103" s="247">
        <f>'H) Péréquation directe'!I114/'H) Péréquation directe'!C114</f>
        <v>4.1753700595698797</v>
      </c>
      <c r="F103" s="242">
        <f>'I) Dépenses thématiques'!P103</f>
        <v>-5.3139805257536139</v>
      </c>
      <c r="G103" s="190">
        <f t="shared" si="5"/>
        <v>16.917075014344306</v>
      </c>
      <c r="H103" s="242">
        <f t="shared" si="6"/>
        <v>22.23105554009792</v>
      </c>
      <c r="I103" s="247">
        <f t="shared" si="7"/>
        <v>0</v>
      </c>
      <c r="J103" s="98">
        <f t="shared" si="4"/>
        <v>0</v>
      </c>
    </row>
    <row r="104" spans="1:10" x14ac:dyDescent="0.25">
      <c r="A104" s="82">
        <f>'A) Base RI'!A106</f>
        <v>5562</v>
      </c>
      <c r="B104" s="147" t="str">
        <f>'A) Base RI'!B106</f>
        <v>Mauborget</v>
      </c>
      <c r="C104" s="158">
        <f>'B) D RI'!U106</f>
        <v>3378.0009047619046</v>
      </c>
      <c r="D104" s="247">
        <f>'E) Fact soc'!G110/C104</f>
        <v>22.994169173633743</v>
      </c>
      <c r="E104" s="247">
        <f>'H) Péréquation directe'!I115/'H) Péréquation directe'!C115</f>
        <v>6.9559965839043318</v>
      </c>
      <c r="F104" s="242">
        <f>'I) Dépenses thématiques'!P104</f>
        <v>-4.5213131762250089</v>
      </c>
      <c r="G104" s="190">
        <f t="shared" si="5"/>
        <v>25.428852581313066</v>
      </c>
      <c r="H104" s="242">
        <f t="shared" si="6"/>
        <v>29.950165757538073</v>
      </c>
      <c r="I104" s="247">
        <f t="shared" si="7"/>
        <v>0</v>
      </c>
      <c r="J104" s="98">
        <f t="shared" si="4"/>
        <v>0</v>
      </c>
    </row>
    <row r="105" spans="1:10" x14ac:dyDescent="0.25">
      <c r="A105" s="82">
        <f>'A) Base RI'!A107</f>
        <v>5563</v>
      </c>
      <c r="B105" s="147" t="str">
        <f>'A) Base RI'!B107</f>
        <v>Mutrux</v>
      </c>
      <c r="C105" s="158">
        <f>'B) D RI'!U107</f>
        <v>3733.6552866242037</v>
      </c>
      <c r="D105" s="247">
        <f>'E) Fact soc'!G111/C105</f>
        <v>17.247773163337673</v>
      </c>
      <c r="E105" s="247">
        <f>'H) Péréquation directe'!I116/'H) Péréquation directe'!C116</f>
        <v>-3.8215799779045536</v>
      </c>
      <c r="F105" s="242">
        <f>'I) Dépenses thématiques'!P105</f>
        <v>-10.736663382827928</v>
      </c>
      <c r="G105" s="190">
        <f t="shared" si="5"/>
        <v>2.6895298026051915</v>
      </c>
      <c r="H105" s="242">
        <f t="shared" si="6"/>
        <v>13.426193185433119</v>
      </c>
      <c r="I105" s="247">
        <f t="shared" si="7"/>
        <v>0</v>
      </c>
      <c r="J105" s="98">
        <f t="shared" si="4"/>
        <v>0</v>
      </c>
    </row>
    <row r="106" spans="1:10" x14ac:dyDescent="0.25">
      <c r="A106" s="82">
        <f>'A) Base RI'!A108</f>
        <v>5564</v>
      </c>
      <c r="B106" s="147" t="str">
        <f>'A) Base RI'!B108</f>
        <v>Novalles</v>
      </c>
      <c r="C106" s="158">
        <f>'B) D RI'!U108</f>
        <v>2399.5770723684213</v>
      </c>
      <c r="D106" s="247">
        <f>'E) Fact soc'!G112/C106</f>
        <v>18.299919500211345</v>
      </c>
      <c r="E106" s="247">
        <f>'H) Péréquation directe'!I117/'H) Péréquation directe'!C117</f>
        <v>-5.5489779287400527</v>
      </c>
      <c r="F106" s="242">
        <f>'I) Dépenses thématiques'!P106</f>
        <v>-3.6018847235730669</v>
      </c>
      <c r="G106" s="190">
        <f t="shared" si="5"/>
        <v>9.1490568478982262</v>
      </c>
      <c r="H106" s="242">
        <f t="shared" si="6"/>
        <v>12.750941571471293</v>
      </c>
      <c r="I106" s="247">
        <f t="shared" si="7"/>
        <v>0</v>
      </c>
      <c r="J106" s="98">
        <f t="shared" si="4"/>
        <v>0</v>
      </c>
    </row>
    <row r="107" spans="1:10" x14ac:dyDescent="0.25">
      <c r="A107" s="82">
        <f>'A) Base RI'!A109</f>
        <v>5565</v>
      </c>
      <c r="B107" s="147" t="str">
        <f>'A) Base RI'!B109</f>
        <v>Onnens</v>
      </c>
      <c r="C107" s="158">
        <f>'B) D RI'!U109</f>
        <v>18028.040615384612</v>
      </c>
      <c r="D107" s="247">
        <f>'E) Fact soc'!G113/C107</f>
        <v>31.401775738190246</v>
      </c>
      <c r="E107" s="247">
        <f>'H) Péréquation directe'!I118/'H) Péréquation directe'!C118</f>
        <v>12.147160121819109</v>
      </c>
      <c r="F107" s="242">
        <f>'I) Dépenses thématiques'!P107</f>
        <v>-0.59424095100261942</v>
      </c>
      <c r="G107" s="190">
        <f t="shared" si="5"/>
        <v>42.954694909006733</v>
      </c>
      <c r="H107" s="242">
        <f t="shared" si="6"/>
        <v>43.548935860009351</v>
      </c>
      <c r="I107" s="247">
        <f t="shared" si="7"/>
        <v>0</v>
      </c>
      <c r="J107" s="98">
        <f t="shared" si="4"/>
        <v>0</v>
      </c>
    </row>
    <row r="108" spans="1:10" x14ac:dyDescent="0.25">
      <c r="A108" s="82">
        <f>'A) Base RI'!A110</f>
        <v>5566</v>
      </c>
      <c r="B108" s="147" t="str">
        <f>'A) Base RI'!B110</f>
        <v>Provence</v>
      </c>
      <c r="C108" s="158">
        <f>'B) D RI'!U110</f>
        <v>6953.5259259259255</v>
      </c>
      <c r="D108" s="247">
        <f>'E) Fact soc'!G114/C108</f>
        <v>18.003206907186289</v>
      </c>
      <c r="E108" s="247">
        <f>'H) Péréquation directe'!I119/'H) Péréquation directe'!C119</f>
        <v>-22.10348264108363</v>
      </c>
      <c r="F108" s="242">
        <f>'I) Dépenses thématiques'!P108</f>
        <v>-16.154538171947937</v>
      </c>
      <c r="G108" s="190">
        <f t="shared" si="5"/>
        <v>-20.254813905845278</v>
      </c>
      <c r="H108" s="242">
        <f t="shared" si="6"/>
        <v>-4.100275733897341</v>
      </c>
      <c r="I108" s="247">
        <f t="shared" si="7"/>
        <v>0</v>
      </c>
      <c r="J108" s="98">
        <f t="shared" si="4"/>
        <v>0</v>
      </c>
    </row>
    <row r="109" spans="1:10" x14ac:dyDescent="0.25">
      <c r="A109" s="82">
        <f>'A) Base RI'!A111</f>
        <v>5568</v>
      </c>
      <c r="B109" s="147" t="str">
        <f>'A) Base RI'!B111</f>
        <v>Sainte-Croix</v>
      </c>
      <c r="C109" s="158">
        <f>'B) D RI'!U111</f>
        <v>95577.709714285724</v>
      </c>
      <c r="D109" s="247">
        <f>'E) Fact soc'!G115/C109</f>
        <v>25.600470721478001</v>
      </c>
      <c r="E109" s="247">
        <f>'H) Péréquation directe'!I120/'H) Péréquation directe'!C120</f>
        <v>-21.702638482045302</v>
      </c>
      <c r="F109" s="242">
        <f>'I) Dépenses thématiques'!P109</f>
        <v>-9.2476896824813757</v>
      </c>
      <c r="G109" s="190">
        <f t="shared" si="5"/>
        <v>-5.3498574430486769</v>
      </c>
      <c r="H109" s="242">
        <f t="shared" si="6"/>
        <v>3.8978322394326987</v>
      </c>
      <c r="I109" s="247">
        <f t="shared" si="7"/>
        <v>0</v>
      </c>
      <c r="J109" s="98">
        <f t="shared" si="4"/>
        <v>0</v>
      </c>
    </row>
    <row r="110" spans="1:10" x14ac:dyDescent="0.25">
      <c r="A110" s="82">
        <f>'A) Base RI'!A112</f>
        <v>5571</v>
      </c>
      <c r="B110" s="147" t="str">
        <f>'A) Base RI'!B112</f>
        <v>Tévenon</v>
      </c>
      <c r="C110" s="158">
        <f>'B) D RI'!U112</f>
        <v>19746.460639269408</v>
      </c>
      <c r="D110" s="247">
        <f>'E) Fact soc'!G116/C110</f>
        <v>18.538758436591113</v>
      </c>
      <c r="E110" s="247">
        <f>'H) Péréquation directe'!I121/'H) Péréquation directe'!C121</f>
        <v>0.12603199609857565</v>
      </c>
      <c r="F110" s="242">
        <f>'I) Dépenses thématiques'!P110</f>
        <v>-3.8175955365937977</v>
      </c>
      <c r="G110" s="190">
        <f t="shared" si="5"/>
        <v>14.847194896095891</v>
      </c>
      <c r="H110" s="242">
        <f t="shared" si="6"/>
        <v>18.664790432689689</v>
      </c>
      <c r="I110" s="247">
        <f t="shared" si="7"/>
        <v>0</v>
      </c>
      <c r="J110" s="98">
        <f t="shared" si="4"/>
        <v>0</v>
      </c>
    </row>
    <row r="111" spans="1:10" x14ac:dyDescent="0.25">
      <c r="A111" s="82">
        <f>'A) Base RI'!A113</f>
        <v>5581</v>
      </c>
      <c r="B111" s="147" t="str">
        <f>'A) Base RI'!B113</f>
        <v>Belmont-sur-Lausanne</v>
      </c>
      <c r="C111" s="158">
        <f>'B) D RI'!U113</f>
        <v>180220.53318944844</v>
      </c>
      <c r="D111" s="247">
        <f>'E) Fact soc'!G117/C111</f>
        <v>17.892860040742825</v>
      </c>
      <c r="E111" s="247">
        <f>'H) Péréquation directe'!I122/'H) Péréquation directe'!C122</f>
        <v>12.579881769724658</v>
      </c>
      <c r="F111" s="242">
        <f>'I) Dépenses thématiques'!P111</f>
        <v>-3.2084468388081215</v>
      </c>
      <c r="G111" s="190">
        <f t="shared" si="5"/>
        <v>27.264294971659361</v>
      </c>
      <c r="H111" s="242">
        <f t="shared" si="6"/>
        <v>30.472741810467483</v>
      </c>
      <c r="I111" s="247">
        <f t="shared" si="7"/>
        <v>0</v>
      </c>
      <c r="J111" s="98">
        <f t="shared" si="4"/>
        <v>0</v>
      </c>
    </row>
    <row r="112" spans="1:10" x14ac:dyDescent="0.25">
      <c r="A112" s="82">
        <f>'A) Base RI'!A114</f>
        <v>5582</v>
      </c>
      <c r="B112" s="147" t="str">
        <f>'A) Base RI'!B114</f>
        <v>Cheseaux-sur-Lausanne</v>
      </c>
      <c r="C112" s="158">
        <f>'B) D RI'!U114</f>
        <v>145388.39302013422</v>
      </c>
      <c r="D112" s="247">
        <f>'E) Fact soc'!G118/C112</f>
        <v>17.004988594252769</v>
      </c>
      <c r="E112" s="247">
        <f>'H) Péréquation directe'!I123/'H) Péréquation directe'!C123</f>
        <v>4.2459393268330636</v>
      </c>
      <c r="F112" s="242">
        <f>'I) Dépenses thématiques'!P112</f>
        <v>-1.4748976554841218</v>
      </c>
      <c r="G112" s="190">
        <f t="shared" si="5"/>
        <v>19.776030265601712</v>
      </c>
      <c r="H112" s="242">
        <f t="shared" si="6"/>
        <v>21.250927921085832</v>
      </c>
      <c r="I112" s="247">
        <f t="shared" si="7"/>
        <v>0</v>
      </c>
      <c r="J112" s="98">
        <f t="shared" si="4"/>
        <v>0</v>
      </c>
    </row>
    <row r="113" spans="1:10" x14ac:dyDescent="0.25">
      <c r="A113" s="82">
        <f>'A) Base RI'!A115</f>
        <v>5583</v>
      </c>
      <c r="B113" s="147" t="str">
        <f>'A) Base RI'!B115</f>
        <v>Crissier</v>
      </c>
      <c r="C113" s="158">
        <f>'B) D RI'!U115</f>
        <v>300610.54815384618</v>
      </c>
      <c r="D113" s="247">
        <f>'E) Fact soc'!G119/C113</f>
        <v>18.623447421516737</v>
      </c>
      <c r="E113" s="247">
        <f>'H) Péréquation directe'!I124/'H) Péréquation directe'!C124</f>
        <v>6.4093700516275769</v>
      </c>
      <c r="F113" s="242">
        <f>'I) Dépenses thématiques'!P113</f>
        <v>-6.6956632505453459</v>
      </c>
      <c r="G113" s="190">
        <f t="shared" si="5"/>
        <v>18.337154222598969</v>
      </c>
      <c r="H113" s="242">
        <f t="shared" si="6"/>
        <v>25.032817473144313</v>
      </c>
      <c r="I113" s="247">
        <f t="shared" si="7"/>
        <v>0</v>
      </c>
      <c r="J113" s="98">
        <f t="shared" si="4"/>
        <v>0</v>
      </c>
    </row>
    <row r="114" spans="1:10" x14ac:dyDescent="0.25">
      <c r="A114" s="82">
        <f>'A) Base RI'!A116</f>
        <v>5584</v>
      </c>
      <c r="B114" s="147" t="str">
        <f>'A) Base RI'!B116</f>
        <v>Epalinges</v>
      </c>
      <c r="C114" s="158">
        <f>'B) D RI'!U116</f>
        <v>461506.63590909087</v>
      </c>
      <c r="D114" s="247">
        <f>'E) Fact soc'!G120/C114</f>
        <v>16.974449035349636</v>
      </c>
      <c r="E114" s="247">
        <f>'H) Péréquation directe'!I125/'H) Péréquation directe'!C125</f>
        <v>9.5696717151212756</v>
      </c>
      <c r="F114" s="242">
        <f>'I) Dépenses thématiques'!P114</f>
        <v>-5.4457418473503116</v>
      </c>
      <c r="G114" s="190">
        <f t="shared" si="5"/>
        <v>21.098378903120597</v>
      </c>
      <c r="H114" s="242">
        <f t="shared" si="6"/>
        <v>26.54412075047091</v>
      </c>
      <c r="I114" s="247">
        <f t="shared" si="7"/>
        <v>0</v>
      </c>
      <c r="J114" s="98">
        <f t="shared" si="4"/>
        <v>0</v>
      </c>
    </row>
    <row r="115" spans="1:10" x14ac:dyDescent="0.25">
      <c r="A115" s="82">
        <f>'A) Base RI'!A117</f>
        <v>5585</v>
      </c>
      <c r="B115" s="147" t="str">
        <f>'A) Base RI'!B117</f>
        <v>Jouxtens-Mézery</v>
      </c>
      <c r="C115" s="158">
        <f>'B) D RI'!U117</f>
        <v>191565.37515151518</v>
      </c>
      <c r="D115" s="247">
        <f>'E) Fact soc'!G121/C115</f>
        <v>28.783794807108723</v>
      </c>
      <c r="E115" s="247">
        <f>'H) Péréquation directe'!I126/'H) Péréquation directe'!C126</f>
        <v>16.777901149330791</v>
      </c>
      <c r="F115" s="242">
        <f>'I) Dépenses thématiques'!P115</f>
        <v>0</v>
      </c>
      <c r="G115" s="190">
        <f t="shared" si="5"/>
        <v>45.561695956439515</v>
      </c>
      <c r="H115" s="242">
        <f t="shared" si="6"/>
        <v>45.561695956439515</v>
      </c>
      <c r="I115" s="247">
        <f t="shared" si="7"/>
        <v>0</v>
      </c>
      <c r="J115" s="98">
        <f t="shared" si="4"/>
        <v>0</v>
      </c>
    </row>
    <row r="116" spans="1:10" x14ac:dyDescent="0.25">
      <c r="A116" s="82">
        <f>'A) Base RI'!A118</f>
        <v>5586</v>
      </c>
      <c r="B116" s="147" t="str">
        <f>'A) Base RI'!B118</f>
        <v>Lausanne</v>
      </c>
      <c r="C116" s="158">
        <f>'B) D RI'!U118</f>
        <v>6035853.3985654004</v>
      </c>
      <c r="D116" s="247">
        <f>'E) Fact soc'!G122/C116</f>
        <v>17.711347487481298</v>
      </c>
      <c r="E116" s="247">
        <f>'H) Péréquation directe'!I127/'H) Péréquation directe'!C127</f>
        <v>-3.6774264605690448</v>
      </c>
      <c r="F116" s="242">
        <f>'I) Dépenses thématiques'!P116</f>
        <v>-7.6976196955086751</v>
      </c>
      <c r="G116" s="190">
        <f t="shared" si="5"/>
        <v>6.3363013314035781</v>
      </c>
      <c r="H116" s="242">
        <f t="shared" si="6"/>
        <v>14.033921026912253</v>
      </c>
      <c r="I116" s="247">
        <f t="shared" si="7"/>
        <v>0</v>
      </c>
      <c r="J116" s="98">
        <f t="shared" ref="J116:J169" si="8">-I116*C116</f>
        <v>0</v>
      </c>
    </row>
    <row r="117" spans="1:10" x14ac:dyDescent="0.25">
      <c r="A117" s="82">
        <f>'A) Base RI'!A119</f>
        <v>5587</v>
      </c>
      <c r="B117" s="147" t="str">
        <f>'A) Base RI'!B119</f>
        <v>Le Mont-sur-Lausanne</v>
      </c>
      <c r="C117" s="158">
        <f>'B) D RI'!U119</f>
        <v>349051.38502222218</v>
      </c>
      <c r="D117" s="247">
        <f>'E) Fact soc'!G123/C117</f>
        <v>18.076940215681425</v>
      </c>
      <c r="E117" s="247">
        <f>'H) Péréquation directe'!I128/'H) Péréquation directe'!C128</f>
        <v>10.069462981148849</v>
      </c>
      <c r="F117" s="242">
        <f>'I) Dépenses thématiques'!P117</f>
        <v>-5.8504767138224922</v>
      </c>
      <c r="G117" s="190">
        <f t="shared" ref="G117:G170" si="9">SUM(D117:F117)</f>
        <v>22.295926483007783</v>
      </c>
      <c r="H117" s="242">
        <f t="shared" ref="H117:H170" si="10">G117-F117</f>
        <v>28.146403196830274</v>
      </c>
      <c r="I117" s="247">
        <f t="shared" ref="I117:I170" si="11">IF(H117&lt;I$4,H117-I$4,0)</f>
        <v>0</v>
      </c>
      <c r="J117" s="98">
        <f t="shared" si="8"/>
        <v>0</v>
      </c>
    </row>
    <row r="118" spans="1:10" x14ac:dyDescent="0.25">
      <c r="A118" s="82">
        <f>'A) Base RI'!A120</f>
        <v>5588</v>
      </c>
      <c r="B118" s="147" t="str">
        <f>'A) Base RI'!B120</f>
        <v>Paudex</v>
      </c>
      <c r="C118" s="158">
        <f>'B) D RI'!U120</f>
        <v>152550.33605110337</v>
      </c>
      <c r="D118" s="247">
        <f>'E) Fact soc'!G124/C118</f>
        <v>25.338087443848185</v>
      </c>
      <c r="E118" s="247">
        <f>'H) Péréquation directe'!I129/'H) Péréquation directe'!C129</f>
        <v>16.388247797646539</v>
      </c>
      <c r="F118" s="242">
        <f>'I) Dépenses thématiques'!P118</f>
        <v>0</v>
      </c>
      <c r="G118" s="190">
        <f t="shared" si="9"/>
        <v>41.726335241494724</v>
      </c>
      <c r="H118" s="242">
        <f t="shared" si="10"/>
        <v>41.726335241494724</v>
      </c>
      <c r="I118" s="247">
        <f t="shared" si="11"/>
        <v>0</v>
      </c>
      <c r="J118" s="98">
        <f t="shared" si="8"/>
        <v>0</v>
      </c>
    </row>
    <row r="119" spans="1:10" x14ac:dyDescent="0.25">
      <c r="A119" s="82">
        <f>'A) Base RI'!A121</f>
        <v>5589</v>
      </c>
      <c r="B119" s="147" t="str">
        <f>'A) Base RI'!B121</f>
        <v>Prilly</v>
      </c>
      <c r="C119" s="158">
        <f>'B) D RI'!U121</f>
        <v>409964.00829931977</v>
      </c>
      <c r="D119" s="247">
        <f>'E) Fact soc'!G125/C119</f>
        <v>16.94202416127175</v>
      </c>
      <c r="E119" s="247">
        <f>'H) Péréquation directe'!I130/'H) Péréquation directe'!C130</f>
        <v>-3.2353907903456567</v>
      </c>
      <c r="F119" s="242">
        <f>'I) Dépenses thématiques'!P119</f>
        <v>-6.8568433889143048</v>
      </c>
      <c r="G119" s="190">
        <f t="shared" si="9"/>
        <v>6.8497899820117887</v>
      </c>
      <c r="H119" s="242">
        <f t="shared" si="10"/>
        <v>13.706633370926093</v>
      </c>
      <c r="I119" s="247">
        <f t="shared" si="11"/>
        <v>0</v>
      </c>
      <c r="J119" s="98">
        <f t="shared" si="8"/>
        <v>0</v>
      </c>
    </row>
    <row r="120" spans="1:10" x14ac:dyDescent="0.25">
      <c r="A120" s="82">
        <f>'A) Base RI'!A122</f>
        <v>5590</v>
      </c>
      <c r="B120" s="147" t="str">
        <f>'A) Base RI'!B122</f>
        <v>Pully</v>
      </c>
      <c r="C120" s="158">
        <f>'B) D RI'!U122</f>
        <v>1412228.1927210884</v>
      </c>
      <c r="D120" s="247">
        <f>'E) Fact soc'!G126/C120</f>
        <v>24.888324104430261</v>
      </c>
      <c r="E120" s="247">
        <f>'H) Péréquation directe'!I131/'H) Péréquation directe'!C131</f>
        <v>8.4429598427966326</v>
      </c>
      <c r="F120" s="242">
        <f>'I) Dépenses thématiques'!P120</f>
        <v>-1.468252606983655</v>
      </c>
      <c r="G120" s="190">
        <f t="shared" si="9"/>
        <v>31.863031340243239</v>
      </c>
      <c r="H120" s="242">
        <f t="shared" si="10"/>
        <v>33.331283947226893</v>
      </c>
      <c r="I120" s="247">
        <f t="shared" si="11"/>
        <v>0</v>
      </c>
      <c r="J120" s="98">
        <f t="shared" si="8"/>
        <v>0</v>
      </c>
    </row>
    <row r="121" spans="1:10" x14ac:dyDescent="0.25">
      <c r="A121" s="82">
        <f>'A) Base RI'!A123</f>
        <v>5591</v>
      </c>
      <c r="B121" s="147" t="str">
        <f>'A) Base RI'!B123</f>
        <v>Renens</v>
      </c>
      <c r="C121" s="158">
        <f>'B) D RI'!U123</f>
        <v>507224.92132848047</v>
      </c>
      <c r="D121" s="247">
        <f>'E) Fact soc'!G127/C121</f>
        <v>19.237964392625152</v>
      </c>
      <c r="E121" s="247">
        <f>'H) Péréquation directe'!I132/'H) Péréquation directe'!C132</f>
        <v>-30.176793028504171</v>
      </c>
      <c r="F121" s="242">
        <f>'I) Dépenses thématiques'!P121</f>
        <v>-10.061246570128752</v>
      </c>
      <c r="G121" s="190">
        <f t="shared" si="9"/>
        <v>-21.000075206007772</v>
      </c>
      <c r="H121" s="242">
        <f t="shared" si="10"/>
        <v>-10.93882863587902</v>
      </c>
      <c r="I121" s="247">
        <f t="shared" si="11"/>
        <v>-5.4388286358790197</v>
      </c>
      <c r="J121" s="98">
        <f t="shared" si="8"/>
        <v>2758709.4269528226</v>
      </c>
    </row>
    <row r="122" spans="1:10" x14ac:dyDescent="0.25">
      <c r="A122" s="82">
        <f>'A) Base RI'!A124</f>
        <v>5592</v>
      </c>
      <c r="B122" s="147" t="str">
        <f>'A) Base RI'!B124</f>
        <v>Romanel-sur-Lausanne</v>
      </c>
      <c r="C122" s="158">
        <f>'B) D RI'!U124</f>
        <v>115467.46028571429</v>
      </c>
      <c r="D122" s="247">
        <f>'E) Fact soc'!G128/C122</f>
        <v>17.557660888343616</v>
      </c>
      <c r="E122" s="247">
        <f>'H) Péréquation directe'!I133/'H) Péréquation directe'!C133</f>
        <v>5.5075914248961757</v>
      </c>
      <c r="F122" s="242">
        <f>'I) Dépenses thématiques'!P122</f>
        <v>-1.0978677428803187</v>
      </c>
      <c r="G122" s="190">
        <f t="shared" si="9"/>
        <v>21.967384570359474</v>
      </c>
      <c r="H122" s="242">
        <f t="shared" si="10"/>
        <v>23.065252313239792</v>
      </c>
      <c r="I122" s="247">
        <f t="shared" si="11"/>
        <v>0</v>
      </c>
      <c r="J122" s="98">
        <f t="shared" si="8"/>
        <v>0</v>
      </c>
    </row>
    <row r="123" spans="1:10" x14ac:dyDescent="0.25">
      <c r="A123" s="82">
        <f>'A) Base RI'!A125</f>
        <v>5601</v>
      </c>
      <c r="B123" s="147" t="str">
        <f>'A) Base RI'!B125</f>
        <v>Chexbres</v>
      </c>
      <c r="C123" s="158">
        <f>'B) D RI'!U125</f>
        <v>102004.96828125001</v>
      </c>
      <c r="D123" s="247">
        <f>'E) Fact soc'!G129/C123</f>
        <v>18.371135430675487</v>
      </c>
      <c r="E123" s="247">
        <f>'H) Péréquation directe'!I134/'H) Péréquation directe'!C134</f>
        <v>13.526723484640561</v>
      </c>
      <c r="F123" s="242">
        <f>'I) Dépenses thématiques'!P123</f>
        <v>-1.5535223692543272</v>
      </c>
      <c r="G123" s="190">
        <f t="shared" si="9"/>
        <v>30.344336546061722</v>
      </c>
      <c r="H123" s="242">
        <f t="shared" si="10"/>
        <v>31.89785891531605</v>
      </c>
      <c r="I123" s="247">
        <f t="shared" si="11"/>
        <v>0</v>
      </c>
      <c r="J123" s="98">
        <f t="shared" si="8"/>
        <v>0</v>
      </c>
    </row>
    <row r="124" spans="1:10" x14ac:dyDescent="0.25">
      <c r="A124" s="82">
        <f>'A) Base RI'!A126</f>
        <v>5604</v>
      </c>
      <c r="B124" s="147" t="str">
        <f>'A) Base RI'!B126</f>
        <v>Forel (Lavaux)</v>
      </c>
      <c r="C124" s="158">
        <f>'B) D RI'!U126</f>
        <v>73679.184999999969</v>
      </c>
      <c r="D124" s="247">
        <f>'E) Fact soc'!G130/C124</f>
        <v>17.129768128274783</v>
      </c>
      <c r="E124" s="247">
        <f>'H) Péréquation directe'!I135/'H) Péréquation directe'!C135</f>
        <v>8.0640211654050997</v>
      </c>
      <c r="F124" s="242">
        <f>'I) Dépenses thématiques'!P124</f>
        <v>-2.8202944970143209</v>
      </c>
      <c r="G124" s="190">
        <f t="shared" si="9"/>
        <v>22.373494796665565</v>
      </c>
      <c r="H124" s="242">
        <f t="shared" si="10"/>
        <v>25.193789293679885</v>
      </c>
      <c r="I124" s="247">
        <f t="shared" si="11"/>
        <v>0</v>
      </c>
      <c r="J124" s="98">
        <f t="shared" si="8"/>
        <v>0</v>
      </c>
    </row>
    <row r="125" spans="1:10" x14ac:dyDescent="0.25">
      <c r="A125" s="82">
        <f>'A) Base RI'!A127</f>
        <v>5606</v>
      </c>
      <c r="B125" s="147" t="str">
        <f>'A) Base RI'!B127</f>
        <v>Lutry</v>
      </c>
      <c r="C125" s="158">
        <f>'B) D RI'!U127</f>
        <v>810972.19494897977</v>
      </c>
      <c r="D125" s="247">
        <f>'E) Fact soc'!G131/C125</f>
        <v>24.061886577475111</v>
      </c>
      <c r="E125" s="247">
        <f>'H) Péréquation directe'!I136/'H) Péréquation directe'!C136</f>
        <v>11.73283799198879</v>
      </c>
      <c r="F125" s="242">
        <f>'I) Dépenses thématiques'!P125</f>
        <v>-2.1195845769661812</v>
      </c>
      <c r="G125" s="190">
        <f t="shared" si="9"/>
        <v>33.675139992497719</v>
      </c>
      <c r="H125" s="242">
        <f t="shared" si="10"/>
        <v>35.794724569463902</v>
      </c>
      <c r="I125" s="247">
        <f t="shared" si="11"/>
        <v>0</v>
      </c>
      <c r="J125" s="98">
        <f t="shared" si="8"/>
        <v>0</v>
      </c>
    </row>
    <row r="126" spans="1:10" x14ac:dyDescent="0.25">
      <c r="A126" s="82">
        <f>'A) Base RI'!A128</f>
        <v>5607</v>
      </c>
      <c r="B126" s="147" t="str">
        <f>'A) Base RI'!B128</f>
        <v>Puidoux</v>
      </c>
      <c r="C126" s="158">
        <f>'B) D RI'!U128</f>
        <v>102046.9552557545</v>
      </c>
      <c r="D126" s="247">
        <f>'E) Fact soc'!G132/C126</f>
        <v>17.920647931943044</v>
      </c>
      <c r="E126" s="247">
        <f>'H) Péréquation directe'!I137/'H) Péréquation directe'!C137</f>
        <v>7.4926818677044258</v>
      </c>
      <c r="F126" s="242">
        <f>'I) Dépenses thématiques'!P126</f>
        <v>-5.4264921340587797</v>
      </c>
      <c r="G126" s="190">
        <f t="shared" si="9"/>
        <v>19.986837665588691</v>
      </c>
      <c r="H126" s="242">
        <f t="shared" si="10"/>
        <v>25.413329799647471</v>
      </c>
      <c r="I126" s="247">
        <f t="shared" si="11"/>
        <v>0</v>
      </c>
      <c r="J126" s="98">
        <f t="shared" si="8"/>
        <v>0</v>
      </c>
    </row>
    <row r="127" spans="1:10" x14ac:dyDescent="0.25">
      <c r="A127" s="82">
        <f>'A) Base RI'!A129</f>
        <v>5609</v>
      </c>
      <c r="B127" s="147" t="str">
        <f>'A) Base RI'!B129</f>
        <v>Rivaz</v>
      </c>
      <c r="C127" s="158">
        <f>'B) D RI'!U129</f>
        <v>17457.580472440943</v>
      </c>
      <c r="D127" s="247">
        <f>'E) Fact soc'!G133/C127</f>
        <v>16.119319366601246</v>
      </c>
      <c r="E127" s="247">
        <f>'H) Péréquation directe'!I138/'H) Péréquation directe'!C138</f>
        <v>16.579674397429827</v>
      </c>
      <c r="F127" s="242">
        <f>'I) Dépenses thématiques'!P127</f>
        <v>-4.0269039636378977E-2</v>
      </c>
      <c r="G127" s="190">
        <f t="shared" si="9"/>
        <v>32.658724724394695</v>
      </c>
      <c r="H127" s="242">
        <f t="shared" si="10"/>
        <v>32.698993764031073</v>
      </c>
      <c r="I127" s="247">
        <f t="shared" si="11"/>
        <v>0</v>
      </c>
      <c r="J127" s="98">
        <f t="shared" si="8"/>
        <v>0</v>
      </c>
    </row>
    <row r="128" spans="1:10" x14ac:dyDescent="0.25">
      <c r="A128" s="82">
        <f>'A) Base RI'!A130</f>
        <v>5610</v>
      </c>
      <c r="B128" s="147" t="str">
        <f>'A) Base RI'!B130</f>
        <v>St-Saphorin (Lavaux)</v>
      </c>
      <c r="C128" s="158">
        <f>'B) D RI'!U130</f>
        <v>20355.755166666662</v>
      </c>
      <c r="D128" s="247">
        <f>'E) Fact soc'!G134/C128</f>
        <v>16.503102292906966</v>
      </c>
      <c r="E128" s="247">
        <f>'H) Péréquation directe'!I139/'H) Péréquation directe'!C139</f>
        <v>16.698913757649755</v>
      </c>
      <c r="F128" s="242">
        <f>'I) Dépenses thématiques'!P128</f>
        <v>-1.9582176968444742</v>
      </c>
      <c r="G128" s="190">
        <f t="shared" si="9"/>
        <v>31.243798353712247</v>
      </c>
      <c r="H128" s="242">
        <f t="shared" si="10"/>
        <v>33.202016050556722</v>
      </c>
      <c r="I128" s="247">
        <f t="shared" si="11"/>
        <v>0</v>
      </c>
      <c r="J128" s="98">
        <f t="shared" si="8"/>
        <v>0</v>
      </c>
    </row>
    <row r="129" spans="1:10" x14ac:dyDescent="0.25">
      <c r="A129" s="82">
        <f>'A) Base RI'!A131</f>
        <v>5611</v>
      </c>
      <c r="B129" s="147" t="str">
        <f>'A) Base RI'!B131</f>
        <v>Savigny</v>
      </c>
      <c r="C129" s="158">
        <f>'B) D RI'!U131</f>
        <v>133649.01597014922</v>
      </c>
      <c r="D129" s="247">
        <f>'E) Fact soc'!G135/C129</f>
        <v>16.414153952174054</v>
      </c>
      <c r="E129" s="247">
        <f>'H) Péréquation directe'!I140/'H) Péréquation directe'!C140</f>
        <v>9.9297301589537348</v>
      </c>
      <c r="F129" s="242">
        <f>'I) Dépenses thématiques'!P129</f>
        <v>-3.2039816895894044</v>
      </c>
      <c r="G129" s="190">
        <f t="shared" si="9"/>
        <v>23.139902421538384</v>
      </c>
      <c r="H129" s="242">
        <f t="shared" si="10"/>
        <v>26.343884111127789</v>
      </c>
      <c r="I129" s="247">
        <f t="shared" si="11"/>
        <v>0</v>
      </c>
      <c r="J129" s="98">
        <f t="shared" si="8"/>
        <v>0</v>
      </c>
    </row>
    <row r="130" spans="1:10" x14ac:dyDescent="0.25">
      <c r="A130" s="82">
        <f>'A) Base RI'!A132</f>
        <v>5613</v>
      </c>
      <c r="B130" s="147" t="str">
        <f>'A) Base RI'!B132</f>
        <v>Bourg-en-Lavaux</v>
      </c>
      <c r="C130" s="158">
        <f>'B) D RI'!U132</f>
        <v>319171.56765027321</v>
      </c>
      <c r="D130" s="247">
        <f>'E) Fact soc'!G136/C130</f>
        <v>19.084217152969671</v>
      </c>
      <c r="E130" s="247">
        <f>'H) Péréquation directe'!I141/'H) Péréquation directe'!C141</f>
        <v>12.339413552466103</v>
      </c>
      <c r="F130" s="242">
        <f>'I) Dépenses thématiques'!P130</f>
        <v>-0.55851986829964717</v>
      </c>
      <c r="G130" s="190">
        <f t="shared" si="9"/>
        <v>30.865110837136129</v>
      </c>
      <c r="H130" s="242">
        <f t="shared" si="10"/>
        <v>31.423630705435777</v>
      </c>
      <c r="I130" s="247">
        <f t="shared" si="11"/>
        <v>0</v>
      </c>
      <c r="J130" s="98">
        <f t="shared" si="8"/>
        <v>0</v>
      </c>
    </row>
    <row r="131" spans="1:10" x14ac:dyDescent="0.25">
      <c r="A131" s="82">
        <f>'A) Base RI'!A133</f>
        <v>5621</v>
      </c>
      <c r="B131" s="147" t="str">
        <f>'A) Base RI'!B133</f>
        <v>Aclens</v>
      </c>
      <c r="C131" s="158">
        <f>'B) D RI'!U133</f>
        <v>40747.294721407634</v>
      </c>
      <c r="D131" s="247">
        <f>'E) Fact soc'!G137/C131</f>
        <v>21.524953125604373</v>
      </c>
      <c r="E131" s="247">
        <f>'H) Péréquation directe'!I142/'H) Péréquation directe'!C142</f>
        <v>17.078310239906372</v>
      </c>
      <c r="F131" s="242">
        <f>'I) Dépenses thématiques'!P131</f>
        <v>0</v>
      </c>
      <c r="G131" s="190">
        <f t="shared" si="9"/>
        <v>38.603263365510742</v>
      </c>
      <c r="H131" s="242">
        <f t="shared" si="10"/>
        <v>38.603263365510742</v>
      </c>
      <c r="I131" s="247">
        <f t="shared" si="11"/>
        <v>0</v>
      </c>
      <c r="J131" s="98">
        <f t="shared" si="8"/>
        <v>0</v>
      </c>
    </row>
    <row r="132" spans="1:10" x14ac:dyDescent="0.25">
      <c r="A132" s="82">
        <f>'A) Base RI'!A134</f>
        <v>5622</v>
      </c>
      <c r="B132" s="147" t="str">
        <f>'A) Base RI'!B134</f>
        <v>Bremblens</v>
      </c>
      <c r="C132" s="158">
        <f>'B) D RI'!U134</f>
        <v>25805.300909090911</v>
      </c>
      <c r="D132" s="247">
        <f>'E) Fact soc'!G138/C132</f>
        <v>16.939208139917294</v>
      </c>
      <c r="E132" s="247">
        <f>'H) Péréquation directe'!I143/'H) Péréquation directe'!C143</f>
        <v>16.637666869784436</v>
      </c>
      <c r="F132" s="242">
        <f>'I) Dépenses thématiques'!P132</f>
        <v>0</v>
      </c>
      <c r="G132" s="190">
        <f t="shared" si="9"/>
        <v>33.57687500970173</v>
      </c>
      <c r="H132" s="242">
        <f t="shared" si="10"/>
        <v>33.57687500970173</v>
      </c>
      <c r="I132" s="247">
        <f t="shared" si="11"/>
        <v>0</v>
      </c>
      <c r="J132" s="98">
        <f t="shared" si="8"/>
        <v>0</v>
      </c>
    </row>
    <row r="133" spans="1:10" x14ac:dyDescent="0.25">
      <c r="A133" s="82">
        <f>'A) Base RI'!A135</f>
        <v>5623</v>
      </c>
      <c r="B133" s="147" t="str">
        <f>'A) Base RI'!B135</f>
        <v>Buchillon</v>
      </c>
      <c r="C133" s="158">
        <f>'B) D RI'!U135</f>
        <v>91715.647358490576</v>
      </c>
      <c r="D133" s="247">
        <f>'E) Fact soc'!G139/C133</f>
        <v>28.613423635494577</v>
      </c>
      <c r="E133" s="247">
        <f>'H) Péréquation directe'!I144/'H) Péréquation directe'!C144</f>
        <v>17.559939658163355</v>
      </c>
      <c r="F133" s="242">
        <f>'I) Dépenses thématiques'!P133</f>
        <v>0</v>
      </c>
      <c r="G133" s="190">
        <f t="shared" si="9"/>
        <v>46.173363293657928</v>
      </c>
      <c r="H133" s="242">
        <f t="shared" si="10"/>
        <v>46.173363293657928</v>
      </c>
      <c r="I133" s="247">
        <f t="shared" si="11"/>
        <v>0</v>
      </c>
      <c r="J133" s="98">
        <f t="shared" si="8"/>
        <v>0</v>
      </c>
    </row>
    <row r="134" spans="1:10" x14ac:dyDescent="0.25">
      <c r="A134" s="82">
        <f>'A) Base RI'!A136</f>
        <v>5624</v>
      </c>
      <c r="B134" s="147" t="str">
        <f>'A) Base RI'!B136</f>
        <v>Bussigny</v>
      </c>
      <c r="C134" s="158">
        <f>'B) D RI'!U136</f>
        <v>356632.38967741939</v>
      </c>
      <c r="D134" s="247">
        <f>'E) Fact soc'!G140/C134</f>
        <v>17.330849989581399</v>
      </c>
      <c r="E134" s="247">
        <f>'H) Péréquation directe'!I145/'H) Péréquation directe'!C145</f>
        <v>7.9684925344100632</v>
      </c>
      <c r="F134" s="242">
        <f>'I) Dépenses thématiques'!P134</f>
        <v>-3.1038908187819256</v>
      </c>
      <c r="G134" s="190">
        <f t="shared" si="9"/>
        <v>22.195451705209535</v>
      </c>
      <c r="H134" s="242">
        <f t="shared" si="10"/>
        <v>25.299342523991463</v>
      </c>
      <c r="I134" s="247">
        <f t="shared" si="11"/>
        <v>0</v>
      </c>
      <c r="J134" s="98">
        <f t="shared" si="8"/>
        <v>0</v>
      </c>
    </row>
    <row r="135" spans="1:10" x14ac:dyDescent="0.25">
      <c r="A135" s="82">
        <f>'A) Base RI'!A137</f>
        <v>5625</v>
      </c>
      <c r="B135" s="147" t="str">
        <f>'A) Base RI'!B137</f>
        <v>Bussy-Chardonney</v>
      </c>
      <c r="C135" s="158">
        <f>'B) D RI'!U137</f>
        <v>13870.18990740741</v>
      </c>
      <c r="D135" s="247">
        <f>'E) Fact soc'!G141/C135</f>
        <v>15.206001116586286</v>
      </c>
      <c r="E135" s="247">
        <f>'H) Péréquation directe'!I146/'H) Péréquation directe'!C146</f>
        <v>11.081951014264405</v>
      </c>
      <c r="F135" s="242">
        <f>'I) Dépenses thématiques'!P135</f>
        <v>-2.2983823734796118</v>
      </c>
      <c r="G135" s="190">
        <f t="shared" si="9"/>
        <v>23.989569757371079</v>
      </c>
      <c r="H135" s="242">
        <f t="shared" si="10"/>
        <v>26.287952130850691</v>
      </c>
      <c r="I135" s="247">
        <f t="shared" si="11"/>
        <v>0</v>
      </c>
      <c r="J135" s="98">
        <f t="shared" si="8"/>
        <v>0</v>
      </c>
    </row>
    <row r="136" spans="1:10" x14ac:dyDescent="0.25">
      <c r="A136" s="82">
        <f>'A) Base RI'!A138</f>
        <v>5627</v>
      </c>
      <c r="B136" s="147" t="str">
        <f>'A) Base RI'!B138</f>
        <v>Chavannes-près-Renens</v>
      </c>
      <c r="C136" s="158">
        <f>'B) D RI'!U138</f>
        <v>170689.33978902953</v>
      </c>
      <c r="D136" s="247">
        <f>'E) Fact soc'!G142/C136</f>
        <v>16.732489945027393</v>
      </c>
      <c r="E136" s="247">
        <f>'H) Péréquation directe'!I147/'H) Péréquation directe'!C147</f>
        <v>-20.514140954381201</v>
      </c>
      <c r="F136" s="242">
        <f>'I) Dépenses thématiques'!P136</f>
        <v>-6.4408064461367065</v>
      </c>
      <c r="G136" s="190">
        <f t="shared" si="9"/>
        <v>-10.222457455490515</v>
      </c>
      <c r="H136" s="242">
        <f t="shared" si="10"/>
        <v>-3.7816510093538085</v>
      </c>
      <c r="I136" s="247">
        <f t="shared" si="11"/>
        <v>0</v>
      </c>
      <c r="J136" s="98">
        <f t="shared" si="8"/>
        <v>0</v>
      </c>
    </row>
    <row r="137" spans="1:10" x14ac:dyDescent="0.25">
      <c r="A137" s="82">
        <f>'A) Base RI'!A139</f>
        <v>5628</v>
      </c>
      <c r="B137" s="147" t="str">
        <f>'A) Base RI'!B139</f>
        <v>Chigny</v>
      </c>
      <c r="C137" s="158">
        <f>'B) D RI'!U139</f>
        <v>19182.221249999991</v>
      </c>
      <c r="D137" s="247">
        <f>'E) Fact soc'!G143/C137</f>
        <v>16.190787259700784</v>
      </c>
      <c r="E137" s="247">
        <f>'H) Péréquation directe'!I148/'H) Péréquation directe'!C148</f>
        <v>16.803906340094933</v>
      </c>
      <c r="F137" s="242">
        <f>'I) Dépenses thématiques'!P137</f>
        <v>0</v>
      </c>
      <c r="G137" s="190">
        <f t="shared" si="9"/>
        <v>32.994693599795717</v>
      </c>
      <c r="H137" s="242">
        <f t="shared" si="10"/>
        <v>32.994693599795717</v>
      </c>
      <c r="I137" s="247">
        <f t="shared" si="11"/>
        <v>0</v>
      </c>
      <c r="J137" s="98">
        <f t="shared" si="8"/>
        <v>0</v>
      </c>
    </row>
    <row r="138" spans="1:10" x14ac:dyDescent="0.25">
      <c r="A138" s="82">
        <f>'A) Base RI'!A140</f>
        <v>5629</v>
      </c>
      <c r="B138" s="147" t="str">
        <f>'A) Base RI'!B140</f>
        <v>Clarmont</v>
      </c>
      <c r="C138" s="158">
        <f>'B) D RI'!U140</f>
        <v>7795.3318666666655</v>
      </c>
      <c r="D138" s="247">
        <f>'E) Fact soc'!G144/C138</f>
        <v>16.531912614083392</v>
      </c>
      <c r="E138" s="247">
        <f>'H) Péréquation directe'!I149/'H) Péréquation directe'!C149</f>
        <v>16.567479384970039</v>
      </c>
      <c r="F138" s="242">
        <f>'I) Dépenses thématiques'!P138</f>
        <v>-9.4961960909630907</v>
      </c>
      <c r="G138" s="190">
        <f t="shared" si="9"/>
        <v>23.603195908090342</v>
      </c>
      <c r="H138" s="242">
        <f t="shared" si="10"/>
        <v>33.099391999053431</v>
      </c>
      <c r="I138" s="247">
        <f t="shared" si="11"/>
        <v>0</v>
      </c>
      <c r="J138" s="98">
        <f t="shared" si="8"/>
        <v>0</v>
      </c>
    </row>
    <row r="139" spans="1:10" x14ac:dyDescent="0.25">
      <c r="A139" s="82">
        <f>'A) Base RI'!A141</f>
        <v>5631</v>
      </c>
      <c r="B139" s="147" t="str">
        <f>'A) Base RI'!B141</f>
        <v>Denens</v>
      </c>
      <c r="C139" s="158">
        <f>'B) D RI'!U141</f>
        <v>35350.552500000005</v>
      </c>
      <c r="D139" s="247">
        <f>'E) Fact soc'!G145/C139</f>
        <v>16.777866856101127</v>
      </c>
      <c r="E139" s="247">
        <f>'H) Péréquation directe'!I150/'H) Péréquation directe'!C150</f>
        <v>16.578552768022504</v>
      </c>
      <c r="F139" s="242">
        <f>'I) Dépenses thématiques'!P139</f>
        <v>0</v>
      </c>
      <c r="G139" s="190">
        <f t="shared" si="9"/>
        <v>33.356419624123632</v>
      </c>
      <c r="H139" s="242">
        <f t="shared" si="10"/>
        <v>33.356419624123632</v>
      </c>
      <c r="I139" s="247">
        <f t="shared" si="11"/>
        <v>0</v>
      </c>
      <c r="J139" s="98">
        <f t="shared" si="8"/>
        <v>0</v>
      </c>
    </row>
    <row r="140" spans="1:10" x14ac:dyDescent="0.25">
      <c r="A140" s="82">
        <f>'A) Base RI'!A142</f>
        <v>5632</v>
      </c>
      <c r="B140" s="147" t="str">
        <f>'A) Base RI'!B142</f>
        <v>Denges</v>
      </c>
      <c r="C140" s="158">
        <f>'B) D RI'!U142</f>
        <v>61597.331370967739</v>
      </c>
      <c r="D140" s="247">
        <f>'E) Fact soc'!G146/C140</f>
        <v>18.586259430840794</v>
      </c>
      <c r="E140" s="247">
        <f>'H) Péréquation directe'!I151/'H) Péréquation directe'!C151</f>
        <v>11.196691479867177</v>
      </c>
      <c r="F140" s="242">
        <f>'I) Dépenses thématiques'!P140</f>
        <v>-1.7557416464793985</v>
      </c>
      <c r="G140" s="190">
        <f t="shared" si="9"/>
        <v>28.027209264228574</v>
      </c>
      <c r="H140" s="242">
        <f t="shared" si="10"/>
        <v>29.782950910707974</v>
      </c>
      <c r="I140" s="247">
        <f t="shared" si="11"/>
        <v>0</v>
      </c>
      <c r="J140" s="98">
        <f t="shared" si="8"/>
        <v>0</v>
      </c>
    </row>
    <row r="141" spans="1:10" x14ac:dyDescent="0.25">
      <c r="A141" s="82">
        <f>'A) Base RI'!A143</f>
        <v>5633</v>
      </c>
      <c r="B141" s="147" t="str">
        <f>'A) Base RI'!B143</f>
        <v>Echandens</v>
      </c>
      <c r="C141" s="158">
        <f>'B) D RI'!U143</f>
        <v>124899.1516129032</v>
      </c>
      <c r="D141" s="247">
        <f>'E) Fact soc'!G147/C141</f>
        <v>17.24776704453847</v>
      </c>
      <c r="E141" s="247">
        <f>'H) Péréquation directe'!I152/'H) Péréquation directe'!C152</f>
        <v>13.818068239157702</v>
      </c>
      <c r="F141" s="242">
        <f>'I) Dépenses thématiques'!P141</f>
        <v>-2.619641492954691</v>
      </c>
      <c r="G141" s="190">
        <f t="shared" si="9"/>
        <v>28.446193790741482</v>
      </c>
      <c r="H141" s="242">
        <f t="shared" si="10"/>
        <v>31.065835283696174</v>
      </c>
      <c r="I141" s="247">
        <f t="shared" si="11"/>
        <v>0</v>
      </c>
      <c r="J141" s="98">
        <f t="shared" si="8"/>
        <v>0</v>
      </c>
    </row>
    <row r="142" spans="1:10" x14ac:dyDescent="0.25">
      <c r="A142" s="82">
        <f>'A) Base RI'!A144</f>
        <v>5634</v>
      </c>
      <c r="B142" s="147" t="str">
        <f>'A) Base RI'!B144</f>
        <v>Echichens</v>
      </c>
      <c r="C142" s="158">
        <f>'B) D RI'!U144</f>
        <v>128757.51117647058</v>
      </c>
      <c r="D142" s="247">
        <f>'E) Fact soc'!G148/C142</f>
        <v>17.066929629133092</v>
      </c>
      <c r="E142" s="247">
        <f>'H) Péréquation directe'!I153/'H) Péréquation directe'!C153</f>
        <v>13.511522427733274</v>
      </c>
      <c r="F142" s="242">
        <f>'I) Dépenses thématiques'!P142</f>
        <v>0</v>
      </c>
      <c r="G142" s="190">
        <f t="shared" si="9"/>
        <v>30.578452056866368</v>
      </c>
      <c r="H142" s="242">
        <f t="shared" si="10"/>
        <v>30.578452056866368</v>
      </c>
      <c r="I142" s="247">
        <f t="shared" si="11"/>
        <v>0</v>
      </c>
      <c r="J142" s="98">
        <f t="shared" si="8"/>
        <v>0</v>
      </c>
    </row>
    <row r="143" spans="1:10" x14ac:dyDescent="0.25">
      <c r="A143" s="82">
        <f>'A) Base RI'!A145</f>
        <v>5635</v>
      </c>
      <c r="B143" s="147" t="str">
        <f>'A) Base RI'!B145</f>
        <v>Ecublens</v>
      </c>
      <c r="C143" s="158">
        <f>'B) D RI'!U145</f>
        <v>456934.05313242786</v>
      </c>
      <c r="D143" s="247">
        <f>'E) Fact soc'!G149/C143</f>
        <v>18.158556163584215</v>
      </c>
      <c r="E143" s="247">
        <f>'H) Péréquation directe'!I154/'H) Péréquation directe'!C154</f>
        <v>0.8017607701257693</v>
      </c>
      <c r="F143" s="242">
        <f>'I) Dépenses thématiques'!P143</f>
        <v>-5.1023314721617155</v>
      </c>
      <c r="G143" s="190">
        <f t="shared" si="9"/>
        <v>13.857985461548271</v>
      </c>
      <c r="H143" s="242">
        <f t="shared" si="10"/>
        <v>18.960316933709986</v>
      </c>
      <c r="I143" s="247">
        <f t="shared" si="11"/>
        <v>0</v>
      </c>
      <c r="J143" s="98">
        <f t="shared" si="8"/>
        <v>0</v>
      </c>
    </row>
    <row r="144" spans="1:10" x14ac:dyDescent="0.25">
      <c r="A144" s="82">
        <f>'A) Base RI'!A146</f>
        <v>5636</v>
      </c>
      <c r="B144" s="147" t="str">
        <f>'A) Base RI'!B146</f>
        <v>Etoy</v>
      </c>
      <c r="C144" s="158">
        <f>'B) D RI'!U146</f>
        <v>141771.26016393444</v>
      </c>
      <c r="D144" s="247">
        <f>'E) Fact soc'!G150/C144</f>
        <v>19.117127796342846</v>
      </c>
      <c r="E144" s="247">
        <f>'H) Péréquation directe'!I155/'H) Péréquation directe'!C155</f>
        <v>13.184562215491322</v>
      </c>
      <c r="F144" s="242">
        <f>'I) Dépenses thématiques'!P144</f>
        <v>-1.8009926673766974</v>
      </c>
      <c r="G144" s="190">
        <f t="shared" si="9"/>
        <v>30.500697344457471</v>
      </c>
      <c r="H144" s="242">
        <f t="shared" si="10"/>
        <v>32.301690011834168</v>
      </c>
      <c r="I144" s="247">
        <f t="shared" si="11"/>
        <v>0</v>
      </c>
      <c r="J144" s="98">
        <f t="shared" si="8"/>
        <v>0</v>
      </c>
    </row>
    <row r="145" spans="1:10" x14ac:dyDescent="0.25">
      <c r="A145" s="82">
        <f>'A) Base RI'!A147</f>
        <v>5637</v>
      </c>
      <c r="B145" s="147" t="str">
        <f>'A) Base RI'!B147</f>
        <v>Lavigny</v>
      </c>
      <c r="C145" s="158">
        <f>'B) D RI'!U147</f>
        <v>30305.948814317679</v>
      </c>
      <c r="D145" s="247">
        <f>'E) Fact soc'!G151/C145</f>
        <v>19.308727966467622</v>
      </c>
      <c r="E145" s="247">
        <f>'H) Péréquation directe'!I156/'H) Péréquation directe'!C156</f>
        <v>7.8532151957307441</v>
      </c>
      <c r="F145" s="242">
        <f>'I) Dépenses thématiques'!P145</f>
        <v>-1.1835300131918192</v>
      </c>
      <c r="G145" s="190">
        <f t="shared" si="9"/>
        <v>25.978413149006546</v>
      </c>
      <c r="H145" s="242">
        <f t="shared" si="10"/>
        <v>27.161943162198366</v>
      </c>
      <c r="I145" s="247">
        <f t="shared" si="11"/>
        <v>0</v>
      </c>
      <c r="J145" s="98">
        <f t="shared" si="8"/>
        <v>0</v>
      </c>
    </row>
    <row r="146" spans="1:10" x14ac:dyDescent="0.25">
      <c r="A146" s="82">
        <f>'A) Base RI'!A148</f>
        <v>5638</v>
      </c>
      <c r="B146" s="147" t="str">
        <f>'A) Base RI'!B148</f>
        <v>Lonay</v>
      </c>
      <c r="C146" s="158">
        <f>'B) D RI'!U148</f>
        <v>131856.2218181818</v>
      </c>
      <c r="D146" s="247">
        <f>'E) Fact soc'!G152/C146</f>
        <v>23.945879633772385</v>
      </c>
      <c r="E146" s="247">
        <f>'H) Péréquation directe'!I157/'H) Péréquation directe'!C157</f>
        <v>13.794646736565209</v>
      </c>
      <c r="F146" s="242">
        <f>'I) Dépenses thématiques'!P146</f>
        <v>-3.026531433232468</v>
      </c>
      <c r="G146" s="190">
        <f t="shared" si="9"/>
        <v>34.71399493710512</v>
      </c>
      <c r="H146" s="242">
        <f t="shared" si="10"/>
        <v>37.740526370337591</v>
      </c>
      <c r="I146" s="247">
        <f t="shared" si="11"/>
        <v>0</v>
      </c>
      <c r="J146" s="98">
        <f t="shared" si="8"/>
        <v>0</v>
      </c>
    </row>
    <row r="147" spans="1:10" x14ac:dyDescent="0.25">
      <c r="A147" s="82">
        <f>'A) Base RI'!A149</f>
        <v>5639</v>
      </c>
      <c r="B147" s="147" t="str">
        <f>'A) Base RI'!B149</f>
        <v>Lully</v>
      </c>
      <c r="C147" s="158">
        <f>'B) D RI'!U149</f>
        <v>41983.035245901636</v>
      </c>
      <c r="D147" s="247">
        <f>'E) Fact soc'!G153/C147</f>
        <v>16.192044594685825</v>
      </c>
      <c r="E147" s="247">
        <f>'H) Péréquation directe'!I158/'H) Péréquation directe'!C158</f>
        <v>16.736117240798848</v>
      </c>
      <c r="F147" s="242">
        <f>'I) Dépenses thématiques'!P147</f>
        <v>0</v>
      </c>
      <c r="G147" s="190">
        <f t="shared" si="9"/>
        <v>32.928161835484673</v>
      </c>
      <c r="H147" s="242">
        <f t="shared" si="10"/>
        <v>32.928161835484673</v>
      </c>
      <c r="I147" s="247">
        <f t="shared" si="11"/>
        <v>0</v>
      </c>
      <c r="J147" s="98">
        <f t="shared" si="8"/>
        <v>0</v>
      </c>
    </row>
    <row r="148" spans="1:10" x14ac:dyDescent="0.25">
      <c r="A148" s="82">
        <f>'A) Base RI'!A150</f>
        <v>5640</v>
      </c>
      <c r="B148" s="147" t="str">
        <f>'A) Base RI'!B150</f>
        <v>Lussy-sur-Morges</v>
      </c>
      <c r="C148" s="158">
        <f>'B) D RI'!U150</f>
        <v>50734.215909090912</v>
      </c>
      <c r="D148" s="247">
        <f>'E) Fact soc'!G154/C148</f>
        <v>22.908779067346018</v>
      </c>
      <c r="E148" s="247">
        <f>'H) Péréquation directe'!I159/'H) Péréquation directe'!C159</f>
        <v>17.100993858170035</v>
      </c>
      <c r="F148" s="242">
        <f>'I) Dépenses thématiques'!P148</f>
        <v>0</v>
      </c>
      <c r="G148" s="190">
        <f t="shared" si="9"/>
        <v>40.009772925516053</v>
      </c>
      <c r="H148" s="242">
        <f t="shared" si="10"/>
        <v>40.009772925516053</v>
      </c>
      <c r="I148" s="247">
        <f t="shared" si="11"/>
        <v>0</v>
      </c>
      <c r="J148" s="98">
        <f t="shared" si="8"/>
        <v>0</v>
      </c>
    </row>
    <row r="149" spans="1:10" x14ac:dyDescent="0.25">
      <c r="A149" s="82">
        <f>'A) Base RI'!A151</f>
        <v>5642</v>
      </c>
      <c r="B149" s="147" t="str">
        <f>'A) Base RI'!B151</f>
        <v>Morges</v>
      </c>
      <c r="C149" s="158">
        <f>'B) D RI'!U151</f>
        <v>722363.52321167884</v>
      </c>
      <c r="D149" s="247">
        <f>'E) Fact soc'!G155/C149</f>
        <v>18.547930245513331</v>
      </c>
      <c r="E149" s="247">
        <f>'H) Péréquation directe'!I160/'H) Péréquation directe'!C160</f>
        <v>4.4756537340446503</v>
      </c>
      <c r="F149" s="242">
        <f>'I) Dépenses thématiques'!P149</f>
        <v>-1.891938000860983</v>
      </c>
      <c r="G149" s="190">
        <f t="shared" si="9"/>
        <v>21.131645978697001</v>
      </c>
      <c r="H149" s="242">
        <f t="shared" si="10"/>
        <v>23.023583979557984</v>
      </c>
      <c r="I149" s="247">
        <f t="shared" si="11"/>
        <v>0</v>
      </c>
      <c r="J149" s="98">
        <f t="shared" si="8"/>
        <v>0</v>
      </c>
    </row>
    <row r="150" spans="1:10" x14ac:dyDescent="0.25">
      <c r="A150" s="82">
        <f>'A) Base RI'!A152</f>
        <v>5643</v>
      </c>
      <c r="B150" s="147" t="str">
        <f>'A) Base RI'!B152</f>
        <v>Préverenges</v>
      </c>
      <c r="C150" s="158">
        <f>'B) D RI'!U152</f>
        <v>265909.61515625002</v>
      </c>
      <c r="D150" s="247">
        <f>'E) Fact soc'!G156/C150</f>
        <v>19.325316855209664</v>
      </c>
      <c r="E150" s="247">
        <f>'H) Péréquation directe'!I161/'H) Péréquation directe'!C161</f>
        <v>11.371495529498636</v>
      </c>
      <c r="F150" s="242">
        <f>'I) Dépenses thématiques'!P150</f>
        <v>0</v>
      </c>
      <c r="G150" s="190">
        <f t="shared" si="9"/>
        <v>30.696812384708302</v>
      </c>
      <c r="H150" s="242">
        <f t="shared" si="10"/>
        <v>30.696812384708302</v>
      </c>
      <c r="I150" s="247">
        <f t="shared" si="11"/>
        <v>0</v>
      </c>
      <c r="J150" s="98">
        <f t="shared" si="8"/>
        <v>0</v>
      </c>
    </row>
    <row r="151" spans="1:10" x14ac:dyDescent="0.25">
      <c r="A151" s="82">
        <f>'A) Base RI'!A153</f>
        <v>5644</v>
      </c>
      <c r="B151" s="147" t="str">
        <f>'A) Base RI'!B153</f>
        <v>Reverolle</v>
      </c>
      <c r="C151" s="158">
        <f>'B) D RI'!U153</f>
        <v>14878.554871794875</v>
      </c>
      <c r="D151" s="247">
        <f>'E) Fact soc'!G157/C151</f>
        <v>16.248645595607208</v>
      </c>
      <c r="E151" s="247">
        <f>'H) Péréquation directe'!I162/'H) Péréquation directe'!C162</f>
        <v>14.969202522031052</v>
      </c>
      <c r="F151" s="242">
        <f>'I) Dépenses thématiques'!P151</f>
        <v>-5.3004475689705446</v>
      </c>
      <c r="G151" s="190">
        <f t="shared" si="9"/>
        <v>25.917400548667718</v>
      </c>
      <c r="H151" s="242">
        <f t="shared" si="10"/>
        <v>31.217848117638262</v>
      </c>
      <c r="I151" s="247">
        <f t="shared" si="11"/>
        <v>0</v>
      </c>
      <c r="J151" s="98">
        <f t="shared" si="8"/>
        <v>0</v>
      </c>
    </row>
    <row r="152" spans="1:10" x14ac:dyDescent="0.25">
      <c r="A152" s="82">
        <f>'A) Base RI'!A154</f>
        <v>5645</v>
      </c>
      <c r="B152" s="147" t="str">
        <f>'A) Base RI'!B154</f>
        <v>Romanel-sur-Morges</v>
      </c>
      <c r="C152" s="158">
        <f>'B) D RI'!U154</f>
        <v>25051.786919642858</v>
      </c>
      <c r="D152" s="247">
        <f>'E) Fact soc'!G158/C152</f>
        <v>19.021269973540928</v>
      </c>
      <c r="E152" s="247">
        <f>'H) Péréquation directe'!I163/'H) Péréquation directe'!C163</f>
        <v>16.79331244526621</v>
      </c>
      <c r="F152" s="242">
        <f>'I) Dépenses thématiques'!P152</f>
        <v>0</v>
      </c>
      <c r="G152" s="190">
        <f t="shared" si="9"/>
        <v>35.814582418807134</v>
      </c>
      <c r="H152" s="242">
        <f t="shared" si="10"/>
        <v>35.814582418807134</v>
      </c>
      <c r="I152" s="247">
        <f t="shared" si="11"/>
        <v>0</v>
      </c>
      <c r="J152" s="98">
        <f t="shared" si="8"/>
        <v>0</v>
      </c>
    </row>
    <row r="153" spans="1:10" x14ac:dyDescent="0.25">
      <c r="A153" s="82">
        <f>'A) Base RI'!A155</f>
        <v>5646</v>
      </c>
      <c r="B153" s="147" t="str">
        <f>'A) Base RI'!B155</f>
        <v>Saint-Prex</v>
      </c>
      <c r="C153" s="158">
        <f>'B) D RI'!U155</f>
        <v>375526.35254545452</v>
      </c>
      <c r="D153" s="247">
        <f>'E) Fact soc'!G159/C153</f>
        <v>30.932449799944195</v>
      </c>
      <c r="E153" s="247">
        <f>'H) Péréquation directe'!I164/'H) Péréquation directe'!C164</f>
        <v>12.623135366279357</v>
      </c>
      <c r="F153" s="242">
        <f>'I) Dépenses thématiques'!P153</f>
        <v>0</v>
      </c>
      <c r="G153" s="190">
        <f t="shared" si="9"/>
        <v>43.555585166223551</v>
      </c>
      <c r="H153" s="242">
        <f t="shared" si="10"/>
        <v>43.555585166223551</v>
      </c>
      <c r="I153" s="247">
        <f t="shared" si="11"/>
        <v>0</v>
      </c>
      <c r="J153" s="98">
        <f t="shared" si="8"/>
        <v>0</v>
      </c>
    </row>
    <row r="154" spans="1:10" x14ac:dyDescent="0.25">
      <c r="A154" s="82">
        <f>'A) Base RI'!A156</f>
        <v>5648</v>
      </c>
      <c r="B154" s="147" t="str">
        <f>'A) Base RI'!B156</f>
        <v>Saint-Sulpice</v>
      </c>
      <c r="C154" s="158">
        <f>'B) D RI'!U156</f>
        <v>290036.18604545452</v>
      </c>
      <c r="D154" s="247">
        <f>'E) Fact soc'!G160/C154</f>
        <v>23.393952896409473</v>
      </c>
      <c r="E154" s="247">
        <f>'H) Péréquation directe'!I165/'H) Péréquation directe'!C165</f>
        <v>14.419209398169478</v>
      </c>
      <c r="F154" s="242">
        <f>'I) Dépenses thématiques'!P154</f>
        <v>-1.0426887284482729</v>
      </c>
      <c r="G154" s="190">
        <f t="shared" si="9"/>
        <v>36.770473566130676</v>
      </c>
      <c r="H154" s="242">
        <f t="shared" si="10"/>
        <v>37.813162294578952</v>
      </c>
      <c r="I154" s="247">
        <f t="shared" si="11"/>
        <v>0</v>
      </c>
      <c r="J154" s="98">
        <f t="shared" si="8"/>
        <v>0</v>
      </c>
    </row>
    <row r="155" spans="1:10" x14ac:dyDescent="0.25">
      <c r="A155" s="82">
        <f>'A) Base RI'!A157</f>
        <v>5649</v>
      </c>
      <c r="B155" s="147" t="str">
        <f>'A) Base RI'!B157</f>
        <v>Tolochenaz</v>
      </c>
      <c r="C155" s="158">
        <f>'B) D RI'!U157</f>
        <v>103201.6483076923</v>
      </c>
      <c r="D155" s="247">
        <f>'E) Fact soc'!G161/C155</f>
        <v>18.97088488201905</v>
      </c>
      <c r="E155" s="247">
        <f>'H) Péréquation directe'!I166/'H) Péréquation directe'!C166</f>
        <v>14.79167325558535</v>
      </c>
      <c r="F155" s="242">
        <f>'I) Dépenses thématiques'!P155</f>
        <v>-2.5901128790355292</v>
      </c>
      <c r="G155" s="190">
        <f t="shared" si="9"/>
        <v>31.172445258568871</v>
      </c>
      <c r="H155" s="242">
        <f t="shared" si="10"/>
        <v>33.762558137604401</v>
      </c>
      <c r="I155" s="247">
        <f t="shared" si="11"/>
        <v>0</v>
      </c>
      <c r="J155" s="98">
        <f t="shared" si="8"/>
        <v>0</v>
      </c>
    </row>
    <row r="156" spans="1:10" x14ac:dyDescent="0.25">
      <c r="A156" s="82">
        <f>'A) Base RI'!A158</f>
        <v>5650</v>
      </c>
      <c r="B156" s="147" t="str">
        <f>'A) Base RI'!B158</f>
        <v>Vaux-sur-Morges</v>
      </c>
      <c r="C156" s="158">
        <f>'B) D RI'!U158</f>
        <v>157222.88974358974</v>
      </c>
      <c r="D156" s="247">
        <f>'E) Fact soc'!G162/C156</f>
        <v>29.726273059320796</v>
      </c>
      <c r="E156" s="247">
        <f>'H) Péréquation directe'!I167/'H) Péréquation directe'!C167</f>
        <v>18.245832947163986</v>
      </c>
      <c r="F156" s="242">
        <f>'I) Dépenses thématiques'!P156</f>
        <v>0</v>
      </c>
      <c r="G156" s="190">
        <f t="shared" si="9"/>
        <v>47.972106006484779</v>
      </c>
      <c r="H156" s="242">
        <f t="shared" si="10"/>
        <v>47.972106006484779</v>
      </c>
      <c r="I156" s="247">
        <f t="shared" si="11"/>
        <v>0</v>
      </c>
      <c r="J156" s="98">
        <f t="shared" si="8"/>
        <v>0</v>
      </c>
    </row>
    <row r="157" spans="1:10" x14ac:dyDescent="0.25">
      <c r="A157" s="82">
        <f>'A) Base RI'!A159</f>
        <v>5651</v>
      </c>
      <c r="B157" s="147" t="str">
        <f>'A) Base RI'!B159</f>
        <v>Villars-Sainte-Croix</v>
      </c>
      <c r="C157" s="158">
        <f>'B) D RI'!U159</f>
        <v>47709.999830508481</v>
      </c>
      <c r="D157" s="247">
        <f>'E) Fact soc'!G163/C157</f>
        <v>20.368405444474515</v>
      </c>
      <c r="E157" s="247">
        <f>'H) Péréquation directe'!I168/'H) Péréquation directe'!C168</f>
        <v>17.018851760689813</v>
      </c>
      <c r="F157" s="242">
        <f>'I) Dépenses thématiques'!P157</f>
        <v>-1.6580830080102641E-2</v>
      </c>
      <c r="G157" s="190">
        <f t="shared" si="9"/>
        <v>37.37067637508423</v>
      </c>
      <c r="H157" s="242">
        <f t="shared" si="10"/>
        <v>37.387257205164332</v>
      </c>
      <c r="I157" s="247">
        <f t="shared" si="11"/>
        <v>0</v>
      </c>
      <c r="J157" s="98">
        <f t="shared" si="8"/>
        <v>0</v>
      </c>
    </row>
    <row r="158" spans="1:10" x14ac:dyDescent="0.25">
      <c r="A158" s="82">
        <f>'A) Base RI'!A160</f>
        <v>5652</v>
      </c>
      <c r="B158" s="147" t="str">
        <f>'A) Base RI'!B160</f>
        <v>Villars-sous-Yens</v>
      </c>
      <c r="C158" s="158">
        <f>'B) D RI'!U160</f>
        <v>24426.645087719295</v>
      </c>
      <c r="D158" s="247">
        <f>'E) Fact soc'!G164/C158</f>
        <v>15.729245445565956</v>
      </c>
      <c r="E158" s="247">
        <f>'H) Péréquation directe'!I169/'H) Péréquation directe'!C169</f>
        <v>15.685160497467312</v>
      </c>
      <c r="F158" s="242">
        <f>'I) Dépenses thématiques'!P158</f>
        <v>-3.9279647145746663</v>
      </c>
      <c r="G158" s="190">
        <f t="shared" si="9"/>
        <v>27.486441228458599</v>
      </c>
      <c r="H158" s="242">
        <f t="shared" si="10"/>
        <v>31.414405943033266</v>
      </c>
      <c r="I158" s="247">
        <f t="shared" si="11"/>
        <v>0</v>
      </c>
      <c r="J158" s="98">
        <f t="shared" si="8"/>
        <v>0</v>
      </c>
    </row>
    <row r="159" spans="1:10" x14ac:dyDescent="0.25">
      <c r="A159" s="82">
        <f>'A) Base RI'!A161</f>
        <v>5653</v>
      </c>
      <c r="B159" s="147" t="str">
        <f>'A) Base RI'!B161</f>
        <v>Vufflens-le-Château</v>
      </c>
      <c r="C159" s="158">
        <f>'B) D RI'!U161</f>
        <v>54206.67831818181</v>
      </c>
      <c r="D159" s="247">
        <f>'E) Fact soc'!G165/C159</f>
        <v>19.071917277702603</v>
      </c>
      <c r="E159" s="247">
        <f>'H) Péréquation directe'!I170/'H) Péréquation directe'!C170</f>
        <v>16.941128150072949</v>
      </c>
      <c r="F159" s="242">
        <f>'I) Dépenses thématiques'!P159</f>
        <v>0</v>
      </c>
      <c r="G159" s="190">
        <f t="shared" si="9"/>
        <v>36.013045427775552</v>
      </c>
      <c r="H159" s="242">
        <f t="shared" si="10"/>
        <v>36.013045427775552</v>
      </c>
      <c r="I159" s="247">
        <f t="shared" si="11"/>
        <v>0</v>
      </c>
      <c r="J159" s="98">
        <f t="shared" si="8"/>
        <v>0</v>
      </c>
    </row>
    <row r="160" spans="1:10" x14ac:dyDescent="0.25">
      <c r="A160" s="82">
        <f>'A) Base RI'!A162</f>
        <v>5654</v>
      </c>
      <c r="B160" s="147" t="str">
        <f>'A) Base RI'!B162</f>
        <v>Vullierens</v>
      </c>
      <c r="C160" s="158">
        <f>'B) D RI'!U162</f>
        <v>15860.891578947369</v>
      </c>
      <c r="D160" s="247">
        <f>'E) Fact soc'!G166/C160</f>
        <v>19.051014256784768</v>
      </c>
      <c r="E160" s="247">
        <f>'H) Péréquation directe'!I171/'H) Péréquation directe'!C171</f>
        <v>9.6182716525141068</v>
      </c>
      <c r="F160" s="242">
        <f>'I) Dépenses thématiques'!P160</f>
        <v>-2.6714135071852003</v>
      </c>
      <c r="G160" s="190">
        <f t="shared" si="9"/>
        <v>25.997872402113675</v>
      </c>
      <c r="H160" s="242">
        <f t="shared" si="10"/>
        <v>28.669285909298875</v>
      </c>
      <c r="I160" s="247">
        <f t="shared" si="11"/>
        <v>0</v>
      </c>
      <c r="J160" s="98">
        <f t="shared" si="8"/>
        <v>0</v>
      </c>
    </row>
    <row r="161" spans="1:10" x14ac:dyDescent="0.25">
      <c r="A161" s="82">
        <f>'A) Base RI'!A163</f>
        <v>5655</v>
      </c>
      <c r="B161" s="147" t="str">
        <f>'A) Base RI'!B163</f>
        <v>Yens</v>
      </c>
      <c r="C161" s="158">
        <f>'B) D RI'!U163</f>
        <v>73269.942328767123</v>
      </c>
      <c r="D161" s="247">
        <f>'E) Fact soc'!G167/C161</f>
        <v>17.589281048642924</v>
      </c>
      <c r="E161" s="247">
        <f>'H) Péréquation directe'!I172/'H) Péréquation directe'!C172</f>
        <v>15.629027202992249</v>
      </c>
      <c r="F161" s="242">
        <f>'I) Dépenses thématiques'!P161</f>
        <v>0</v>
      </c>
      <c r="G161" s="190">
        <f t="shared" si="9"/>
        <v>33.218308251635172</v>
      </c>
      <c r="H161" s="242">
        <f t="shared" si="10"/>
        <v>33.218308251635172</v>
      </c>
      <c r="I161" s="247">
        <f t="shared" si="11"/>
        <v>0</v>
      </c>
      <c r="J161" s="98">
        <f t="shared" si="8"/>
        <v>0</v>
      </c>
    </row>
    <row r="162" spans="1:10" x14ac:dyDescent="0.25">
      <c r="A162" s="82">
        <f>'A) Base RI'!A164</f>
        <v>5661</v>
      </c>
      <c r="B162" s="147" t="str">
        <f>'A) Base RI'!B164</f>
        <v>Boulens</v>
      </c>
      <c r="C162" s="158">
        <f>'B) D RI'!U164</f>
        <v>6901.8381012658238</v>
      </c>
      <c r="D162" s="247">
        <f>'E) Fact soc'!G168/C162</f>
        <v>18.077976440473183</v>
      </c>
      <c r="E162" s="247">
        <f>'H) Péréquation directe'!I173/'H) Péréquation directe'!C173</f>
        <v>-10.526203592250187</v>
      </c>
      <c r="F162" s="242">
        <f>'I) Dépenses thématiques'!P162</f>
        <v>-3.7653737480793268</v>
      </c>
      <c r="G162" s="190">
        <f t="shared" si="9"/>
        <v>3.7863991001436688</v>
      </c>
      <c r="H162" s="242">
        <f t="shared" si="10"/>
        <v>7.5517728482229955</v>
      </c>
      <c r="I162" s="247">
        <f t="shared" si="11"/>
        <v>0</v>
      </c>
      <c r="J162" s="98">
        <f t="shared" si="8"/>
        <v>0</v>
      </c>
    </row>
    <row r="163" spans="1:10" x14ac:dyDescent="0.25">
      <c r="A163" s="82">
        <f>'A) Base RI'!A165</f>
        <v>5662</v>
      </c>
      <c r="B163" s="147" t="str">
        <f>'A) Base RI'!B165</f>
        <v>Brenles</v>
      </c>
      <c r="C163" s="158">
        <f>'B) D RI'!U165</f>
        <v>4031.2468945868945</v>
      </c>
      <c r="D163" s="247">
        <f>'E) Fact soc'!G169/C163</f>
        <v>20.306175597289712</v>
      </c>
      <c r="E163" s="247">
        <f>'H) Péréquation directe'!I174/'H) Péréquation directe'!C174</f>
        <v>1.273292460412367</v>
      </c>
      <c r="F163" s="242">
        <f>'I) Dépenses thématiques'!P163</f>
        <v>-2.9673201152880058</v>
      </c>
      <c r="G163" s="190">
        <f t="shared" si="9"/>
        <v>18.612147942414076</v>
      </c>
      <c r="H163" s="242">
        <f t="shared" si="10"/>
        <v>21.57946805770208</v>
      </c>
      <c r="I163" s="247">
        <f t="shared" si="11"/>
        <v>0</v>
      </c>
      <c r="J163" s="98">
        <f t="shared" si="8"/>
        <v>0</v>
      </c>
    </row>
    <row r="164" spans="1:10" x14ac:dyDescent="0.25">
      <c r="A164" s="82">
        <f>'A) Base RI'!A166</f>
        <v>5663</v>
      </c>
      <c r="B164" s="147" t="str">
        <f>'A) Base RI'!B166</f>
        <v>Bussy-sur-Moudon</v>
      </c>
      <c r="C164" s="158">
        <f>'B) D RI'!U166</f>
        <v>5172.1214999999993</v>
      </c>
      <c r="D164" s="247">
        <f>'E) Fact soc'!G170/C164</f>
        <v>16.414199415192765</v>
      </c>
      <c r="E164" s="247">
        <f>'H) Péréquation directe'!I175/'H) Péréquation directe'!C175</f>
        <v>-2.3190142879799081</v>
      </c>
      <c r="F164" s="242">
        <f>'I) Dépenses thématiques'!P164</f>
        <v>-6.5282689124762445</v>
      </c>
      <c r="G164" s="190">
        <f t="shared" si="9"/>
        <v>7.5669162147366134</v>
      </c>
      <c r="H164" s="242">
        <f t="shared" si="10"/>
        <v>14.095185127212858</v>
      </c>
      <c r="I164" s="247">
        <f t="shared" si="11"/>
        <v>0</v>
      </c>
      <c r="J164" s="98">
        <f t="shared" si="8"/>
        <v>0</v>
      </c>
    </row>
    <row r="165" spans="1:10" x14ac:dyDescent="0.25">
      <c r="A165" s="82">
        <f>'A) Base RI'!A167</f>
        <v>5665</v>
      </c>
      <c r="B165" s="147" t="str">
        <f>'A) Base RI'!B167</f>
        <v>Chavannes-sur-Moudon</v>
      </c>
      <c r="C165" s="158">
        <f>'B) D RI'!U167</f>
        <v>3708.5273611111106</v>
      </c>
      <c r="D165" s="247">
        <f>'E) Fact soc'!G171/C165</f>
        <v>15.318366450225069</v>
      </c>
      <c r="E165" s="247">
        <f>'H) Péréquation directe'!I176/'H) Péréquation directe'!C176</f>
        <v>-23.921423214249565</v>
      </c>
      <c r="F165" s="242">
        <f>'I) Dépenses thématiques'!P165</f>
        <v>-1.7961307417735486</v>
      </c>
      <c r="G165" s="190">
        <f t="shared" si="9"/>
        <v>-10.399187505798045</v>
      </c>
      <c r="H165" s="242">
        <f t="shared" si="10"/>
        <v>-8.6030567640244957</v>
      </c>
      <c r="I165" s="247">
        <f t="shared" si="11"/>
        <v>-3.1030567640244957</v>
      </c>
      <c r="J165" s="98">
        <f t="shared" si="8"/>
        <v>11507.770912465745</v>
      </c>
    </row>
    <row r="166" spans="1:10" x14ac:dyDescent="0.25">
      <c r="A166" s="82">
        <f>'A) Base RI'!A168</f>
        <v>5666</v>
      </c>
      <c r="B166" s="147" t="str">
        <f>'A) Base RI'!B168</f>
        <v>Chesalles-sur-Moudon</v>
      </c>
      <c r="C166" s="158">
        <f>'B) D RI'!U168</f>
        <v>3731.231866666667</v>
      </c>
      <c r="D166" s="247">
        <f>'E) Fact soc'!G172/C166</f>
        <v>16.188516209081683</v>
      </c>
      <c r="E166" s="247">
        <f>'H) Péréquation directe'!I177/'H) Péréquation directe'!C177</f>
        <v>-5.43404940200866</v>
      </c>
      <c r="F166" s="242">
        <f>'I) Dépenses thématiques'!P166</f>
        <v>0</v>
      </c>
      <c r="G166" s="190">
        <f t="shared" si="9"/>
        <v>10.754466807073022</v>
      </c>
      <c r="H166" s="242">
        <f t="shared" si="10"/>
        <v>10.754466807073022</v>
      </c>
      <c r="I166" s="247">
        <f t="shared" si="11"/>
        <v>0</v>
      </c>
      <c r="J166" s="98">
        <f t="shared" si="8"/>
        <v>0</v>
      </c>
    </row>
    <row r="167" spans="1:10" x14ac:dyDescent="0.25">
      <c r="A167" s="82">
        <f>'A) Base RI'!A169</f>
        <v>5668</v>
      </c>
      <c r="B167" s="147" t="str">
        <f>'A) Base RI'!B169</f>
        <v>Cremin</v>
      </c>
      <c r="C167" s="158">
        <f>'B) D RI'!U169</f>
        <v>1020.8936363636363</v>
      </c>
      <c r="D167" s="247">
        <f>'E) Fact soc'!G173/C167</f>
        <v>14.785675220623862</v>
      </c>
      <c r="E167" s="247">
        <f>'H) Péréquation directe'!I178/'H) Péréquation directe'!C178</f>
        <v>-14.52291016819893</v>
      </c>
      <c r="F167" s="242">
        <f>'I) Dépenses thématiques'!P167</f>
        <v>0</v>
      </c>
      <c r="G167" s="190">
        <f t="shared" si="9"/>
        <v>0.26276505242493187</v>
      </c>
      <c r="H167" s="242">
        <f t="shared" si="10"/>
        <v>0.26276505242493187</v>
      </c>
      <c r="I167" s="247">
        <f t="shared" si="11"/>
        <v>0</v>
      </c>
      <c r="J167" s="98">
        <f t="shared" si="8"/>
        <v>0</v>
      </c>
    </row>
    <row r="168" spans="1:10" x14ac:dyDescent="0.25">
      <c r="A168" s="82">
        <f>'A) Base RI'!A170</f>
        <v>5669</v>
      </c>
      <c r="B168" s="147" t="str">
        <f>'A) Base RI'!B170</f>
        <v>Curtilles</v>
      </c>
      <c r="C168" s="158">
        <f>'B) D RI'!U170</f>
        <v>8099.7640277777791</v>
      </c>
      <c r="D168" s="247">
        <f>'E) Fact soc'!G174/C168</f>
        <v>18.850512774790605</v>
      </c>
      <c r="E168" s="247">
        <f>'H) Péréquation directe'!I179/'H) Péréquation directe'!C179</f>
        <v>1.2348031289454806</v>
      </c>
      <c r="F168" s="242">
        <f>'I) Dépenses thématiques'!P168</f>
        <v>-8.4803705101079654</v>
      </c>
      <c r="G168" s="190">
        <f t="shared" si="9"/>
        <v>11.604945393628119</v>
      </c>
      <c r="H168" s="242">
        <f t="shared" si="10"/>
        <v>20.085315903736085</v>
      </c>
      <c r="I168" s="247">
        <f t="shared" si="11"/>
        <v>0</v>
      </c>
      <c r="J168" s="98">
        <f t="shared" si="8"/>
        <v>0</v>
      </c>
    </row>
    <row r="169" spans="1:10" x14ac:dyDescent="0.25">
      <c r="A169" s="82">
        <f>'A) Base RI'!A171</f>
        <v>5671</v>
      </c>
      <c r="B169" s="147" t="str">
        <f>'A) Base RI'!B171</f>
        <v>Dompierre</v>
      </c>
      <c r="C169" s="158">
        <f>'B) D RI'!U171</f>
        <v>5882.5981250000004</v>
      </c>
      <c r="D169" s="247">
        <f>'E) Fact soc'!G175/C169</f>
        <v>15.315968117353059</v>
      </c>
      <c r="E169" s="247">
        <f>'H) Péréquation directe'!I180/'H) Péréquation directe'!C180</f>
        <v>-7.0621274523940292</v>
      </c>
      <c r="F169" s="242">
        <f>'I) Dépenses thématiques'!P169</f>
        <v>-13.096424124671952</v>
      </c>
      <c r="G169" s="190">
        <f t="shared" si="9"/>
        <v>-4.8425834597129231</v>
      </c>
      <c r="H169" s="242">
        <f t="shared" si="10"/>
        <v>8.2538406649590286</v>
      </c>
      <c r="I169" s="247">
        <f t="shared" si="11"/>
        <v>0</v>
      </c>
      <c r="J169" s="98">
        <f t="shared" si="8"/>
        <v>0</v>
      </c>
    </row>
    <row r="170" spans="1:10" x14ac:dyDescent="0.25">
      <c r="A170" s="82">
        <f>'A) Base RI'!A172</f>
        <v>5672</v>
      </c>
      <c r="B170" s="147" t="str">
        <f>'A) Base RI'!B172</f>
        <v>Forel-sur-Lucens</v>
      </c>
      <c r="C170" s="158">
        <f>'B) D RI'!U172</f>
        <v>3859.3261000000002</v>
      </c>
      <c r="D170" s="247">
        <f>'E) Fact soc'!G176/C170</f>
        <v>18.480089641835896</v>
      </c>
      <c r="E170" s="247">
        <f>'H) Péréquation directe'!I181/'H) Péréquation directe'!C181</f>
        <v>-1.9341321788507586</v>
      </c>
      <c r="F170" s="242">
        <f>'I) Dépenses thématiques'!P170</f>
        <v>0</v>
      </c>
      <c r="G170" s="190">
        <f t="shared" si="9"/>
        <v>16.545957462985136</v>
      </c>
      <c r="H170" s="242">
        <f t="shared" si="10"/>
        <v>16.545957462985136</v>
      </c>
      <c r="I170" s="247">
        <f t="shared" si="11"/>
        <v>0</v>
      </c>
      <c r="J170" s="98">
        <f t="shared" ref="J170:J225" si="12">-I170*C170</f>
        <v>0</v>
      </c>
    </row>
    <row r="171" spans="1:10" x14ac:dyDescent="0.25">
      <c r="A171" s="82">
        <f>'A) Base RI'!A173</f>
        <v>5673</v>
      </c>
      <c r="B171" s="147" t="str">
        <f>'A) Base RI'!B173</f>
        <v>Hermenches</v>
      </c>
      <c r="C171" s="158">
        <f>'B) D RI'!U173</f>
        <v>9584.1538967136148</v>
      </c>
      <c r="D171" s="247">
        <f>'E) Fact soc'!G177/C171</f>
        <v>21.064696889989506</v>
      </c>
      <c r="E171" s="247">
        <f>'H) Péréquation directe'!I182/'H) Péréquation directe'!C182</f>
        <v>0.18596667870361402</v>
      </c>
      <c r="F171" s="242">
        <f>'I) Dépenses thématiques'!P171</f>
        <v>-3.1321492041455476</v>
      </c>
      <c r="G171" s="190">
        <f t="shared" ref="G171:G226" si="13">SUM(D171:F171)</f>
        <v>18.118514364547572</v>
      </c>
      <c r="H171" s="242">
        <f t="shared" ref="H171:H226" si="14">G171-F171</f>
        <v>21.25066356869312</v>
      </c>
      <c r="I171" s="247">
        <f t="shared" ref="I171:I226" si="15">IF(H171&lt;I$4,H171-I$4,0)</f>
        <v>0</v>
      </c>
      <c r="J171" s="98">
        <f t="shared" si="12"/>
        <v>0</v>
      </c>
    </row>
    <row r="172" spans="1:10" x14ac:dyDescent="0.25">
      <c r="A172" s="82">
        <f>'A) Base RI'!A174</f>
        <v>5674</v>
      </c>
      <c r="B172" s="147" t="str">
        <f>'A) Base RI'!B174</f>
        <v>Lovatens</v>
      </c>
      <c r="C172" s="158">
        <f>'B) D RI'!U174</f>
        <v>5762.0609054325942</v>
      </c>
      <c r="D172" s="247">
        <f>'E) Fact soc'!G178/C172</f>
        <v>15.130287162876654</v>
      </c>
      <c r="E172" s="247">
        <f>'H) Péréquation directe'!I183/'H) Péréquation directe'!C183</f>
        <v>14.811690048318471</v>
      </c>
      <c r="F172" s="242">
        <f>'I) Dépenses thématiques'!P172</f>
        <v>0</v>
      </c>
      <c r="G172" s="190">
        <f t="shared" si="13"/>
        <v>29.941977211195123</v>
      </c>
      <c r="H172" s="242">
        <f t="shared" si="14"/>
        <v>29.941977211195123</v>
      </c>
      <c r="I172" s="247">
        <f t="shared" si="15"/>
        <v>0</v>
      </c>
      <c r="J172" s="98">
        <f t="shared" si="12"/>
        <v>0</v>
      </c>
    </row>
    <row r="173" spans="1:10" x14ac:dyDescent="0.25">
      <c r="A173" s="82">
        <f>'A) Base RI'!A175</f>
        <v>5675</v>
      </c>
      <c r="B173" s="147" t="str">
        <f>'A) Base RI'!B175</f>
        <v>Lucens</v>
      </c>
      <c r="C173" s="158">
        <f>'B) D RI'!U175</f>
        <v>78725.785578512397</v>
      </c>
      <c r="D173" s="247">
        <f>'E) Fact soc'!G179/C173</f>
        <v>16.613532750943335</v>
      </c>
      <c r="E173" s="247">
        <f>'H) Péréquation directe'!I184/'H) Péréquation directe'!C184</f>
        <v>-7.4280160714201093</v>
      </c>
      <c r="F173" s="242">
        <f>'I) Dépenses thématiques'!P173</f>
        <v>-2.9246580178025416</v>
      </c>
      <c r="G173" s="190">
        <f t="shared" si="13"/>
        <v>6.2608586617206834</v>
      </c>
      <c r="H173" s="242">
        <f t="shared" si="14"/>
        <v>9.185516679523225</v>
      </c>
      <c r="I173" s="247">
        <f t="shared" si="15"/>
        <v>0</v>
      </c>
      <c r="J173" s="98">
        <f t="shared" si="12"/>
        <v>0</v>
      </c>
    </row>
    <row r="174" spans="1:10" x14ac:dyDescent="0.25">
      <c r="A174" s="82">
        <f>'A) Base RI'!A176</f>
        <v>5678</v>
      </c>
      <c r="B174" s="147" t="str">
        <f>'A) Base RI'!B176</f>
        <v>Moudon</v>
      </c>
      <c r="C174" s="158">
        <f>'B) D RI'!U176</f>
        <v>119060.24706666666</v>
      </c>
      <c r="D174" s="247">
        <f>'E) Fact soc'!G180/C174</f>
        <v>17.271327924118506</v>
      </c>
      <c r="E174" s="247">
        <f>'H) Péréquation directe'!I185/'H) Péréquation directe'!C185</f>
        <v>-24.107246776042448</v>
      </c>
      <c r="F174" s="242">
        <f>'I) Dépenses thématiques'!P174</f>
        <v>-9.7266890379586908</v>
      </c>
      <c r="G174" s="190">
        <f t="shared" si="13"/>
        <v>-16.562607889882635</v>
      </c>
      <c r="H174" s="242">
        <f t="shared" si="14"/>
        <v>-6.8359188519239442</v>
      </c>
      <c r="I174" s="247">
        <f t="shared" si="15"/>
        <v>-1.3359188519239442</v>
      </c>
      <c r="J174" s="98">
        <f t="shared" si="12"/>
        <v>159054.82857108247</v>
      </c>
    </row>
    <row r="175" spans="1:10" x14ac:dyDescent="0.25">
      <c r="A175" s="82">
        <f>'A) Base RI'!A177</f>
        <v>5680</v>
      </c>
      <c r="B175" s="147" t="str">
        <f>'A) Base RI'!B177</f>
        <v>Ogens</v>
      </c>
      <c r="C175" s="158">
        <f>'B) D RI'!U177</f>
        <v>6568.1873076923084</v>
      </c>
      <c r="D175" s="247">
        <f>'E) Fact soc'!G181/C175</f>
        <v>16.444652726828448</v>
      </c>
      <c r="E175" s="247">
        <f>'H) Péréquation directe'!I186/'H) Péréquation directe'!C186</f>
        <v>-3.39021293341666</v>
      </c>
      <c r="F175" s="242">
        <f>'I) Dépenses thématiques'!P175</f>
        <v>-9.868932928280703</v>
      </c>
      <c r="G175" s="190">
        <f t="shared" si="13"/>
        <v>3.1855068651310852</v>
      </c>
      <c r="H175" s="242">
        <f t="shared" si="14"/>
        <v>13.054439793411788</v>
      </c>
      <c r="I175" s="247">
        <f t="shared" si="15"/>
        <v>0</v>
      </c>
      <c r="J175" s="98">
        <f t="shared" si="12"/>
        <v>0</v>
      </c>
    </row>
    <row r="176" spans="1:10" x14ac:dyDescent="0.25">
      <c r="A176" s="82">
        <f>'A) Base RI'!A178</f>
        <v>5683</v>
      </c>
      <c r="B176" s="147" t="str">
        <f>'A) Base RI'!B178</f>
        <v>Prévonloup</v>
      </c>
      <c r="C176" s="158">
        <f>'B) D RI'!U178</f>
        <v>3760.4979729729735</v>
      </c>
      <c r="D176" s="247">
        <f>'E) Fact soc'!G182/C176</f>
        <v>15.860665827999215</v>
      </c>
      <c r="E176" s="247">
        <f>'H) Péréquation directe'!I187/'H) Péréquation directe'!C187</f>
        <v>-8.2078729435911679</v>
      </c>
      <c r="F176" s="242">
        <f>'I) Dépenses thématiques'!P176</f>
        <v>-18.621735872028161</v>
      </c>
      <c r="G176" s="190">
        <f t="shared" si="13"/>
        <v>-10.968942987620114</v>
      </c>
      <c r="H176" s="242">
        <f t="shared" si="14"/>
        <v>7.6527928844080471</v>
      </c>
      <c r="I176" s="247">
        <f t="shared" si="15"/>
        <v>0</v>
      </c>
      <c r="J176" s="98">
        <f t="shared" si="12"/>
        <v>0</v>
      </c>
    </row>
    <row r="177" spans="1:10" x14ac:dyDescent="0.25">
      <c r="A177" s="82">
        <f>'A) Base RI'!A179</f>
        <v>5684</v>
      </c>
      <c r="B177" s="147" t="str">
        <f>'A) Base RI'!B179</f>
        <v>Rossenges</v>
      </c>
      <c r="C177" s="158">
        <f>'B) D RI'!U179</f>
        <v>1257.3034166666666</v>
      </c>
      <c r="D177" s="247">
        <f>'E) Fact soc'!G183/C177</f>
        <v>14.785675220623862</v>
      </c>
      <c r="E177" s="247">
        <f>'H) Péréquation directe'!I188/'H) Péréquation directe'!C188</f>
        <v>-3.6018926329386729</v>
      </c>
      <c r="F177" s="242">
        <f>'I) Dépenses thématiques'!P177</f>
        <v>-1.2248435656707368</v>
      </c>
      <c r="G177" s="190">
        <f t="shared" si="13"/>
        <v>9.9589390220144516</v>
      </c>
      <c r="H177" s="242">
        <f t="shared" si="14"/>
        <v>11.183782587685188</v>
      </c>
      <c r="I177" s="247">
        <f t="shared" si="15"/>
        <v>0</v>
      </c>
      <c r="J177" s="98">
        <f t="shared" si="12"/>
        <v>0</v>
      </c>
    </row>
    <row r="178" spans="1:10" x14ac:dyDescent="0.25">
      <c r="A178" s="82">
        <f>'A) Base RI'!A180</f>
        <v>5686</v>
      </c>
      <c r="B178" s="147" t="str">
        <f>'A) Base RI'!B180</f>
        <v>Sarzens</v>
      </c>
      <c r="C178" s="158">
        <f>'B) D RI'!U180</f>
        <v>1531.7207894736844</v>
      </c>
      <c r="D178" s="247">
        <f>'E) Fact soc'!G184/C178</f>
        <v>21.3515422305348</v>
      </c>
      <c r="E178" s="247">
        <f>'H) Péréquation directe'!I189/'H) Péréquation directe'!C189</f>
        <v>-21.377350994777697</v>
      </c>
      <c r="F178" s="242">
        <f>'I) Dépenses thématiques'!P178</f>
        <v>0</v>
      </c>
      <c r="G178" s="190">
        <f t="shared" si="13"/>
        <v>-2.5808764242896132E-2</v>
      </c>
      <c r="H178" s="242">
        <f t="shared" si="14"/>
        <v>-2.5808764242896132E-2</v>
      </c>
      <c r="I178" s="247">
        <f t="shared" si="15"/>
        <v>0</v>
      </c>
      <c r="J178" s="98">
        <f t="shared" si="12"/>
        <v>0</v>
      </c>
    </row>
    <row r="179" spans="1:10" x14ac:dyDescent="0.25">
      <c r="A179" s="82">
        <f>'A) Base RI'!A181</f>
        <v>5688</v>
      </c>
      <c r="B179" s="147" t="str">
        <f>'A) Base RI'!B181</f>
        <v>Syens</v>
      </c>
      <c r="C179" s="158">
        <f>'B) D RI'!U181</f>
        <v>4602.8089947089957</v>
      </c>
      <c r="D179" s="247">
        <f>'E) Fact soc'!G185/C179</f>
        <v>15.289416523525045</v>
      </c>
      <c r="E179" s="247">
        <f>'H) Péréquation directe'!I190/'H) Péréquation directe'!C190</f>
        <v>11.259691241397906</v>
      </c>
      <c r="F179" s="242">
        <f>'I) Dépenses thématiques'!P179</f>
        <v>0</v>
      </c>
      <c r="G179" s="190">
        <f t="shared" si="13"/>
        <v>26.549107764922951</v>
      </c>
      <c r="H179" s="242">
        <f t="shared" si="14"/>
        <v>26.549107764922951</v>
      </c>
      <c r="I179" s="247">
        <f t="shared" si="15"/>
        <v>0</v>
      </c>
      <c r="J179" s="98">
        <f t="shared" si="12"/>
        <v>0</v>
      </c>
    </row>
    <row r="180" spans="1:10" x14ac:dyDescent="0.25">
      <c r="A180" s="82">
        <f>'A) Base RI'!A182</f>
        <v>5690</v>
      </c>
      <c r="B180" s="147" t="str">
        <f>'A) Base RI'!B182</f>
        <v>Villars-le-Comte</v>
      </c>
      <c r="C180" s="158">
        <f>'B) D RI'!U182</f>
        <v>3143.0732894736843</v>
      </c>
      <c r="D180" s="247">
        <f>'E) Fact soc'!G186/C180</f>
        <v>14.864340265065572</v>
      </c>
      <c r="E180" s="247">
        <f>'H) Péréquation directe'!I191/'H) Péréquation directe'!C191</f>
        <v>-12.383285586014159</v>
      </c>
      <c r="F180" s="242">
        <f>'I) Dépenses thématiques'!P180</f>
        <v>-0.20744027897267997</v>
      </c>
      <c r="G180" s="190">
        <f t="shared" si="13"/>
        <v>2.2736144000787326</v>
      </c>
      <c r="H180" s="242">
        <f t="shared" si="14"/>
        <v>2.4810546790514127</v>
      </c>
      <c r="I180" s="247">
        <f t="shared" si="15"/>
        <v>0</v>
      </c>
      <c r="J180" s="98">
        <f t="shared" si="12"/>
        <v>0</v>
      </c>
    </row>
    <row r="181" spans="1:10" x14ac:dyDescent="0.25">
      <c r="A181" s="82">
        <f>'A) Base RI'!A183</f>
        <v>5692</v>
      </c>
      <c r="B181" s="147" t="str">
        <f>'A) Base RI'!B183</f>
        <v>Vucherens</v>
      </c>
      <c r="C181" s="158">
        <f>'B) D RI'!U183</f>
        <v>15992.362531645569</v>
      </c>
      <c r="D181" s="247">
        <f>'E) Fact soc'!G187/C181</f>
        <v>16.323717517459478</v>
      </c>
      <c r="E181" s="247">
        <f>'H) Péréquation directe'!I192/'H) Péréquation directe'!C192</f>
        <v>3.8378365120901501</v>
      </c>
      <c r="F181" s="242">
        <f>'I) Dépenses thématiques'!P181</f>
        <v>0</v>
      </c>
      <c r="G181" s="190">
        <f t="shared" si="13"/>
        <v>20.161554029549627</v>
      </c>
      <c r="H181" s="242">
        <f t="shared" si="14"/>
        <v>20.161554029549627</v>
      </c>
      <c r="I181" s="247">
        <f t="shared" si="15"/>
        <v>0</v>
      </c>
      <c r="J181" s="98">
        <f t="shared" si="12"/>
        <v>0</v>
      </c>
    </row>
    <row r="182" spans="1:10" x14ac:dyDescent="0.25">
      <c r="A182" s="82">
        <f>'A) Base RI'!A184</f>
        <v>5693</v>
      </c>
      <c r="B182" s="147" t="str">
        <f>'A) Base RI'!B184</f>
        <v>Montanaire</v>
      </c>
      <c r="C182" s="158">
        <f>'B) D RI'!U184</f>
        <v>59073.542638888895</v>
      </c>
      <c r="D182" s="247">
        <f>'E) Fact soc'!G188/C182</f>
        <v>17.313545199792742</v>
      </c>
      <c r="E182" s="247">
        <f>'H) Péréquation directe'!I193/'H) Péréquation directe'!C193</f>
        <v>-8.3149513719973545</v>
      </c>
      <c r="F182" s="242">
        <f>'I) Dépenses thématiques'!P182</f>
        <v>-2.6888348472846486</v>
      </c>
      <c r="G182" s="190">
        <f>SUM(D182:F182)</f>
        <v>6.3097589805107388</v>
      </c>
      <c r="H182" s="242">
        <f>G182-F182</f>
        <v>8.9985938277953874</v>
      </c>
      <c r="I182" s="247">
        <f t="shared" si="15"/>
        <v>0</v>
      </c>
      <c r="J182" s="98">
        <f>-I182*C182</f>
        <v>0</v>
      </c>
    </row>
    <row r="183" spans="1:10" x14ac:dyDescent="0.25">
      <c r="A183" s="82">
        <f>'A) Base RI'!A185</f>
        <v>5701</v>
      </c>
      <c r="B183" s="147" t="str">
        <f>'A) Base RI'!B185</f>
        <v>Arnex-sur-Nyon</v>
      </c>
      <c r="C183" s="158">
        <f>'B) D RI'!U185</f>
        <v>14424.549365079363</v>
      </c>
      <c r="D183" s="247">
        <f>'E) Fact soc'!G189/C183</f>
        <v>21.222817040643157</v>
      </c>
      <c r="E183" s="247">
        <f>'H) Péréquation directe'!I194/'H) Péréquation directe'!C194</f>
        <v>17.080393839754962</v>
      </c>
      <c r="F183" s="242">
        <f>'I) Dépenses thématiques'!P183</f>
        <v>0</v>
      </c>
      <c r="G183" s="190">
        <f>SUM(D183:F183)</f>
        <v>38.303210880398119</v>
      </c>
      <c r="H183" s="242">
        <f>G183-F183</f>
        <v>38.303210880398119</v>
      </c>
      <c r="I183" s="247">
        <f t="shared" si="15"/>
        <v>0</v>
      </c>
      <c r="J183" s="98">
        <f>-I183*C183</f>
        <v>0</v>
      </c>
    </row>
    <row r="184" spans="1:10" x14ac:dyDescent="0.25">
      <c r="A184" s="82">
        <f>'A) Base RI'!A186</f>
        <v>5702</v>
      </c>
      <c r="B184" s="147" t="str">
        <f>'A) Base RI'!B186</f>
        <v>Arzier-Le Muids</v>
      </c>
      <c r="C184" s="158">
        <f>'B) D RI'!U186</f>
        <v>123913.10833333334</v>
      </c>
      <c r="D184" s="247">
        <f>'E) Fact soc'!G190/C184</f>
        <v>17.848099124793809</v>
      </c>
      <c r="E184" s="247">
        <f>'H) Péréquation directe'!I195/'H) Péréquation directe'!C195</f>
        <v>13.67585740357171</v>
      </c>
      <c r="F184" s="242">
        <f>'I) Dépenses thématiques'!P184</f>
        <v>-2.6852445594772627</v>
      </c>
      <c r="G184" s="190">
        <f t="shared" si="13"/>
        <v>28.838711968888255</v>
      </c>
      <c r="H184" s="242">
        <f t="shared" si="14"/>
        <v>31.523956528365517</v>
      </c>
      <c r="I184" s="247">
        <f t="shared" si="15"/>
        <v>0</v>
      </c>
      <c r="J184" s="98">
        <f t="shared" si="12"/>
        <v>0</v>
      </c>
    </row>
    <row r="185" spans="1:10" x14ac:dyDescent="0.25">
      <c r="A185" s="82">
        <f>'A) Base RI'!A187</f>
        <v>5703</v>
      </c>
      <c r="B185" s="147" t="str">
        <f>'A) Base RI'!B187</f>
        <v>Bassins</v>
      </c>
      <c r="C185" s="158">
        <f>'B) D RI'!U187</f>
        <v>52680.758714285716</v>
      </c>
      <c r="D185" s="247">
        <f>'E) Fact soc'!G191/C185</f>
        <v>18.392604289936457</v>
      </c>
      <c r="E185" s="247">
        <f>'H) Péréquation directe'!I196/'H) Péréquation directe'!C196</f>
        <v>12.650303044865055</v>
      </c>
      <c r="F185" s="242">
        <f>'I) Dépenses thématiques'!P185</f>
        <v>-5.033868275099227</v>
      </c>
      <c r="G185" s="190">
        <f t="shared" si="13"/>
        <v>26.009039059702285</v>
      </c>
      <c r="H185" s="242">
        <f t="shared" si="14"/>
        <v>31.042907334801512</v>
      </c>
      <c r="I185" s="247">
        <f t="shared" si="15"/>
        <v>0</v>
      </c>
      <c r="J185" s="98">
        <f t="shared" si="12"/>
        <v>0</v>
      </c>
    </row>
    <row r="186" spans="1:10" x14ac:dyDescent="0.25">
      <c r="A186" s="82">
        <f>'A) Base RI'!A188</f>
        <v>5704</v>
      </c>
      <c r="B186" s="147" t="str">
        <f>'A) Base RI'!B188</f>
        <v>Begnins</v>
      </c>
      <c r="C186" s="158">
        <f>'B) D RI'!U188</f>
        <v>98583.13114427861</v>
      </c>
      <c r="D186" s="247">
        <f>'E) Fact soc'!G192/C186</f>
        <v>23.178152073054633</v>
      </c>
      <c r="E186" s="247">
        <f>'H) Péréquation directe'!I197/'H) Péréquation directe'!C197</f>
        <v>15.000705682977332</v>
      </c>
      <c r="F186" s="242">
        <f>'I) Dépenses thématiques'!P186</f>
        <v>0</v>
      </c>
      <c r="G186" s="190">
        <f t="shared" si="13"/>
        <v>38.178857756031967</v>
      </c>
      <c r="H186" s="242">
        <f t="shared" si="14"/>
        <v>38.178857756031967</v>
      </c>
      <c r="I186" s="247">
        <f t="shared" si="15"/>
        <v>0</v>
      </c>
      <c r="J186" s="98">
        <f t="shared" si="12"/>
        <v>0</v>
      </c>
    </row>
    <row r="187" spans="1:10" x14ac:dyDescent="0.25">
      <c r="A187" s="82">
        <f>'A) Base RI'!A189</f>
        <v>5705</v>
      </c>
      <c r="B187" s="147" t="str">
        <f>'A) Base RI'!B189</f>
        <v>Bogis-Bossey</v>
      </c>
      <c r="C187" s="158">
        <f>'B) D RI'!U189</f>
        <v>43467.757968750004</v>
      </c>
      <c r="D187" s="247">
        <f>'E) Fact soc'!G193/C187</f>
        <v>16.716952998059554</v>
      </c>
      <c r="E187" s="247">
        <f>'H) Péréquation directe'!I198/'H) Péréquation directe'!C198</f>
        <v>16.646430223527997</v>
      </c>
      <c r="F187" s="242">
        <f>'I) Dépenses thématiques'!P187</f>
        <v>0</v>
      </c>
      <c r="G187" s="190">
        <f t="shared" si="13"/>
        <v>33.363383221587554</v>
      </c>
      <c r="H187" s="242">
        <f t="shared" si="14"/>
        <v>33.363383221587554</v>
      </c>
      <c r="I187" s="247">
        <f t="shared" si="15"/>
        <v>0</v>
      </c>
      <c r="J187" s="98">
        <f t="shared" si="12"/>
        <v>0</v>
      </c>
    </row>
    <row r="188" spans="1:10" x14ac:dyDescent="0.25">
      <c r="A188" s="82">
        <f>'A) Base RI'!A190</f>
        <v>5706</v>
      </c>
      <c r="B188" s="147" t="str">
        <f>'A) Base RI'!B190</f>
        <v>Borex</v>
      </c>
      <c r="C188" s="158">
        <f>'B) D RI'!U190</f>
        <v>92938.421228070161</v>
      </c>
      <c r="D188" s="247">
        <f>'E) Fact soc'!G194/C188</f>
        <v>25.588567943218955</v>
      </c>
      <c r="E188" s="247">
        <f>'H) Péréquation directe'!I199/'H) Péréquation directe'!C199</f>
        <v>17.313322699708507</v>
      </c>
      <c r="F188" s="242">
        <f>'I) Dépenses thématiques'!P188</f>
        <v>-1.0116345012961421</v>
      </c>
      <c r="G188" s="190">
        <f t="shared" si="13"/>
        <v>41.890256141631319</v>
      </c>
      <c r="H188" s="242">
        <f t="shared" si="14"/>
        <v>42.901890642927462</v>
      </c>
      <c r="I188" s="247">
        <f t="shared" si="15"/>
        <v>0</v>
      </c>
      <c r="J188" s="98">
        <f t="shared" si="12"/>
        <v>0</v>
      </c>
    </row>
    <row r="189" spans="1:10" x14ac:dyDescent="0.25">
      <c r="A189" s="82">
        <f>'A) Base RI'!A191</f>
        <v>5707</v>
      </c>
      <c r="B189" s="147" t="str">
        <f>'A) Base RI'!B191</f>
        <v>Chavannes-de-Bogis</v>
      </c>
      <c r="C189" s="158">
        <f>'B) D RI'!U191</f>
        <v>97999.943502824884</v>
      </c>
      <c r="D189" s="247">
        <f>'E) Fact soc'!G195/C189</f>
        <v>24.719285761649022</v>
      </c>
      <c r="E189" s="247">
        <f>'H) Péréquation directe'!I200/'H) Péréquation directe'!C200</f>
        <v>16.824925809576946</v>
      </c>
      <c r="F189" s="242">
        <f>'I) Dépenses thématiques'!P189</f>
        <v>0</v>
      </c>
      <c r="G189" s="190">
        <f t="shared" si="13"/>
        <v>41.544211571225972</v>
      </c>
      <c r="H189" s="242">
        <f t="shared" si="14"/>
        <v>41.544211571225972</v>
      </c>
      <c r="I189" s="247">
        <f t="shared" si="15"/>
        <v>0</v>
      </c>
      <c r="J189" s="98">
        <f t="shared" si="12"/>
        <v>0</v>
      </c>
    </row>
    <row r="190" spans="1:10" x14ac:dyDescent="0.25">
      <c r="A190" s="82">
        <f>'A) Base RI'!A192</f>
        <v>5708</v>
      </c>
      <c r="B190" s="147" t="str">
        <f>'A) Base RI'!B192</f>
        <v>Chavannes-des-Bois</v>
      </c>
      <c r="C190" s="158">
        <f>'B) D RI'!U192</f>
        <v>60199.422131147534</v>
      </c>
      <c r="D190" s="247">
        <f>'E) Fact soc'!G196/C190</f>
        <v>22.13909608135922</v>
      </c>
      <c r="E190" s="247">
        <f>'H) Péréquation directe'!I201/'H) Péréquation directe'!C201</f>
        <v>17.075856798150784</v>
      </c>
      <c r="F190" s="242">
        <f>'I) Dépenses thématiques'!P190</f>
        <v>0</v>
      </c>
      <c r="G190" s="190">
        <f t="shared" si="13"/>
        <v>39.214952879510008</v>
      </c>
      <c r="H190" s="242">
        <f t="shared" si="14"/>
        <v>39.214952879510008</v>
      </c>
      <c r="I190" s="247">
        <f t="shared" si="15"/>
        <v>0</v>
      </c>
      <c r="J190" s="98">
        <f t="shared" si="12"/>
        <v>0</v>
      </c>
    </row>
    <row r="191" spans="1:10" x14ac:dyDescent="0.25">
      <c r="A191" s="82">
        <f>'A) Base RI'!A193</f>
        <v>5709</v>
      </c>
      <c r="B191" s="147" t="str">
        <f>'A) Base RI'!B193</f>
        <v>Chéserex</v>
      </c>
      <c r="C191" s="158">
        <f>'B) D RI'!U193</f>
        <v>145967.90288461538</v>
      </c>
      <c r="D191" s="247">
        <f>'E) Fact soc'!G197/C191</f>
        <v>25.476627104844148</v>
      </c>
      <c r="E191" s="247">
        <f>'H) Péréquation directe'!I202/'H) Péréquation directe'!C202</f>
        <v>16.905423361634483</v>
      </c>
      <c r="F191" s="242">
        <f>'I) Dépenses thématiques'!P191</f>
        <v>0</v>
      </c>
      <c r="G191" s="190">
        <f t="shared" si="13"/>
        <v>42.382050466478631</v>
      </c>
      <c r="H191" s="242">
        <f t="shared" si="14"/>
        <v>42.382050466478631</v>
      </c>
      <c r="I191" s="247">
        <f t="shared" si="15"/>
        <v>0</v>
      </c>
      <c r="J191" s="98">
        <f t="shared" si="12"/>
        <v>0</v>
      </c>
    </row>
    <row r="192" spans="1:10" x14ac:dyDescent="0.25">
      <c r="A192" s="82">
        <f>'A) Base RI'!A194</f>
        <v>5710</v>
      </c>
      <c r="B192" s="147" t="str">
        <f>'A) Base RI'!B194</f>
        <v>Coinsins</v>
      </c>
      <c r="C192" s="158">
        <f>'B) D RI'!U194</f>
        <v>102493.90717948719</v>
      </c>
      <c r="D192" s="247">
        <f>'E) Fact soc'!G198/C192</f>
        <v>26.312393663894035</v>
      </c>
      <c r="E192" s="247">
        <f>'H) Péréquation directe'!I203/'H) Péréquation directe'!C203</f>
        <v>17.79483692748131</v>
      </c>
      <c r="F192" s="242">
        <f>'I) Dépenses thématiques'!P192</f>
        <v>0</v>
      </c>
      <c r="G192" s="190">
        <f t="shared" si="13"/>
        <v>44.107230591375341</v>
      </c>
      <c r="H192" s="242">
        <f t="shared" si="14"/>
        <v>44.107230591375341</v>
      </c>
      <c r="I192" s="247">
        <f t="shared" si="15"/>
        <v>0</v>
      </c>
      <c r="J192" s="98">
        <f t="shared" si="12"/>
        <v>0</v>
      </c>
    </row>
    <row r="193" spans="1:10" x14ac:dyDescent="0.25">
      <c r="A193" s="82">
        <f>'A) Base RI'!A195</f>
        <v>5711</v>
      </c>
      <c r="B193" s="147" t="str">
        <f>'A) Base RI'!B195</f>
        <v>Commugny</v>
      </c>
      <c r="C193" s="158">
        <f>'B) D RI'!U195</f>
        <v>235951.75200265253</v>
      </c>
      <c r="D193" s="247">
        <f>'E) Fact soc'!G199/C193</f>
        <v>24.572658916742569</v>
      </c>
      <c r="E193" s="247">
        <f>'H) Péréquation directe'!I204/'H) Péréquation directe'!C204</f>
        <v>15.301593965805088</v>
      </c>
      <c r="F193" s="242">
        <f>'I) Dépenses thématiques'!P193</f>
        <v>0</v>
      </c>
      <c r="G193" s="190">
        <f t="shared" si="13"/>
        <v>39.874252882547658</v>
      </c>
      <c r="H193" s="242">
        <f t="shared" si="14"/>
        <v>39.874252882547658</v>
      </c>
      <c r="I193" s="247">
        <f t="shared" si="15"/>
        <v>0</v>
      </c>
      <c r="J193" s="98">
        <f t="shared" si="12"/>
        <v>0</v>
      </c>
    </row>
    <row r="194" spans="1:10" x14ac:dyDescent="0.25">
      <c r="A194" s="82">
        <f>'A) Base RI'!A196</f>
        <v>5712</v>
      </c>
      <c r="B194" s="147" t="str">
        <f>'A) Base RI'!B196</f>
        <v>Coppet</v>
      </c>
      <c r="C194" s="158">
        <f>'B) D RI'!U196</f>
        <v>292636.3057232704</v>
      </c>
      <c r="D194" s="247">
        <f>'E) Fact soc'!G200/C194</f>
        <v>26.252681595987529</v>
      </c>
      <c r="E194" s="247">
        <f>'H) Péréquation directe'!I205/'H) Péréquation directe'!C205</f>
        <v>15.282080163836289</v>
      </c>
      <c r="F194" s="242">
        <f>'I) Dépenses thématiques'!P194</f>
        <v>0</v>
      </c>
      <c r="G194" s="190">
        <f t="shared" si="13"/>
        <v>41.534761759823816</v>
      </c>
      <c r="H194" s="242">
        <f t="shared" si="14"/>
        <v>41.534761759823816</v>
      </c>
      <c r="I194" s="247">
        <f t="shared" si="15"/>
        <v>0</v>
      </c>
      <c r="J194" s="98">
        <f t="shared" si="12"/>
        <v>0</v>
      </c>
    </row>
    <row r="195" spans="1:10" x14ac:dyDescent="0.25">
      <c r="A195" s="82">
        <f>'A) Base RI'!A197</f>
        <v>5713</v>
      </c>
      <c r="B195" s="147" t="str">
        <f>'A) Base RI'!B197</f>
        <v>Crans-près-Céligny</v>
      </c>
      <c r="C195" s="158">
        <f>'B) D RI'!U197</f>
        <v>335979.11377358483</v>
      </c>
      <c r="D195" s="247">
        <f>'E) Fact soc'!G201/C195</f>
        <v>31.213033343469945</v>
      </c>
      <c r="E195" s="247">
        <f>'H) Péréquation directe'!I206/'H) Péréquation directe'!C206</f>
        <v>16.39669910021971</v>
      </c>
      <c r="F195" s="242">
        <f>'I) Dépenses thématiques'!P195</f>
        <v>0</v>
      </c>
      <c r="G195" s="190">
        <f t="shared" si="13"/>
        <v>47.609732443689651</v>
      </c>
      <c r="H195" s="242">
        <f t="shared" si="14"/>
        <v>47.609732443689651</v>
      </c>
      <c r="I195" s="247">
        <f t="shared" si="15"/>
        <v>0</v>
      </c>
      <c r="J195" s="98">
        <f t="shared" si="12"/>
        <v>0</v>
      </c>
    </row>
    <row r="196" spans="1:10" x14ac:dyDescent="0.25">
      <c r="A196" s="82">
        <f>'A) Base RI'!A198</f>
        <v>5714</v>
      </c>
      <c r="B196" s="147" t="str">
        <f>'A) Base RI'!B198</f>
        <v>Crassier</v>
      </c>
      <c r="C196" s="158">
        <f>'B) D RI'!U198</f>
        <v>64394.622031249986</v>
      </c>
      <c r="D196" s="247">
        <f>'E) Fact soc'!G202/C196</f>
        <v>19.916561394466992</v>
      </c>
      <c r="E196" s="247">
        <f>'H) Péréquation directe'!I207/'H) Péréquation directe'!C207</f>
        <v>16.347722249652875</v>
      </c>
      <c r="F196" s="242">
        <f>'I) Dépenses thématiques'!P196</f>
        <v>0</v>
      </c>
      <c r="G196" s="190">
        <f t="shared" si="13"/>
        <v>36.264283644119871</v>
      </c>
      <c r="H196" s="242">
        <f t="shared" si="14"/>
        <v>36.264283644119871</v>
      </c>
      <c r="I196" s="247">
        <f t="shared" si="15"/>
        <v>0</v>
      </c>
      <c r="J196" s="98">
        <f t="shared" si="12"/>
        <v>0</v>
      </c>
    </row>
    <row r="197" spans="1:10" x14ac:dyDescent="0.25">
      <c r="A197" s="82">
        <f>'A) Base RI'!A199</f>
        <v>5715</v>
      </c>
      <c r="B197" s="147" t="str">
        <f>'A) Base RI'!B199</f>
        <v>Duillier</v>
      </c>
      <c r="C197" s="158">
        <f>'B) D RI'!U199</f>
        <v>60430.509848484849</v>
      </c>
      <c r="D197" s="247">
        <f>'E) Fact soc'!G203/C197</f>
        <v>16.686694085593906</v>
      </c>
      <c r="E197" s="247">
        <f>'H) Péréquation directe'!I208/'H) Péréquation directe'!C208</f>
        <v>16.772807004565674</v>
      </c>
      <c r="F197" s="242">
        <f>'I) Dépenses thématiques'!P197</f>
        <v>0</v>
      </c>
      <c r="G197" s="190">
        <f t="shared" si="13"/>
        <v>33.459501090159577</v>
      </c>
      <c r="H197" s="242">
        <f t="shared" si="14"/>
        <v>33.459501090159577</v>
      </c>
      <c r="I197" s="247">
        <f t="shared" si="15"/>
        <v>0</v>
      </c>
      <c r="J197" s="98">
        <f t="shared" si="12"/>
        <v>0</v>
      </c>
    </row>
    <row r="198" spans="1:10" x14ac:dyDescent="0.25">
      <c r="A198" s="82">
        <f>'A) Base RI'!A200</f>
        <v>5716</v>
      </c>
      <c r="B198" s="147" t="str">
        <f>'A) Base RI'!B200</f>
        <v>Eysins</v>
      </c>
      <c r="C198" s="158">
        <f>'B) D RI'!U200</f>
        <v>137603.84967213115</v>
      </c>
      <c r="D198" s="247">
        <f>'E) Fact soc'!G204/C198</f>
        <v>26.622279325536809</v>
      </c>
      <c r="E198" s="247">
        <f>'H) Péréquation directe'!I209/'H) Péréquation directe'!C209</f>
        <v>16.243035493802299</v>
      </c>
      <c r="F198" s="242">
        <f>'I) Dépenses thématiques'!P198</f>
        <v>0</v>
      </c>
      <c r="G198" s="190">
        <f t="shared" si="13"/>
        <v>42.865314819339105</v>
      </c>
      <c r="H198" s="242">
        <f t="shared" si="14"/>
        <v>42.865314819339105</v>
      </c>
      <c r="I198" s="247">
        <f t="shared" si="15"/>
        <v>0</v>
      </c>
      <c r="J198" s="98">
        <f t="shared" si="12"/>
        <v>0</v>
      </c>
    </row>
    <row r="199" spans="1:10" x14ac:dyDescent="0.25">
      <c r="A199" s="82">
        <f>'A) Base RI'!A201</f>
        <v>5717</v>
      </c>
      <c r="B199" s="147" t="str">
        <f>'A) Base RI'!B201</f>
        <v>Founex</v>
      </c>
      <c r="C199" s="158">
        <f>'B) D RI'!U201</f>
        <v>331728.2661403509</v>
      </c>
      <c r="D199" s="247">
        <f>'E) Fact soc'!G205/C199</f>
        <v>27.466824253583528</v>
      </c>
      <c r="E199" s="247">
        <f>'H) Péréquation directe'!I210/'H) Péréquation directe'!C210</f>
        <v>15.000633618973342</v>
      </c>
      <c r="F199" s="242">
        <f>'I) Dépenses thématiques'!P199</f>
        <v>0</v>
      </c>
      <c r="G199" s="190">
        <f t="shared" si="13"/>
        <v>42.467457872556871</v>
      </c>
      <c r="H199" s="242">
        <f t="shared" si="14"/>
        <v>42.467457872556871</v>
      </c>
      <c r="I199" s="247">
        <f t="shared" si="15"/>
        <v>0</v>
      </c>
      <c r="J199" s="98">
        <f t="shared" si="12"/>
        <v>0</v>
      </c>
    </row>
    <row r="200" spans="1:10" x14ac:dyDescent="0.25">
      <c r="A200" s="82">
        <f>'A) Base RI'!A202</f>
        <v>5718</v>
      </c>
      <c r="B200" s="147" t="str">
        <f>'A) Base RI'!B202</f>
        <v>Genolier</v>
      </c>
      <c r="C200" s="158">
        <f>'B) D RI'!U202</f>
        <v>178659.63072727274</v>
      </c>
      <c r="D200" s="247">
        <f>'E) Fact soc'!G206/C200</f>
        <v>25.59568665086492</v>
      </c>
      <c r="E200" s="247">
        <f>'H) Péréquation directe'!I211/'H) Péréquation directe'!C211</f>
        <v>15.774785179794232</v>
      </c>
      <c r="F200" s="242">
        <f>'I) Dépenses thématiques'!P200</f>
        <v>0</v>
      </c>
      <c r="G200" s="190">
        <f t="shared" si="13"/>
        <v>41.370471830659156</v>
      </c>
      <c r="H200" s="242">
        <f t="shared" si="14"/>
        <v>41.370471830659156</v>
      </c>
      <c r="I200" s="247">
        <f t="shared" si="15"/>
        <v>0</v>
      </c>
      <c r="J200" s="98">
        <f t="shared" si="12"/>
        <v>0</v>
      </c>
    </row>
    <row r="201" spans="1:10" x14ac:dyDescent="0.25">
      <c r="A201" s="82">
        <f>'A) Base RI'!A203</f>
        <v>5719</v>
      </c>
      <c r="B201" s="147" t="str">
        <f>'A) Base RI'!B203</f>
        <v>Gingins</v>
      </c>
      <c r="C201" s="158">
        <f>'B) D RI'!U203</f>
        <v>96095.319738562102</v>
      </c>
      <c r="D201" s="247">
        <f>'E) Fact soc'!G207/C201</f>
        <v>21.587571610013232</v>
      </c>
      <c r="E201" s="247">
        <f>'H) Péréquation directe'!I212/'H) Péréquation directe'!C212</f>
        <v>16.473175761813383</v>
      </c>
      <c r="F201" s="242">
        <f>'I) Dépenses thématiques'!P201</f>
        <v>0</v>
      </c>
      <c r="G201" s="190">
        <f t="shared" si="13"/>
        <v>38.060747371826615</v>
      </c>
      <c r="H201" s="242">
        <f t="shared" si="14"/>
        <v>38.060747371826615</v>
      </c>
      <c r="I201" s="247">
        <f t="shared" si="15"/>
        <v>0</v>
      </c>
      <c r="J201" s="98">
        <f t="shared" si="12"/>
        <v>0</v>
      </c>
    </row>
    <row r="202" spans="1:10" x14ac:dyDescent="0.25">
      <c r="A202" s="82">
        <f>'A) Base RI'!A204</f>
        <v>5720</v>
      </c>
      <c r="B202" s="147" t="str">
        <f>'A) Base RI'!B204</f>
        <v>Givrins</v>
      </c>
      <c r="C202" s="158">
        <f>'B) D RI'!U204</f>
        <v>74875.243533697634</v>
      </c>
      <c r="D202" s="247">
        <f>'E) Fact soc'!G208/C202</f>
        <v>22.565000491971798</v>
      </c>
      <c r="E202" s="247">
        <f>'H) Péréquation directe'!I213/'H) Péréquation directe'!C213</f>
        <v>17.11557173927898</v>
      </c>
      <c r="F202" s="242">
        <f>'I) Dépenses thématiques'!P202</f>
        <v>-0.51936454694025591</v>
      </c>
      <c r="G202" s="190">
        <f t="shared" si="13"/>
        <v>39.161207684310526</v>
      </c>
      <c r="H202" s="242">
        <f t="shared" si="14"/>
        <v>39.680572231250778</v>
      </c>
      <c r="I202" s="247">
        <f t="shared" si="15"/>
        <v>0</v>
      </c>
      <c r="J202" s="98">
        <f t="shared" si="12"/>
        <v>0</v>
      </c>
    </row>
    <row r="203" spans="1:10" x14ac:dyDescent="0.25">
      <c r="A203" s="82">
        <f>'A) Base RI'!A205</f>
        <v>5721</v>
      </c>
      <c r="B203" s="147" t="str">
        <f>'A) Base RI'!B205</f>
        <v>Gland</v>
      </c>
      <c r="C203" s="158">
        <f>'B) D RI'!U205</f>
        <v>545180.59375999996</v>
      </c>
      <c r="D203" s="247">
        <f>'E) Fact soc'!G209/C203</f>
        <v>18.112766584038205</v>
      </c>
      <c r="E203" s="247">
        <f>'H) Péréquation directe'!I214/'H) Péréquation directe'!C214</f>
        <v>5.2270704292597259</v>
      </c>
      <c r="F203" s="242">
        <f>'I) Dépenses thématiques'!P203</f>
        <v>0</v>
      </c>
      <c r="G203" s="190">
        <f t="shared" si="13"/>
        <v>23.339837013297931</v>
      </c>
      <c r="H203" s="242">
        <f t="shared" si="14"/>
        <v>23.339837013297931</v>
      </c>
      <c r="I203" s="247">
        <f t="shared" si="15"/>
        <v>0</v>
      </c>
      <c r="J203" s="98">
        <f t="shared" si="12"/>
        <v>0</v>
      </c>
    </row>
    <row r="204" spans="1:10" x14ac:dyDescent="0.25">
      <c r="A204" s="82">
        <f>'A) Base RI'!A206</f>
        <v>5722</v>
      </c>
      <c r="B204" s="147" t="str">
        <f>'A) Base RI'!B206</f>
        <v>Grens</v>
      </c>
      <c r="C204" s="158">
        <f>'B) D RI'!U206</f>
        <v>17973.033684210524</v>
      </c>
      <c r="D204" s="247">
        <f>'E) Fact soc'!G210/C204</f>
        <v>16.260424306710846</v>
      </c>
      <c r="E204" s="247">
        <f>'H) Péréquation directe'!I215/'H) Péréquation directe'!C215</f>
        <v>16.519526153274541</v>
      </c>
      <c r="F204" s="242">
        <f>'I) Dépenses thématiques'!P204</f>
        <v>0</v>
      </c>
      <c r="G204" s="190">
        <f t="shared" si="13"/>
        <v>32.779950459985386</v>
      </c>
      <c r="H204" s="242">
        <f t="shared" si="14"/>
        <v>32.779950459985386</v>
      </c>
      <c r="I204" s="247">
        <f t="shared" si="15"/>
        <v>0</v>
      </c>
      <c r="J204" s="98">
        <f t="shared" si="12"/>
        <v>0</v>
      </c>
    </row>
    <row r="205" spans="1:10" x14ac:dyDescent="0.25">
      <c r="A205" s="82">
        <f>'A) Base RI'!A207</f>
        <v>5723</v>
      </c>
      <c r="B205" s="147" t="str">
        <f>'A) Base RI'!B207</f>
        <v>Mies</v>
      </c>
      <c r="C205" s="158">
        <f>'B) D RI'!U207</f>
        <v>194683.98403846152</v>
      </c>
      <c r="D205" s="247">
        <f>'E) Fact soc'!G211/C205</f>
        <v>39.02126418067467</v>
      </c>
      <c r="E205" s="247">
        <f>'H) Péréquation directe'!I216/'H) Péréquation directe'!C216</f>
        <v>16.073070765244161</v>
      </c>
      <c r="F205" s="242">
        <f>'I) Dépenses thématiques'!P205</f>
        <v>0</v>
      </c>
      <c r="G205" s="190">
        <f t="shared" si="13"/>
        <v>55.094334945918831</v>
      </c>
      <c r="H205" s="242">
        <f t="shared" si="14"/>
        <v>55.094334945918831</v>
      </c>
      <c r="I205" s="247">
        <f t="shared" si="15"/>
        <v>0</v>
      </c>
      <c r="J205" s="98">
        <f t="shared" si="12"/>
        <v>0</v>
      </c>
    </row>
    <row r="206" spans="1:10" x14ac:dyDescent="0.25">
      <c r="A206" s="82">
        <f>'A) Base RI'!A208</f>
        <v>5724</v>
      </c>
      <c r="B206" s="147" t="str">
        <f>'A) Base RI'!B208</f>
        <v>Nyon</v>
      </c>
      <c r="C206" s="158">
        <f>'B) D RI'!U208</f>
        <v>1278048.420189155</v>
      </c>
      <c r="D206" s="247">
        <f>'E) Fact soc'!G212/C206</f>
        <v>20.338013331594727</v>
      </c>
      <c r="E206" s="247">
        <f>'H) Péréquation directe'!I217/'H) Péréquation directe'!C217</f>
        <v>6.4603090332047675</v>
      </c>
      <c r="F206" s="242">
        <f>'I) Dépenses thématiques'!P206</f>
        <v>0</v>
      </c>
      <c r="G206" s="190">
        <f t="shared" si="13"/>
        <v>26.798322364799496</v>
      </c>
      <c r="H206" s="242">
        <f t="shared" si="14"/>
        <v>26.798322364799496</v>
      </c>
      <c r="I206" s="247">
        <f t="shared" si="15"/>
        <v>0</v>
      </c>
      <c r="J206" s="98">
        <f t="shared" si="12"/>
        <v>0</v>
      </c>
    </row>
    <row r="207" spans="1:10" x14ac:dyDescent="0.25">
      <c r="A207" s="82">
        <f>'A) Base RI'!A209</f>
        <v>5725</v>
      </c>
      <c r="B207" s="147" t="str">
        <f>'A) Base RI'!B209</f>
        <v>Prangins</v>
      </c>
      <c r="C207" s="158">
        <f>'B) D RI'!U209</f>
        <v>330908.64043367346</v>
      </c>
      <c r="D207" s="247">
        <f>'E) Fact soc'!G213/C207</f>
        <v>24.984409822182002</v>
      </c>
      <c r="E207" s="247">
        <f>'H) Péréquation directe'!I218/'H) Péréquation directe'!C218</f>
        <v>14.100585730302166</v>
      </c>
      <c r="F207" s="242">
        <f>'I) Dépenses thématiques'!P207</f>
        <v>0</v>
      </c>
      <c r="G207" s="190">
        <f t="shared" si="13"/>
        <v>39.084995552484166</v>
      </c>
      <c r="H207" s="242">
        <f t="shared" si="14"/>
        <v>39.084995552484166</v>
      </c>
      <c r="I207" s="247">
        <f t="shared" si="15"/>
        <v>0</v>
      </c>
      <c r="J207" s="98">
        <f t="shared" si="12"/>
        <v>0</v>
      </c>
    </row>
    <row r="208" spans="1:10" x14ac:dyDescent="0.25">
      <c r="A208" s="82">
        <f>'A) Base RI'!A210</f>
        <v>5726</v>
      </c>
      <c r="B208" s="147" t="str">
        <f>'A) Base RI'!B210</f>
        <v>La Rippe</v>
      </c>
      <c r="C208" s="158">
        <f>'B) D RI'!U210</f>
        <v>52407.476615384607</v>
      </c>
      <c r="D208" s="247">
        <f>'E) Fact soc'!G214/C208</f>
        <v>17.064371939346305</v>
      </c>
      <c r="E208" s="247">
        <f>'H) Péréquation directe'!I219/'H) Péréquation directe'!C219</f>
        <v>16.267087351993155</v>
      </c>
      <c r="F208" s="242">
        <f>'I) Dépenses thématiques'!P208</f>
        <v>-1.4727669596925805</v>
      </c>
      <c r="G208" s="190">
        <f t="shared" si="13"/>
        <v>31.858692331646875</v>
      </c>
      <c r="H208" s="242">
        <f t="shared" si="14"/>
        <v>33.331459291339456</v>
      </c>
      <c r="I208" s="247">
        <f t="shared" si="15"/>
        <v>0</v>
      </c>
      <c r="J208" s="98">
        <f t="shared" si="12"/>
        <v>0</v>
      </c>
    </row>
    <row r="209" spans="1:10" x14ac:dyDescent="0.25">
      <c r="A209" s="82">
        <f>'A) Base RI'!A211</f>
        <v>5727</v>
      </c>
      <c r="B209" s="147" t="str">
        <f>'A) Base RI'!B211</f>
        <v>Saint-Cergue</v>
      </c>
      <c r="C209" s="158">
        <f>'B) D RI'!U211</f>
        <v>86282.692626262622</v>
      </c>
      <c r="D209" s="247">
        <f>'E) Fact soc'!G215/C209</f>
        <v>18.741702954696965</v>
      </c>
      <c r="E209" s="247">
        <f>'H) Péréquation directe'!I220/'H) Péréquation directe'!C220</f>
        <v>8.6801760554810503</v>
      </c>
      <c r="F209" s="242">
        <f>'I) Dépenses thématiques'!P209</f>
        <v>-1.1004176748547616</v>
      </c>
      <c r="G209" s="190">
        <f t="shared" si="13"/>
        <v>26.321461335323256</v>
      </c>
      <c r="H209" s="242">
        <f t="shared" si="14"/>
        <v>27.421879010178017</v>
      </c>
      <c r="I209" s="247">
        <f t="shared" si="15"/>
        <v>0</v>
      </c>
      <c r="J209" s="98">
        <f t="shared" si="12"/>
        <v>0</v>
      </c>
    </row>
    <row r="210" spans="1:10" x14ac:dyDescent="0.25">
      <c r="A210" s="82">
        <f>'A) Base RI'!A212</f>
        <v>5728</v>
      </c>
      <c r="B210" s="147" t="str">
        <f>'A) Base RI'!B212</f>
        <v>Signy-Avenex</v>
      </c>
      <c r="C210" s="158">
        <f>'B) D RI'!U212</f>
        <v>39079.357857142866</v>
      </c>
      <c r="D210" s="247">
        <f>'E) Fact soc'!G216/C210</f>
        <v>24.664738432615515</v>
      </c>
      <c r="E210" s="247">
        <f>'H) Péréquation directe'!I221/'H) Péréquation directe'!C221</f>
        <v>17.185188591577955</v>
      </c>
      <c r="F210" s="242">
        <f>'I) Dépenses thématiques'!P210</f>
        <v>0</v>
      </c>
      <c r="G210" s="190">
        <f t="shared" si="13"/>
        <v>41.84992702419347</v>
      </c>
      <c r="H210" s="242">
        <f t="shared" si="14"/>
        <v>41.84992702419347</v>
      </c>
      <c r="I210" s="247">
        <f t="shared" si="15"/>
        <v>0</v>
      </c>
      <c r="J210" s="98">
        <f t="shared" si="12"/>
        <v>0</v>
      </c>
    </row>
    <row r="211" spans="1:10" x14ac:dyDescent="0.25">
      <c r="A211" s="82">
        <f>'A) Base RI'!A213</f>
        <v>5729</v>
      </c>
      <c r="B211" s="147" t="str">
        <f>'A) Base RI'!B213</f>
        <v>Tannay</v>
      </c>
      <c r="C211" s="158">
        <f>'B) D RI'!U213</f>
        <v>152150.21945355195</v>
      </c>
      <c r="D211" s="247">
        <f>'E) Fact soc'!G217/C211</f>
        <v>27.106154002475215</v>
      </c>
      <c r="E211" s="247">
        <f>'H) Péréquation directe'!I222/'H) Péréquation directe'!C222</f>
        <v>16.257299162230058</v>
      </c>
      <c r="F211" s="242">
        <f>'I) Dépenses thématiques'!P211</f>
        <v>0</v>
      </c>
      <c r="G211" s="190">
        <f t="shared" si="13"/>
        <v>43.363453164705277</v>
      </c>
      <c r="H211" s="242">
        <f t="shared" si="14"/>
        <v>43.363453164705277</v>
      </c>
      <c r="I211" s="247">
        <f t="shared" si="15"/>
        <v>0</v>
      </c>
      <c r="J211" s="98">
        <f t="shared" si="12"/>
        <v>0</v>
      </c>
    </row>
    <row r="212" spans="1:10" x14ac:dyDescent="0.25">
      <c r="A212" s="82">
        <f>'A) Base RI'!A214</f>
        <v>5730</v>
      </c>
      <c r="B212" s="147" t="str">
        <f>'A) Base RI'!B214</f>
        <v>Trélex</v>
      </c>
      <c r="C212" s="158">
        <f>'B) D RI'!U214</f>
        <v>142541.33792452831</v>
      </c>
      <c r="D212" s="247">
        <f>'E) Fact soc'!G218/C212</f>
        <v>23.997719581083114</v>
      </c>
      <c r="E212" s="247">
        <f>'H) Péréquation directe'!I223/'H) Péréquation directe'!C223</f>
        <v>16.440982678891423</v>
      </c>
      <c r="F212" s="242">
        <f>'I) Dépenses thématiques'!P212</f>
        <v>0</v>
      </c>
      <c r="G212" s="190">
        <f t="shared" si="13"/>
        <v>40.438702259974534</v>
      </c>
      <c r="H212" s="242">
        <f t="shared" si="14"/>
        <v>40.438702259974534</v>
      </c>
      <c r="I212" s="247">
        <f t="shared" si="15"/>
        <v>0</v>
      </c>
      <c r="J212" s="98">
        <f t="shared" si="12"/>
        <v>0</v>
      </c>
    </row>
    <row r="213" spans="1:10" x14ac:dyDescent="0.25">
      <c r="A213" s="82">
        <f>'A) Base RI'!A215</f>
        <v>5731</v>
      </c>
      <c r="B213" s="147" t="str">
        <f>'A) Base RI'!B215</f>
        <v>Le Vaud</v>
      </c>
      <c r="C213" s="158">
        <f>'B) D RI'!U215</f>
        <v>44154.497155555553</v>
      </c>
      <c r="D213" s="247">
        <f>'E) Fact soc'!G219/C213</f>
        <v>16.42801800950275</v>
      </c>
      <c r="E213" s="247">
        <f>'H) Péréquation directe'!I224/'H) Péréquation directe'!C224</f>
        <v>9.2670850973955314</v>
      </c>
      <c r="F213" s="242">
        <f>'I) Dépenses thématiques'!P213</f>
        <v>-3.4837448031190155</v>
      </c>
      <c r="G213" s="190">
        <f t="shared" si="13"/>
        <v>22.211358303779264</v>
      </c>
      <c r="H213" s="242">
        <f t="shared" si="14"/>
        <v>25.69510310689828</v>
      </c>
      <c r="I213" s="247">
        <f t="shared" si="15"/>
        <v>0</v>
      </c>
      <c r="J213" s="98">
        <f t="shared" si="12"/>
        <v>0</v>
      </c>
    </row>
    <row r="214" spans="1:10" x14ac:dyDescent="0.25">
      <c r="A214" s="82">
        <f>'A) Base RI'!A216</f>
        <v>5732</v>
      </c>
      <c r="B214" s="147" t="str">
        <f>'A) Base RI'!B216</f>
        <v>Vich</v>
      </c>
      <c r="C214" s="158">
        <f>'B) D RI'!U216</f>
        <v>40390.161857142848</v>
      </c>
      <c r="D214" s="247">
        <f>'E) Fact soc'!G220/C214</f>
        <v>21.780753774636519</v>
      </c>
      <c r="E214" s="247">
        <f>'H) Péréquation directe'!I225/'H) Péréquation directe'!C225</f>
        <v>16.666806198523602</v>
      </c>
      <c r="F214" s="242">
        <f>'I) Dépenses thématiques'!P214</f>
        <v>0</v>
      </c>
      <c r="G214" s="190">
        <f t="shared" si="13"/>
        <v>38.447559973160125</v>
      </c>
      <c r="H214" s="242">
        <f t="shared" si="14"/>
        <v>38.447559973160125</v>
      </c>
      <c r="I214" s="247">
        <f t="shared" si="15"/>
        <v>0</v>
      </c>
      <c r="J214" s="98">
        <f t="shared" si="12"/>
        <v>0</v>
      </c>
    </row>
    <row r="215" spans="1:10" x14ac:dyDescent="0.25">
      <c r="A215" s="82">
        <f>'A) Base RI'!A217</f>
        <v>5741</v>
      </c>
      <c r="B215" s="147" t="str">
        <f>'A) Base RI'!B217</f>
        <v>L'Abergement</v>
      </c>
      <c r="C215" s="158">
        <f>'B) D RI'!U217</f>
        <v>5658.7408436213982</v>
      </c>
      <c r="D215" s="247">
        <f>'E) Fact soc'!G221/C215</f>
        <v>19.076918744767955</v>
      </c>
      <c r="E215" s="247">
        <f>'H) Péréquation directe'!I226/'H) Péréquation directe'!C226</f>
        <v>-10.327839764650079</v>
      </c>
      <c r="F215" s="242">
        <f>'I) Dépenses thématiques'!P215</f>
        <v>-15.046987015844477</v>
      </c>
      <c r="G215" s="190">
        <f t="shared" si="13"/>
        <v>-6.2979080357266017</v>
      </c>
      <c r="H215" s="242">
        <f t="shared" si="14"/>
        <v>8.7490789801178757</v>
      </c>
      <c r="I215" s="247">
        <f t="shared" si="15"/>
        <v>0</v>
      </c>
      <c r="J215" s="98">
        <f t="shared" si="12"/>
        <v>0</v>
      </c>
    </row>
    <row r="216" spans="1:10" x14ac:dyDescent="0.25">
      <c r="A216" s="82">
        <f>'A) Base RI'!A218</f>
        <v>5742</v>
      </c>
      <c r="B216" s="147" t="str">
        <f>'A) Base RI'!B218</f>
        <v>Agiez</v>
      </c>
      <c r="C216" s="158">
        <f>'B) D RI'!U218</f>
        <v>8497.199342105263</v>
      </c>
      <c r="D216" s="247">
        <f>'E) Fact soc'!G222/C216</f>
        <v>18.682053741007863</v>
      </c>
      <c r="E216" s="247">
        <f>'H) Péréquation directe'!I227/'H) Péréquation directe'!C227</f>
        <v>2.8183382724228587</v>
      </c>
      <c r="F216" s="242">
        <f>'I) Dépenses thématiques'!P216</f>
        <v>-3.7905430605115016</v>
      </c>
      <c r="G216" s="190">
        <f t="shared" si="13"/>
        <v>17.70984895291922</v>
      </c>
      <c r="H216" s="242">
        <f t="shared" si="14"/>
        <v>21.500392013430723</v>
      </c>
      <c r="I216" s="247">
        <f t="shared" si="15"/>
        <v>0</v>
      </c>
      <c r="J216" s="98">
        <f t="shared" si="12"/>
        <v>0</v>
      </c>
    </row>
    <row r="217" spans="1:10" x14ac:dyDescent="0.25">
      <c r="A217" s="82">
        <f>'A) Base RI'!A219</f>
        <v>5743</v>
      </c>
      <c r="B217" s="147" t="str">
        <f>'A) Base RI'!B219</f>
        <v>Arnex-sur-Orbe</v>
      </c>
      <c r="C217" s="158">
        <f>'B) D RI'!U219</f>
        <v>14235.259246575342</v>
      </c>
      <c r="D217" s="247">
        <f>'E) Fact soc'!G223/C217</f>
        <v>19.613569030603745</v>
      </c>
      <c r="E217" s="247">
        <f>'H) Péréquation directe'!I228/'H) Péréquation directe'!C228</f>
        <v>-4.7280098640134538</v>
      </c>
      <c r="F217" s="242">
        <f>'I) Dépenses thématiques'!P217</f>
        <v>-5.1876118812353766</v>
      </c>
      <c r="G217" s="190">
        <f t="shared" si="13"/>
        <v>9.697947285354914</v>
      </c>
      <c r="H217" s="242">
        <f t="shared" si="14"/>
        <v>14.885559166590291</v>
      </c>
      <c r="I217" s="247">
        <f t="shared" si="15"/>
        <v>0</v>
      </c>
      <c r="J217" s="98">
        <f t="shared" si="12"/>
        <v>0</v>
      </c>
    </row>
    <row r="218" spans="1:10" x14ac:dyDescent="0.25">
      <c r="A218" s="82">
        <f>'A) Base RI'!A220</f>
        <v>5744</v>
      </c>
      <c r="B218" s="147" t="str">
        <f>'A) Base RI'!B220</f>
        <v>Ballaigues</v>
      </c>
      <c r="C218" s="158">
        <f>'B) D RI'!U220</f>
        <v>99800.089242424234</v>
      </c>
      <c r="D218" s="247">
        <f>'E) Fact soc'!G224/C218</f>
        <v>27.607580341112108</v>
      </c>
      <c r="E218" s="247">
        <f>'H) Péréquation directe'!I229/'H) Péréquation directe'!C229</f>
        <v>17.165305860454957</v>
      </c>
      <c r="F218" s="242">
        <f>'I) Dépenses thématiques'!P218</f>
        <v>-1.1128303633233423</v>
      </c>
      <c r="G218" s="190">
        <f t="shared" si="13"/>
        <v>43.660055838243721</v>
      </c>
      <c r="H218" s="242">
        <f t="shared" si="14"/>
        <v>44.772886201567061</v>
      </c>
      <c r="I218" s="247">
        <f t="shared" si="15"/>
        <v>0</v>
      </c>
      <c r="J218" s="98">
        <f t="shared" si="12"/>
        <v>0</v>
      </c>
    </row>
    <row r="219" spans="1:10" x14ac:dyDescent="0.25">
      <c r="A219" s="82">
        <f>'A) Base RI'!A221</f>
        <v>5745</v>
      </c>
      <c r="B219" s="147" t="str">
        <f>'A) Base RI'!B221</f>
        <v>Baulmes</v>
      </c>
      <c r="C219" s="158">
        <f>'B) D RI'!U221</f>
        <v>27286.676794871797</v>
      </c>
      <c r="D219" s="247">
        <f>'E) Fact soc'!G225/C219</f>
        <v>17.929045541780738</v>
      </c>
      <c r="E219" s="247">
        <f>'H) Péréquation directe'!I230/'H) Péréquation directe'!C230</f>
        <v>-0.78572319544560287</v>
      </c>
      <c r="F219" s="242">
        <f>'I) Dépenses thématiques'!P219</f>
        <v>-7.4287170080783147</v>
      </c>
      <c r="G219" s="190">
        <f t="shared" si="13"/>
        <v>9.7146053382568205</v>
      </c>
      <c r="H219" s="242">
        <f t="shared" si="14"/>
        <v>17.143322346335136</v>
      </c>
      <c r="I219" s="247">
        <f t="shared" si="15"/>
        <v>0</v>
      </c>
      <c r="J219" s="98">
        <f t="shared" si="12"/>
        <v>0</v>
      </c>
    </row>
    <row r="220" spans="1:10" x14ac:dyDescent="0.25">
      <c r="A220" s="82">
        <f>'A) Base RI'!A222</f>
        <v>5746</v>
      </c>
      <c r="B220" s="147" t="str">
        <f>'A) Base RI'!B222</f>
        <v>Bavois</v>
      </c>
      <c r="C220" s="158">
        <f>'B) D RI'!U222</f>
        <v>24960.640433789951</v>
      </c>
      <c r="D220" s="247">
        <f>'E) Fact soc'!G226/C220</f>
        <v>17.349479629799564</v>
      </c>
      <c r="E220" s="247">
        <f>'H) Péréquation directe'!I231/'H) Péréquation directe'!C231</f>
        <v>1.8453571501861037</v>
      </c>
      <c r="F220" s="242">
        <f>'I) Dépenses thématiques'!P220</f>
        <v>-7.1416036168160799</v>
      </c>
      <c r="G220" s="190">
        <f t="shared" si="13"/>
        <v>12.053233163169587</v>
      </c>
      <c r="H220" s="242">
        <f t="shared" si="14"/>
        <v>19.194836779985668</v>
      </c>
      <c r="I220" s="247">
        <f t="shared" si="15"/>
        <v>0</v>
      </c>
      <c r="J220" s="98">
        <f t="shared" si="12"/>
        <v>0</v>
      </c>
    </row>
    <row r="221" spans="1:10" x14ac:dyDescent="0.25">
      <c r="A221" s="82">
        <f>'A) Base RI'!A223</f>
        <v>5747</v>
      </c>
      <c r="B221" s="147" t="str">
        <f>'A) Base RI'!B223</f>
        <v>Bofflens</v>
      </c>
      <c r="C221" s="158">
        <f>'B) D RI'!U223</f>
        <v>5444.2446376811595</v>
      </c>
      <c r="D221" s="247">
        <f>'E) Fact soc'!G227/C221</f>
        <v>17.442851002159198</v>
      </c>
      <c r="E221" s="247">
        <f>'H) Péréquation directe'!I232/'H) Péréquation directe'!C232</f>
        <v>5.1903336218253253</v>
      </c>
      <c r="F221" s="242">
        <f>'I) Dépenses thématiques'!P221</f>
        <v>0</v>
      </c>
      <c r="G221" s="190">
        <f t="shared" si="13"/>
        <v>22.633184623984523</v>
      </c>
      <c r="H221" s="242">
        <f t="shared" si="14"/>
        <v>22.633184623984523</v>
      </c>
      <c r="I221" s="247">
        <f t="shared" si="15"/>
        <v>0</v>
      </c>
      <c r="J221" s="98">
        <f t="shared" si="12"/>
        <v>0</v>
      </c>
    </row>
    <row r="222" spans="1:10" x14ac:dyDescent="0.25">
      <c r="A222" s="82">
        <f>'A) Base RI'!A224</f>
        <v>5748</v>
      </c>
      <c r="B222" s="147" t="str">
        <f>'A) Base RI'!B224</f>
        <v>Bretonnières</v>
      </c>
      <c r="C222" s="158">
        <f>'B) D RI'!U224</f>
        <v>4853.6245714285715</v>
      </c>
      <c r="D222" s="247">
        <f>'E) Fact soc'!G228/C222</f>
        <v>19.269931198748253</v>
      </c>
      <c r="E222" s="247">
        <f>'H) Péréquation directe'!I233/'H) Péréquation directe'!C233</f>
        <v>-8.3769260282011118</v>
      </c>
      <c r="F222" s="242">
        <f>'I) Dépenses thématiques'!P222</f>
        <v>-10.379047505351817</v>
      </c>
      <c r="G222" s="190">
        <f t="shared" si="13"/>
        <v>0.51395766519532415</v>
      </c>
      <c r="H222" s="242">
        <f t="shared" si="14"/>
        <v>10.893005170547141</v>
      </c>
      <c r="I222" s="247">
        <f t="shared" si="15"/>
        <v>0</v>
      </c>
      <c r="J222" s="98">
        <f t="shared" si="12"/>
        <v>0</v>
      </c>
    </row>
    <row r="223" spans="1:10" x14ac:dyDescent="0.25">
      <c r="A223" s="82">
        <f>'A) Base RI'!A225</f>
        <v>5749</v>
      </c>
      <c r="B223" s="147" t="str">
        <f>'A) Base RI'!B225</f>
        <v>Chavornay</v>
      </c>
      <c r="C223" s="158">
        <f>'B) D RI'!U225</f>
        <v>122489.22791666667</v>
      </c>
      <c r="D223" s="247">
        <f>'E) Fact soc'!G229/C223</f>
        <v>18.987273955086728</v>
      </c>
      <c r="E223" s="247">
        <f>'H) Péréquation directe'!I234/'H) Péréquation directe'!C234</f>
        <v>-1.5411384801191226</v>
      </c>
      <c r="F223" s="242">
        <f>'I) Dépenses thématiques'!P223</f>
        <v>-1.6000753971062631</v>
      </c>
      <c r="G223" s="190">
        <f t="shared" si="13"/>
        <v>15.846060077861342</v>
      </c>
      <c r="H223" s="242">
        <f t="shared" si="14"/>
        <v>17.446135474967605</v>
      </c>
      <c r="I223" s="247">
        <f t="shared" si="15"/>
        <v>0</v>
      </c>
      <c r="J223" s="98">
        <f t="shared" si="12"/>
        <v>0</v>
      </c>
    </row>
    <row r="224" spans="1:10" x14ac:dyDescent="0.25">
      <c r="A224" s="82">
        <f>'A) Base RI'!A226</f>
        <v>5750</v>
      </c>
      <c r="B224" s="147" t="str">
        <f>'A) Base RI'!B226</f>
        <v>Les Clées</v>
      </c>
      <c r="C224" s="158">
        <f>'B) D RI'!U226</f>
        <v>4745.5921666666673</v>
      </c>
      <c r="D224" s="247">
        <f>'E) Fact soc'!G230/C224</f>
        <v>15.414301721854672</v>
      </c>
      <c r="E224" s="247">
        <f>'H) Péréquation directe'!I235/'H) Péréquation directe'!C235</f>
        <v>-1.1003483719464027</v>
      </c>
      <c r="F224" s="242">
        <f>'I) Dépenses thématiques'!P224</f>
        <v>-5.2117837208443909</v>
      </c>
      <c r="G224" s="190">
        <f t="shared" si="13"/>
        <v>9.1021696290638783</v>
      </c>
      <c r="H224" s="242">
        <f t="shared" si="14"/>
        <v>14.313953349908269</v>
      </c>
      <c r="I224" s="247">
        <f t="shared" si="15"/>
        <v>0</v>
      </c>
      <c r="J224" s="98">
        <f t="shared" si="12"/>
        <v>0</v>
      </c>
    </row>
    <row r="225" spans="1:10" x14ac:dyDescent="0.25">
      <c r="A225" s="82">
        <f>'A) Base RI'!A227</f>
        <v>5751</v>
      </c>
      <c r="B225" s="147" t="str">
        <f>'A) Base RI'!B227</f>
        <v>Corcelles-sur-Chavornay</v>
      </c>
      <c r="C225" s="158">
        <f>'B) D RI'!U227</f>
        <v>8378.5938157894743</v>
      </c>
      <c r="D225" s="247">
        <f>'E) Fact soc'!G231/C225</f>
        <v>19.747569891022405</v>
      </c>
      <c r="E225" s="247">
        <f>'H) Péréquation directe'!I236/'H) Péréquation directe'!C236</f>
        <v>-2.0918204670755447</v>
      </c>
      <c r="F225" s="242">
        <f>'I) Dépenses thématiques'!P225</f>
        <v>-5.8863099327071158</v>
      </c>
      <c r="G225" s="190">
        <f t="shared" si="13"/>
        <v>11.769439491239742</v>
      </c>
      <c r="H225" s="242">
        <f t="shared" si="14"/>
        <v>17.655749423946858</v>
      </c>
      <c r="I225" s="247">
        <f t="shared" si="15"/>
        <v>0</v>
      </c>
      <c r="J225" s="98">
        <f t="shared" si="12"/>
        <v>0</v>
      </c>
    </row>
    <row r="226" spans="1:10" x14ac:dyDescent="0.25">
      <c r="A226" s="82">
        <f>'A) Base RI'!A228</f>
        <v>5752</v>
      </c>
      <c r="B226" s="147" t="str">
        <f>'A) Base RI'!B228</f>
        <v>Croy</v>
      </c>
      <c r="C226" s="158">
        <f>'B) D RI'!U228</f>
        <v>8127.3322007722018</v>
      </c>
      <c r="D226" s="247">
        <f>'E) Fact soc'!G232/C226</f>
        <v>16.537630800666122</v>
      </c>
      <c r="E226" s="247">
        <f>'H) Péréquation directe'!I237/'H) Péréquation directe'!C237</f>
        <v>-1.340279745868397</v>
      </c>
      <c r="F226" s="242">
        <f>'I) Dépenses thématiques'!P226</f>
        <v>-5.5137404123510887</v>
      </c>
      <c r="G226" s="190">
        <f t="shared" si="13"/>
        <v>9.6836106424466362</v>
      </c>
      <c r="H226" s="242">
        <f t="shared" si="14"/>
        <v>15.197351054797725</v>
      </c>
      <c r="I226" s="247">
        <f t="shared" si="15"/>
        <v>0</v>
      </c>
      <c r="J226" s="98">
        <f t="shared" ref="J226:J272" si="16">-I226*C226</f>
        <v>0</v>
      </c>
    </row>
    <row r="227" spans="1:10" x14ac:dyDescent="0.25">
      <c r="A227" s="82">
        <f>'A) Base RI'!A229</f>
        <v>5754</v>
      </c>
      <c r="B227" s="147" t="str">
        <f>'A) Base RI'!B229</f>
        <v>Juriens</v>
      </c>
      <c r="C227" s="158">
        <f>'B) D RI'!U229</f>
        <v>6779.1981012658243</v>
      </c>
      <c r="D227" s="247">
        <f>'E) Fact soc'!G233/C227</f>
        <v>15.27262661969621</v>
      </c>
      <c r="E227" s="247">
        <f>'H) Péréquation directe'!I238/'H) Péréquation directe'!C238</f>
        <v>-10.449406907436513</v>
      </c>
      <c r="F227" s="242">
        <f>'I) Dépenses thématiques'!P227</f>
        <v>-7.7962023251881929</v>
      </c>
      <c r="G227" s="190">
        <f t="shared" ref="G227:G273" si="17">SUM(D227:F227)</f>
        <v>-2.9729826129284964</v>
      </c>
      <c r="H227" s="242">
        <f t="shared" ref="H227:H273" si="18">G227-F227</f>
        <v>4.8232197122596965</v>
      </c>
      <c r="I227" s="247">
        <f t="shared" ref="I227:I273" si="19">IF(H227&lt;I$4,H227-I$4,0)</f>
        <v>0</v>
      </c>
      <c r="J227" s="98">
        <f t="shared" si="16"/>
        <v>0</v>
      </c>
    </row>
    <row r="228" spans="1:10" x14ac:dyDescent="0.25">
      <c r="A228" s="82">
        <f>'A) Base RI'!A230</f>
        <v>5755</v>
      </c>
      <c r="B228" s="147" t="str">
        <f>'A) Base RI'!B230</f>
        <v>Lignerolle</v>
      </c>
      <c r="C228" s="158">
        <f>'B) D RI'!U230</f>
        <v>8994.3248324514989</v>
      </c>
      <c r="D228" s="247">
        <f>'E) Fact soc'!G234/C228</f>
        <v>19.654001172341275</v>
      </c>
      <c r="E228" s="247">
        <f>'H) Péréquation directe'!I239/'H) Péréquation directe'!C239</f>
        <v>-9.4472477728730162</v>
      </c>
      <c r="F228" s="242">
        <f>'I) Dépenses thématiques'!P228</f>
        <v>-10.448255066454623</v>
      </c>
      <c r="G228" s="190">
        <f t="shared" si="17"/>
        <v>-0.24150166698636433</v>
      </c>
      <c r="H228" s="242">
        <f t="shared" si="18"/>
        <v>10.206753399468258</v>
      </c>
      <c r="I228" s="247">
        <f t="shared" si="19"/>
        <v>0</v>
      </c>
      <c r="J228" s="98">
        <f t="shared" si="16"/>
        <v>0</v>
      </c>
    </row>
    <row r="229" spans="1:10" x14ac:dyDescent="0.25">
      <c r="A229" s="82">
        <f>'A) Base RI'!A231</f>
        <v>5756</v>
      </c>
      <c r="B229" s="147" t="str">
        <f>'A) Base RI'!B231</f>
        <v>Montcherand</v>
      </c>
      <c r="C229" s="158">
        <f>'B) D RI'!U231</f>
        <v>15693.326135265701</v>
      </c>
      <c r="D229" s="247">
        <f>'E) Fact soc'!G235/C229</f>
        <v>17.364552996511925</v>
      </c>
      <c r="E229" s="247">
        <f>'H) Péréquation directe'!I240/'H) Péréquation directe'!C240</f>
        <v>9.5662040248925528</v>
      </c>
      <c r="F229" s="242">
        <f>'I) Dépenses thématiques'!P229</f>
        <v>-2.3388923217186779</v>
      </c>
      <c r="G229" s="190">
        <f t="shared" si="17"/>
        <v>24.5918646996858</v>
      </c>
      <c r="H229" s="242">
        <f t="shared" si="18"/>
        <v>26.930757021404478</v>
      </c>
      <c r="I229" s="247">
        <f t="shared" si="19"/>
        <v>0</v>
      </c>
      <c r="J229" s="98">
        <f t="shared" si="16"/>
        <v>0</v>
      </c>
    </row>
    <row r="230" spans="1:10" x14ac:dyDescent="0.25">
      <c r="A230" s="82">
        <f>'A) Base RI'!A232</f>
        <v>5757</v>
      </c>
      <c r="B230" s="147" t="str">
        <f>'A) Base RI'!B232</f>
        <v>Orbe</v>
      </c>
      <c r="C230" s="158">
        <f>'B) D RI'!U232</f>
        <v>203617.2094202899</v>
      </c>
      <c r="D230" s="247">
        <f>'E) Fact soc'!G236/C230</f>
        <v>20.338696294918822</v>
      </c>
      <c r="E230" s="247">
        <f>'H) Péréquation directe'!I241/'H) Péréquation directe'!C241</f>
        <v>-3.9508843338796122</v>
      </c>
      <c r="F230" s="242">
        <f>'I) Dépenses thématiques'!P230</f>
        <v>-6.105736364522218</v>
      </c>
      <c r="G230" s="190">
        <f t="shared" si="17"/>
        <v>10.282075596516993</v>
      </c>
      <c r="H230" s="242">
        <f t="shared" si="18"/>
        <v>16.387811961039212</v>
      </c>
      <c r="I230" s="247">
        <f t="shared" si="19"/>
        <v>0</v>
      </c>
      <c r="J230" s="98">
        <f t="shared" si="16"/>
        <v>0</v>
      </c>
    </row>
    <row r="231" spans="1:10" x14ac:dyDescent="0.25">
      <c r="A231" s="82">
        <f>'A) Base RI'!A233</f>
        <v>5758</v>
      </c>
      <c r="B231" s="147" t="str">
        <f>'A) Base RI'!B233</f>
        <v>La Praz</v>
      </c>
      <c r="C231" s="158">
        <f>'B) D RI'!U233</f>
        <v>3854.1398125836677</v>
      </c>
      <c r="D231" s="247">
        <f>'E) Fact soc'!G237/C231</f>
        <v>18.04657794111311</v>
      </c>
      <c r="E231" s="247">
        <f>'H) Péréquation directe'!I242/'H) Péréquation directe'!C242</f>
        <v>-6.73019189085755</v>
      </c>
      <c r="F231" s="242">
        <f>'I) Dépenses thématiques'!P231</f>
        <v>-3.5372354566610698</v>
      </c>
      <c r="G231" s="190">
        <f t="shared" si="17"/>
        <v>7.7791505935944896</v>
      </c>
      <c r="H231" s="242">
        <f t="shared" si="18"/>
        <v>11.316386050255559</v>
      </c>
      <c r="I231" s="247">
        <f t="shared" si="19"/>
        <v>0</v>
      </c>
      <c r="J231" s="98">
        <f t="shared" si="16"/>
        <v>0</v>
      </c>
    </row>
    <row r="232" spans="1:10" x14ac:dyDescent="0.25">
      <c r="A232" s="82">
        <f>'A) Base RI'!A234</f>
        <v>5759</v>
      </c>
      <c r="B232" s="147" t="str">
        <f>'A) Base RI'!B234</f>
        <v>Premier</v>
      </c>
      <c r="C232" s="158">
        <f>'B) D RI'!U234</f>
        <v>3885.6082716049386</v>
      </c>
      <c r="D232" s="247">
        <f>'E) Fact soc'!G238/C232</f>
        <v>18.355901303725648</v>
      </c>
      <c r="E232" s="247">
        <f>'H) Péréquation directe'!I243/'H) Péréquation directe'!C243</f>
        <v>-13.638197492965826</v>
      </c>
      <c r="F232" s="242">
        <f>'I) Dépenses thématiques'!P232</f>
        <v>-8.4849006115539929</v>
      </c>
      <c r="G232" s="190">
        <f t="shared" si="17"/>
        <v>-3.7671968007941707</v>
      </c>
      <c r="H232" s="242">
        <f t="shared" si="18"/>
        <v>4.7177038107598221</v>
      </c>
      <c r="I232" s="247">
        <f t="shared" si="19"/>
        <v>0</v>
      </c>
      <c r="J232" s="98">
        <f t="shared" si="16"/>
        <v>0</v>
      </c>
    </row>
    <row r="233" spans="1:10" x14ac:dyDescent="0.25">
      <c r="A233" s="82">
        <f>'A) Base RI'!A235</f>
        <v>5760</v>
      </c>
      <c r="B233" s="147" t="str">
        <f>'A) Base RI'!B235</f>
        <v>Rances</v>
      </c>
      <c r="C233" s="158">
        <f>'B) D RI'!U235</f>
        <v>11324.841153846155</v>
      </c>
      <c r="D233" s="247">
        <f>'E) Fact soc'!G239/C233</f>
        <v>17.441814462787455</v>
      </c>
      <c r="E233" s="247">
        <f>'H) Péréquation directe'!I244/'H) Péréquation directe'!C244</f>
        <v>-1.9531114359936916</v>
      </c>
      <c r="F233" s="242">
        <f>'I) Dépenses thématiques'!P233</f>
        <v>-7.4741887193051806</v>
      </c>
      <c r="G233" s="190">
        <f t="shared" si="17"/>
        <v>8.0145143074885841</v>
      </c>
      <c r="H233" s="242">
        <f t="shared" si="18"/>
        <v>15.488703026793765</v>
      </c>
      <c r="I233" s="247">
        <f t="shared" si="19"/>
        <v>0</v>
      </c>
      <c r="J233" s="98">
        <f t="shared" si="16"/>
        <v>0</v>
      </c>
    </row>
    <row r="234" spans="1:10" x14ac:dyDescent="0.25">
      <c r="A234" s="82">
        <f>'A) Base RI'!A236</f>
        <v>5761</v>
      </c>
      <c r="B234" s="147" t="str">
        <f>'A) Base RI'!B236</f>
        <v>Romainmôtier-Envy</v>
      </c>
      <c r="C234" s="158">
        <f>'B) D RI'!U236</f>
        <v>12066.350855263157</v>
      </c>
      <c r="D234" s="247">
        <f>'E) Fact soc'!G240/C234</f>
        <v>18.748478935977715</v>
      </c>
      <c r="E234" s="247">
        <f>'H) Péréquation directe'!I245/'H) Péréquation directe'!C245</f>
        <v>-6.8421011502742273</v>
      </c>
      <c r="F234" s="242">
        <f>'I) Dépenses thématiques'!P234</f>
        <v>-4.2253868308297307</v>
      </c>
      <c r="G234" s="190">
        <f t="shared" si="17"/>
        <v>7.6809909548737565</v>
      </c>
      <c r="H234" s="242">
        <f t="shared" si="18"/>
        <v>11.906377785703487</v>
      </c>
      <c r="I234" s="247">
        <f t="shared" si="19"/>
        <v>0</v>
      </c>
      <c r="J234" s="98">
        <f t="shared" si="16"/>
        <v>0</v>
      </c>
    </row>
    <row r="235" spans="1:10" x14ac:dyDescent="0.25">
      <c r="A235" s="82">
        <f>'A) Base RI'!A237</f>
        <v>5762</v>
      </c>
      <c r="B235" s="147" t="str">
        <f>'A) Base RI'!B237</f>
        <v>Sergey</v>
      </c>
      <c r="C235" s="158">
        <f>'B) D RI'!U237</f>
        <v>4226.1104938271601</v>
      </c>
      <c r="D235" s="247">
        <f>'E) Fact soc'!G241/C235</f>
        <v>16.032045850945444</v>
      </c>
      <c r="E235" s="247">
        <f>'H) Péréquation directe'!I246/'H) Péréquation directe'!C246</f>
        <v>1.9536570598072829</v>
      </c>
      <c r="F235" s="242">
        <f>'I) Dépenses thématiques'!P235</f>
        <v>-5.6830033277833767</v>
      </c>
      <c r="G235" s="190">
        <f t="shared" si="17"/>
        <v>12.302699582969352</v>
      </c>
      <c r="H235" s="242">
        <f t="shared" si="18"/>
        <v>17.985702910752728</v>
      </c>
      <c r="I235" s="247">
        <f t="shared" si="19"/>
        <v>0</v>
      </c>
      <c r="J235" s="98">
        <f t="shared" si="16"/>
        <v>0</v>
      </c>
    </row>
    <row r="236" spans="1:10" x14ac:dyDescent="0.25">
      <c r="A236" s="82">
        <f>'A) Base RI'!A238</f>
        <v>5763</v>
      </c>
      <c r="B236" s="147" t="str">
        <f>'A) Base RI'!B238</f>
        <v>Valeyres-sous-Rances</v>
      </c>
      <c r="C236" s="158">
        <f>'B) D RI'!U238</f>
        <v>15753.099264705883</v>
      </c>
      <c r="D236" s="247">
        <f>'E) Fact soc'!G242/C236</f>
        <v>19.313917809675548</v>
      </c>
      <c r="E236" s="247">
        <f>'H) Péréquation directe'!I247/'H) Péréquation directe'!C247</f>
        <v>3.3386365220343519</v>
      </c>
      <c r="F236" s="242">
        <f>'I) Dépenses thématiques'!P236</f>
        <v>-6.1672308647014606</v>
      </c>
      <c r="G236" s="190">
        <f t="shared" si="17"/>
        <v>16.485323467008442</v>
      </c>
      <c r="H236" s="242">
        <f t="shared" si="18"/>
        <v>22.652554331709901</v>
      </c>
      <c r="I236" s="247">
        <f t="shared" si="19"/>
        <v>0</v>
      </c>
      <c r="J236" s="98">
        <f t="shared" si="16"/>
        <v>0</v>
      </c>
    </row>
    <row r="237" spans="1:10" x14ac:dyDescent="0.25">
      <c r="A237" s="82">
        <f>'A) Base RI'!A239</f>
        <v>5764</v>
      </c>
      <c r="B237" s="147" t="str">
        <f>'A) Base RI'!B239</f>
        <v>Vallorbe</v>
      </c>
      <c r="C237" s="158">
        <f>'B) D RI'!U239</f>
        <v>79459.361216216217</v>
      </c>
      <c r="D237" s="247">
        <f>'E) Fact soc'!G243/C237</f>
        <v>25.000411628979929</v>
      </c>
      <c r="E237" s="247">
        <f>'H) Péréquation directe'!I248/'H) Péréquation directe'!C248</f>
        <v>-16.216059708657706</v>
      </c>
      <c r="F237" s="242">
        <f>'I) Dépenses thématiques'!P237</f>
        <v>-18.245892967286032</v>
      </c>
      <c r="G237" s="190">
        <f t="shared" si="17"/>
        <v>-9.4615410469638093</v>
      </c>
      <c r="H237" s="242">
        <f t="shared" si="18"/>
        <v>8.7843519203222229</v>
      </c>
      <c r="I237" s="247">
        <f t="shared" si="19"/>
        <v>0</v>
      </c>
      <c r="J237" s="98">
        <f t="shared" si="16"/>
        <v>0</v>
      </c>
    </row>
    <row r="238" spans="1:10" x14ac:dyDescent="0.25">
      <c r="A238" s="82">
        <f>'A) Base RI'!A240</f>
        <v>5765</v>
      </c>
      <c r="B238" s="147" t="str">
        <f>'A) Base RI'!B240</f>
        <v>Vaulion</v>
      </c>
      <c r="C238" s="158">
        <f>'B) D RI'!U240</f>
        <v>10213.279999999997</v>
      </c>
      <c r="D238" s="247">
        <f>'E) Fact soc'!G244/C238</f>
        <v>18.746528638918477</v>
      </c>
      <c r="E238" s="247">
        <f>'H) Péréquation directe'!I249/'H) Péréquation directe'!C249</f>
        <v>-14.200489651494683</v>
      </c>
      <c r="F238" s="242">
        <f>'I) Dépenses thématiques'!P238</f>
        <v>-17.661808938950077</v>
      </c>
      <c r="G238" s="190">
        <f t="shared" si="17"/>
        <v>-13.115769951526284</v>
      </c>
      <c r="H238" s="242">
        <f t="shared" si="18"/>
        <v>4.5460389874237936</v>
      </c>
      <c r="I238" s="247">
        <f t="shared" si="19"/>
        <v>0</v>
      </c>
      <c r="J238" s="98">
        <f t="shared" si="16"/>
        <v>0</v>
      </c>
    </row>
    <row r="239" spans="1:10" x14ac:dyDescent="0.25">
      <c r="A239" s="82">
        <f>'A) Base RI'!A241</f>
        <v>5766</v>
      </c>
      <c r="B239" s="147" t="str">
        <f>'A) Base RI'!B241</f>
        <v>Vuiteboeuf</v>
      </c>
      <c r="C239" s="158">
        <f>'B) D RI'!U241</f>
        <v>13186.718497217067</v>
      </c>
      <c r="D239" s="247">
        <f>'E) Fact soc'!G245/C239</f>
        <v>16.564354275989302</v>
      </c>
      <c r="E239" s="247">
        <f>'H) Péréquation directe'!I250/'H) Péréquation directe'!C250</f>
        <v>-2.2442786462542599</v>
      </c>
      <c r="F239" s="242">
        <f>'I) Dépenses thématiques'!P239</f>
        <v>-3.1563576646292959</v>
      </c>
      <c r="G239" s="190">
        <f t="shared" si="17"/>
        <v>11.163717965105747</v>
      </c>
      <c r="H239" s="242">
        <f t="shared" si="18"/>
        <v>14.320075629735042</v>
      </c>
      <c r="I239" s="247">
        <f t="shared" si="19"/>
        <v>0</v>
      </c>
      <c r="J239" s="98">
        <f t="shared" si="16"/>
        <v>0</v>
      </c>
    </row>
    <row r="240" spans="1:10" x14ac:dyDescent="0.25">
      <c r="A240" s="82">
        <f>'A) Base RI'!A242</f>
        <v>5782</v>
      </c>
      <c r="B240" s="147" t="str">
        <f>'A) Base RI'!B242</f>
        <v>Carrouge</v>
      </c>
      <c r="C240" s="158">
        <f>'B) D RI'!U242</f>
        <v>30558.004133333339</v>
      </c>
      <c r="D240" s="247">
        <f>'E) Fact soc'!G246/C240</f>
        <v>17.187638375015041</v>
      </c>
      <c r="E240" s="247">
        <f>'H) Péréquation directe'!I251/'H) Péréquation directe'!C251</f>
        <v>1.0603660821108194</v>
      </c>
      <c r="F240" s="242">
        <f>'I) Dépenses thématiques'!P240</f>
        <v>-4.2501794107137814</v>
      </c>
      <c r="G240" s="190">
        <f t="shared" si="17"/>
        <v>13.997825046412078</v>
      </c>
      <c r="H240" s="242">
        <f t="shared" si="18"/>
        <v>18.248004457125859</v>
      </c>
      <c r="I240" s="247">
        <f t="shared" si="19"/>
        <v>0</v>
      </c>
      <c r="J240" s="98">
        <f t="shared" si="16"/>
        <v>0</v>
      </c>
    </row>
    <row r="241" spans="1:10" x14ac:dyDescent="0.25">
      <c r="A241" s="82">
        <f>'A) Base RI'!A243</f>
        <v>5785</v>
      </c>
      <c r="B241" s="147" t="str">
        <f>'A) Base RI'!B243</f>
        <v>Corcelles-le-Jorat</v>
      </c>
      <c r="C241" s="158">
        <f>'B) D RI'!U243</f>
        <v>15220.93759493671</v>
      </c>
      <c r="D241" s="247">
        <f>'E) Fact soc'!G247/C241</f>
        <v>17.55259576919833</v>
      </c>
      <c r="E241" s="247">
        <f>'H) Péréquation directe'!I252/'H) Péréquation directe'!C252</f>
        <v>8.784044376539061</v>
      </c>
      <c r="F241" s="242">
        <f>'I) Dépenses thématiques'!P241</f>
        <v>-4.0699201092978123</v>
      </c>
      <c r="G241" s="190">
        <f t="shared" si="17"/>
        <v>22.26672003643958</v>
      </c>
      <c r="H241" s="242">
        <f t="shared" si="18"/>
        <v>26.336640145737391</v>
      </c>
      <c r="I241" s="247">
        <f t="shared" si="19"/>
        <v>0</v>
      </c>
      <c r="J241" s="98">
        <f t="shared" si="16"/>
        <v>0</v>
      </c>
    </row>
    <row r="242" spans="1:10" x14ac:dyDescent="0.25">
      <c r="A242" s="82">
        <f>'A) Base RI'!A244</f>
        <v>5788</v>
      </c>
      <c r="B242" s="147" t="str">
        <f>'A) Base RI'!B244</f>
        <v>Essertes</v>
      </c>
      <c r="C242" s="158">
        <f>'B) D RI'!U244</f>
        <v>9308.1854285714289</v>
      </c>
      <c r="D242" s="247">
        <f>'E) Fact soc'!G248/C242</f>
        <v>15.268717810879828</v>
      </c>
      <c r="E242" s="247">
        <f>'H) Péréquation directe'!I253/'H) Péréquation directe'!C253</f>
        <v>4.1977328473143256</v>
      </c>
      <c r="F242" s="242">
        <f>'I) Dépenses thématiques'!P242</f>
        <v>-3.0393679001237897</v>
      </c>
      <c r="G242" s="190">
        <f t="shared" si="17"/>
        <v>16.427082758070366</v>
      </c>
      <c r="H242" s="242">
        <f t="shared" si="18"/>
        <v>19.466450658194155</v>
      </c>
      <c r="I242" s="247">
        <f t="shared" si="19"/>
        <v>0</v>
      </c>
      <c r="J242" s="98">
        <f t="shared" si="16"/>
        <v>0</v>
      </c>
    </row>
    <row r="243" spans="1:10" x14ac:dyDescent="0.25">
      <c r="A243" s="82">
        <f>'A) Base RI'!A245</f>
        <v>5789</v>
      </c>
      <c r="B243" s="147" t="str">
        <f>'A) Base RI'!B245</f>
        <v>Ferlens</v>
      </c>
      <c r="C243" s="158">
        <f>'B) D RI'!U245</f>
        <v>9496.6311688311671</v>
      </c>
      <c r="D243" s="247">
        <f>'E) Fact soc'!G249/C243</f>
        <v>15.700786573850145</v>
      </c>
      <c r="E243" s="247">
        <f>'H) Péréquation directe'!I254/'H) Péréquation directe'!C254</f>
        <v>2.7248651711665102</v>
      </c>
      <c r="F243" s="242">
        <f>'I) Dépenses thématiques'!P243</f>
        <v>-1.129347850762116</v>
      </c>
      <c r="G243" s="190">
        <f t="shared" si="17"/>
        <v>17.296303894254539</v>
      </c>
      <c r="H243" s="242">
        <f t="shared" si="18"/>
        <v>18.425651745016655</v>
      </c>
      <c r="I243" s="247">
        <f t="shared" si="19"/>
        <v>0</v>
      </c>
      <c r="J243" s="98">
        <f t="shared" si="16"/>
        <v>0</v>
      </c>
    </row>
    <row r="244" spans="1:10" x14ac:dyDescent="0.25">
      <c r="A244" s="82">
        <f>'A) Base RI'!A246</f>
        <v>5790</v>
      </c>
      <c r="B244" s="147" t="str">
        <f>'A) Base RI'!B246</f>
        <v>Maracon</v>
      </c>
      <c r="C244" s="158">
        <f>'B) D RI'!U246</f>
        <v>11539.028947368422</v>
      </c>
      <c r="D244" s="247">
        <f>'E) Fact soc'!G250/C244</f>
        <v>17.567549254081481</v>
      </c>
      <c r="E244" s="247">
        <f>'H) Péréquation directe'!I255/'H) Péréquation directe'!C255</f>
        <v>-1.0861686706958564</v>
      </c>
      <c r="F244" s="242">
        <f>'I) Dépenses thématiques'!P244</f>
        <v>-7.4898850149526845</v>
      </c>
      <c r="G244" s="190">
        <f t="shared" si="17"/>
        <v>8.9914955684329421</v>
      </c>
      <c r="H244" s="242">
        <f t="shared" si="18"/>
        <v>16.481380583385626</v>
      </c>
      <c r="I244" s="247">
        <f t="shared" si="19"/>
        <v>0</v>
      </c>
      <c r="J244" s="98">
        <f t="shared" si="16"/>
        <v>0</v>
      </c>
    </row>
    <row r="245" spans="1:10" x14ac:dyDescent="0.25">
      <c r="A245" s="82">
        <f>'A) Base RI'!A247</f>
        <v>5791</v>
      </c>
      <c r="B245" s="147" t="str">
        <f>'A) Base RI'!B247</f>
        <v>Mézières</v>
      </c>
      <c r="C245" s="158">
        <f>'B) D RI'!U247</f>
        <v>41636.080964912282</v>
      </c>
      <c r="D245" s="247">
        <f>'E) Fact soc'!G251/C245</f>
        <v>17.115746105099202</v>
      </c>
      <c r="E245" s="247">
        <f>'H) Péréquation directe'!I256/'H) Péréquation directe'!C256</f>
        <v>8.6692126494074522</v>
      </c>
      <c r="F245" s="242">
        <f>'I) Dépenses thématiques'!P245</f>
        <v>-7.2689838473282835</v>
      </c>
      <c r="G245" s="190">
        <f t="shared" si="17"/>
        <v>18.515974907178371</v>
      </c>
      <c r="H245" s="242">
        <f t="shared" si="18"/>
        <v>25.784958754506654</v>
      </c>
      <c r="I245" s="247">
        <f t="shared" si="19"/>
        <v>0</v>
      </c>
      <c r="J245" s="98">
        <f t="shared" si="16"/>
        <v>0</v>
      </c>
    </row>
    <row r="246" spans="1:10" x14ac:dyDescent="0.25">
      <c r="A246" s="82">
        <f>'A) Base RI'!A248</f>
        <v>5792</v>
      </c>
      <c r="B246" s="147" t="str">
        <f>'A) Base RI'!B248</f>
        <v>Montpreveyres</v>
      </c>
      <c r="C246" s="158">
        <f>'B) D RI'!U248</f>
        <v>17052.817341772152</v>
      </c>
      <c r="D246" s="247">
        <f>'E) Fact soc'!G252/C246</f>
        <v>17.405074355955129</v>
      </c>
      <c r="E246" s="247">
        <f>'H) Péréquation directe'!I257/'H) Péréquation directe'!C257</f>
        <v>1.7659830253285178</v>
      </c>
      <c r="F246" s="242">
        <f>'I) Dépenses thématiques'!P246</f>
        <v>-7.3447101138646254</v>
      </c>
      <c r="G246" s="190">
        <f t="shared" si="17"/>
        <v>11.82634726741902</v>
      </c>
      <c r="H246" s="242">
        <f t="shared" si="18"/>
        <v>19.171057381283646</v>
      </c>
      <c r="I246" s="247">
        <f t="shared" si="19"/>
        <v>0</v>
      </c>
      <c r="J246" s="98">
        <f t="shared" si="16"/>
        <v>0</v>
      </c>
    </row>
    <row r="247" spans="1:10" x14ac:dyDescent="0.25">
      <c r="A247" s="82">
        <f>'A) Base RI'!A249</f>
        <v>5798</v>
      </c>
      <c r="B247" s="147" t="str">
        <f>'A) Base RI'!B249</f>
        <v>Ropraz</v>
      </c>
      <c r="C247" s="158">
        <f>'B) D RI'!U249</f>
        <v>11308.746838709676</v>
      </c>
      <c r="D247" s="247">
        <f>'E) Fact soc'!G253/C247</f>
        <v>19.032100636711721</v>
      </c>
      <c r="E247" s="247">
        <f>'H) Péréquation directe'!I258/'H) Péréquation directe'!C258</f>
        <v>0.93703595713616716</v>
      </c>
      <c r="F247" s="242">
        <f>'I) Dépenses thématiques'!P247</f>
        <v>-6.3282873885755446</v>
      </c>
      <c r="G247" s="190">
        <f t="shared" si="17"/>
        <v>13.640849205272344</v>
      </c>
      <c r="H247" s="242">
        <f t="shared" si="18"/>
        <v>19.969136593847889</v>
      </c>
      <c r="I247" s="247">
        <f t="shared" si="19"/>
        <v>0</v>
      </c>
      <c r="J247" s="98">
        <f t="shared" si="16"/>
        <v>0</v>
      </c>
    </row>
    <row r="248" spans="1:10" x14ac:dyDescent="0.25">
      <c r="A248" s="82">
        <f>'A) Base RI'!A250</f>
        <v>5799</v>
      </c>
      <c r="B248" s="147" t="str">
        <f>'A) Base RI'!B250</f>
        <v>Servion</v>
      </c>
      <c r="C248" s="158">
        <f>'B) D RI'!U250</f>
        <v>68357.530144927528</v>
      </c>
      <c r="D248" s="247">
        <f>'E) Fact soc'!G254/C248</f>
        <v>19.528263700820094</v>
      </c>
      <c r="E248" s="247">
        <f>'H) Péréquation directe'!I259/'H) Péréquation directe'!C259</f>
        <v>8.4591064751447824</v>
      </c>
      <c r="F248" s="242">
        <f>'I) Dépenses thématiques'!P248</f>
        <v>-1.9431363262889407</v>
      </c>
      <c r="G248" s="190">
        <f t="shared" si="17"/>
        <v>26.044233849675937</v>
      </c>
      <c r="H248" s="242">
        <f t="shared" si="18"/>
        <v>27.987370175964877</v>
      </c>
      <c r="I248" s="247">
        <f t="shared" si="19"/>
        <v>0</v>
      </c>
      <c r="J248" s="98">
        <f t="shared" si="16"/>
        <v>0</v>
      </c>
    </row>
    <row r="249" spans="1:10" x14ac:dyDescent="0.25">
      <c r="A249" s="82">
        <f>'A) Base RI'!A251</f>
        <v>5803</v>
      </c>
      <c r="B249" s="147" t="str">
        <f>'A) Base RI'!B251</f>
        <v>Vulliens</v>
      </c>
      <c r="C249" s="158">
        <f>'B) D RI'!U251</f>
        <v>12093.749506172839</v>
      </c>
      <c r="D249" s="247">
        <f>'E) Fact soc'!G255/C249</f>
        <v>23.10210966873807</v>
      </c>
      <c r="E249" s="247">
        <f>'H) Péréquation directe'!I260/'H) Péréquation directe'!C260</f>
        <v>-0.83055112219379057</v>
      </c>
      <c r="F249" s="242">
        <f>'I) Dépenses thématiques'!P249</f>
        <v>-10.568269165386944</v>
      </c>
      <c r="G249" s="190">
        <f t="shared" si="17"/>
        <v>11.703289381157337</v>
      </c>
      <c r="H249" s="242">
        <f t="shared" si="18"/>
        <v>22.271558546544281</v>
      </c>
      <c r="I249" s="247">
        <f t="shared" si="19"/>
        <v>0</v>
      </c>
      <c r="J249" s="98">
        <f t="shared" si="16"/>
        <v>0</v>
      </c>
    </row>
    <row r="250" spans="1:10" x14ac:dyDescent="0.25">
      <c r="A250" s="82">
        <f>'A) Base RI'!A252</f>
        <v>5804</v>
      </c>
      <c r="B250" s="147" t="str">
        <f>'A) Base RI'!B252</f>
        <v>Jorat-Menthue</v>
      </c>
      <c r="C250" s="158">
        <f>'B) D RI'!U252</f>
        <v>42711.248333333329</v>
      </c>
      <c r="D250" s="247">
        <f>'E) Fact soc'!G256/C250</f>
        <v>16.047263961357224</v>
      </c>
      <c r="E250" s="247">
        <f>'H) Péréquation directe'!I261/'H) Péréquation directe'!C261</f>
        <v>1.8892435730251209</v>
      </c>
      <c r="F250" s="242">
        <f>'I) Dépenses thématiques'!P250</f>
        <v>-8.1080280608359647</v>
      </c>
      <c r="G250" s="190">
        <f>SUM(D250:F250)</f>
        <v>9.8284794735463787</v>
      </c>
      <c r="H250" s="242">
        <f>G250-F250</f>
        <v>17.936507534382343</v>
      </c>
      <c r="I250" s="247">
        <f t="shared" si="19"/>
        <v>0</v>
      </c>
      <c r="J250" s="98">
        <f>-I250*C250</f>
        <v>0</v>
      </c>
    </row>
    <row r="251" spans="1:10" x14ac:dyDescent="0.25">
      <c r="A251" s="82">
        <f>'A) Base RI'!A253</f>
        <v>5805</v>
      </c>
      <c r="B251" s="147" t="str">
        <f>'A) Base RI'!B253</f>
        <v>Oron</v>
      </c>
      <c r="C251" s="158">
        <f>'B) D RI'!U253</f>
        <v>145299.16422924903</v>
      </c>
      <c r="D251" s="247">
        <f>'E) Fact soc'!G257/C251</f>
        <v>16.896080993613658</v>
      </c>
      <c r="E251" s="247">
        <f>'H) Péréquation directe'!I262/'H) Péréquation directe'!C262</f>
        <v>-5.2461918073511979</v>
      </c>
      <c r="F251" s="242">
        <f>'I) Dépenses thématiques'!P251</f>
        <v>-5.3807742401495355</v>
      </c>
      <c r="G251" s="190">
        <f>SUM(D251:F251)</f>
        <v>6.2691149461129241</v>
      </c>
      <c r="H251" s="242">
        <f>G251-F251</f>
        <v>11.64988918626246</v>
      </c>
      <c r="I251" s="247">
        <f t="shared" si="19"/>
        <v>0</v>
      </c>
      <c r="J251" s="98">
        <f>-I251*C251</f>
        <v>0</v>
      </c>
    </row>
    <row r="252" spans="1:10" x14ac:dyDescent="0.25">
      <c r="A252" s="82">
        <f>'A) Base RI'!A254</f>
        <v>5812</v>
      </c>
      <c r="B252" s="147" t="str">
        <f>'A) Base RI'!B254</f>
        <v>Champtauroz</v>
      </c>
      <c r="C252" s="158">
        <f>'B) D RI'!U254</f>
        <v>2756.1429220779223</v>
      </c>
      <c r="D252" s="247">
        <f>'E) Fact soc'!G258/C252</f>
        <v>17.3563782648108</v>
      </c>
      <c r="E252" s="247">
        <f>'H) Péréquation directe'!I263/'H) Péréquation directe'!C263</f>
        <v>-14.240677912977327</v>
      </c>
      <c r="F252" s="242">
        <f>'I) Dépenses thématiques'!P252</f>
        <v>-13.862488659040521</v>
      </c>
      <c r="G252" s="190">
        <f>SUM(D252:F252)</f>
        <v>-10.746788307207048</v>
      </c>
      <c r="H252" s="242">
        <f>G252-F252</f>
        <v>3.1157003518334729</v>
      </c>
      <c r="I252" s="247">
        <f t="shared" si="19"/>
        <v>0</v>
      </c>
      <c r="J252" s="98">
        <f>-I252*C252</f>
        <v>0</v>
      </c>
    </row>
    <row r="253" spans="1:10" x14ac:dyDescent="0.25">
      <c r="A253" s="82">
        <f>'A) Base RI'!A255</f>
        <v>5813</v>
      </c>
      <c r="B253" s="147" t="str">
        <f>'A) Base RI'!B255</f>
        <v>Chevroux</v>
      </c>
      <c r="C253" s="158">
        <f>'B) D RI'!U255</f>
        <v>11438.318904761907</v>
      </c>
      <c r="D253" s="247">
        <f>'E) Fact soc'!G259/C253</f>
        <v>17.835498388736184</v>
      </c>
      <c r="E253" s="247">
        <f>'H) Péréquation directe'!I264/'H) Péréquation directe'!C264</f>
        <v>3.155912284506643</v>
      </c>
      <c r="F253" s="242">
        <f>'I) Dépenses thématiques'!P253</f>
        <v>0</v>
      </c>
      <c r="G253" s="190">
        <f t="shared" si="17"/>
        <v>20.991410673242825</v>
      </c>
      <c r="H253" s="242">
        <f t="shared" si="18"/>
        <v>20.991410673242825</v>
      </c>
      <c r="I253" s="247">
        <f t="shared" si="19"/>
        <v>0</v>
      </c>
      <c r="J253" s="98">
        <f t="shared" si="16"/>
        <v>0</v>
      </c>
    </row>
    <row r="254" spans="1:10" x14ac:dyDescent="0.25">
      <c r="A254" s="82">
        <f>'A) Base RI'!A256</f>
        <v>5816</v>
      </c>
      <c r="B254" s="147" t="str">
        <f>'A) Base RI'!B256</f>
        <v>Corcelles-près-Payerne</v>
      </c>
      <c r="C254" s="158">
        <f>'B) D RI'!U256</f>
        <v>51319.201507936508</v>
      </c>
      <c r="D254" s="247">
        <f>'E) Fact soc'!G260/C254</f>
        <v>19.024316676616895</v>
      </c>
      <c r="E254" s="247">
        <f>'H) Péréquation directe'!I265/'H) Péréquation directe'!C265</f>
        <v>-7.0586909411976881</v>
      </c>
      <c r="F254" s="242">
        <f>'I) Dépenses thématiques'!P254</f>
        <v>-7.4951283086607425</v>
      </c>
      <c r="G254" s="190">
        <f t="shared" si="17"/>
        <v>4.4704974267584632</v>
      </c>
      <c r="H254" s="242">
        <f t="shared" si="18"/>
        <v>11.965625735419206</v>
      </c>
      <c r="I254" s="247">
        <f t="shared" si="19"/>
        <v>0</v>
      </c>
      <c r="J254" s="98">
        <f t="shared" si="16"/>
        <v>0</v>
      </c>
    </row>
    <row r="255" spans="1:10" x14ac:dyDescent="0.25">
      <c r="A255" s="82">
        <f>'A) Base RI'!A257</f>
        <v>5817</v>
      </c>
      <c r="B255" s="147" t="str">
        <f>'A) Base RI'!B257</f>
        <v>Grandcour</v>
      </c>
      <c r="C255" s="158">
        <f>'B) D RI'!U257</f>
        <v>20100.413081761009</v>
      </c>
      <c r="D255" s="247">
        <f>'E) Fact soc'!G261/C255</f>
        <v>16.895544795318418</v>
      </c>
      <c r="E255" s="247">
        <f>'H) Péréquation directe'!I266/'H) Péréquation directe'!C266</f>
        <v>-7.9330213010191901</v>
      </c>
      <c r="F255" s="242">
        <f>'I) Dépenses thématiques'!P255</f>
        <v>-5.7807767197299809</v>
      </c>
      <c r="G255" s="190">
        <f t="shared" si="17"/>
        <v>3.1817467745692474</v>
      </c>
      <c r="H255" s="242">
        <f t="shared" si="18"/>
        <v>8.9625234942992282</v>
      </c>
      <c r="I255" s="247">
        <f t="shared" si="19"/>
        <v>0</v>
      </c>
      <c r="J255" s="98">
        <f t="shared" si="16"/>
        <v>0</v>
      </c>
    </row>
    <row r="256" spans="1:10" x14ac:dyDescent="0.25">
      <c r="A256" s="82">
        <f>'A) Base RI'!A258</f>
        <v>5819</v>
      </c>
      <c r="B256" s="147" t="str">
        <f>'A) Base RI'!B258</f>
        <v>Henniez</v>
      </c>
      <c r="C256" s="158">
        <f>'B) D RI'!U258</f>
        <v>9884.2255223880602</v>
      </c>
      <c r="D256" s="247">
        <f>'E) Fact soc'!G262/C256</f>
        <v>15.71601720636381</v>
      </c>
      <c r="E256" s="247">
        <f>'H) Péréquation directe'!I267/'H) Péréquation directe'!C267</f>
        <v>10.770714327985113</v>
      </c>
      <c r="F256" s="242">
        <f>'I) Dépenses thématiques'!P256</f>
        <v>-5.4805507904793451</v>
      </c>
      <c r="G256" s="190">
        <f t="shared" si="17"/>
        <v>21.006180743869578</v>
      </c>
      <c r="H256" s="242">
        <f t="shared" si="18"/>
        <v>26.486731534348923</v>
      </c>
      <c r="I256" s="247">
        <f t="shared" si="19"/>
        <v>0</v>
      </c>
      <c r="J256" s="98">
        <f t="shared" si="16"/>
        <v>0</v>
      </c>
    </row>
    <row r="257" spans="1:10" x14ac:dyDescent="0.25">
      <c r="A257" s="82">
        <f>'A) Base RI'!A259</f>
        <v>5821</v>
      </c>
      <c r="B257" s="147" t="str">
        <f>'A) Base RI'!B259</f>
        <v>Missy</v>
      </c>
      <c r="C257" s="158">
        <f>'B) D RI'!U259</f>
        <v>7497.2731944444431</v>
      </c>
      <c r="D257" s="247">
        <f>'E) Fact soc'!G263/C257</f>
        <v>19.556109626896056</v>
      </c>
      <c r="E257" s="247">
        <f>'H) Péréquation directe'!I268/'H) Péréquation directe'!C268</f>
        <v>-5.6986149910748827</v>
      </c>
      <c r="F257" s="242">
        <f>'I) Dépenses thématiques'!P257</f>
        <v>-8.2307258118493358</v>
      </c>
      <c r="G257" s="190">
        <f t="shared" si="17"/>
        <v>5.6267688239718368</v>
      </c>
      <c r="H257" s="242">
        <f t="shared" si="18"/>
        <v>13.857494635821173</v>
      </c>
      <c r="I257" s="247">
        <f t="shared" si="19"/>
        <v>0</v>
      </c>
      <c r="J257" s="98">
        <f t="shared" si="16"/>
        <v>0</v>
      </c>
    </row>
    <row r="258" spans="1:10" x14ac:dyDescent="0.25">
      <c r="A258" s="82">
        <f>'A) Base RI'!A260</f>
        <v>5822</v>
      </c>
      <c r="B258" s="147" t="str">
        <f>'A) Base RI'!B260</f>
        <v>Payerne</v>
      </c>
      <c r="C258" s="158">
        <f>'B) D RI'!U260</f>
        <v>232171.67534246575</v>
      </c>
      <c r="D258" s="247">
        <f>'E) Fact soc'!G264/C258</f>
        <v>18.450348500622276</v>
      </c>
      <c r="E258" s="247">
        <f>'H) Péréquation directe'!I269/'H) Péréquation directe'!C269</f>
        <v>-15.958885384211094</v>
      </c>
      <c r="F258" s="242">
        <f>'I) Dépenses thématiques'!P258</f>
        <v>-3.9375431936368908</v>
      </c>
      <c r="G258" s="190">
        <f t="shared" si="17"/>
        <v>-1.4460800772257083</v>
      </c>
      <c r="H258" s="242">
        <f t="shared" si="18"/>
        <v>2.4914631164111825</v>
      </c>
      <c r="I258" s="247">
        <f t="shared" si="19"/>
        <v>0</v>
      </c>
      <c r="J258" s="98">
        <f t="shared" si="16"/>
        <v>0</v>
      </c>
    </row>
    <row r="259" spans="1:10" x14ac:dyDescent="0.25">
      <c r="A259" s="82">
        <f>'A) Base RI'!A261</f>
        <v>5827</v>
      </c>
      <c r="B259" s="147" t="str">
        <f>'A) Base RI'!B261</f>
        <v>Trey</v>
      </c>
      <c r="C259" s="158">
        <f>'B) D RI'!U261</f>
        <v>6148.4623749999992</v>
      </c>
      <c r="D259" s="247">
        <f>'E) Fact soc'!G265/C259</f>
        <v>16.980563011573384</v>
      </c>
      <c r="E259" s="247">
        <f>'H) Péréquation directe'!I270/'H) Péréquation directe'!C270</f>
        <v>-8.8104212452631856</v>
      </c>
      <c r="F259" s="242">
        <f>'I) Dépenses thématiques'!P259</f>
        <v>-7.6370313642847991</v>
      </c>
      <c r="G259" s="190">
        <f t="shared" si="17"/>
        <v>0.53311040202539939</v>
      </c>
      <c r="H259" s="242">
        <f t="shared" si="18"/>
        <v>8.1701417663101985</v>
      </c>
      <c r="I259" s="247">
        <f t="shared" si="19"/>
        <v>0</v>
      </c>
      <c r="J259" s="98">
        <f t="shared" si="16"/>
        <v>0</v>
      </c>
    </row>
    <row r="260" spans="1:10" x14ac:dyDescent="0.25">
      <c r="A260" s="82">
        <f>'A) Base RI'!A262</f>
        <v>5828</v>
      </c>
      <c r="B260" s="147" t="str">
        <f>'A) Base RI'!B262</f>
        <v>Treytorrens</v>
      </c>
      <c r="C260" s="158">
        <f>'B) D RI'!U262</f>
        <v>2457.9002380952379</v>
      </c>
      <c r="D260" s="247">
        <f>'E) Fact soc'!G266/C260</f>
        <v>19.52213678222973</v>
      </c>
      <c r="E260" s="247">
        <f>'H) Péréquation directe'!I271/'H) Péréquation directe'!C271</f>
        <v>-18.352082970821417</v>
      </c>
      <c r="F260" s="242">
        <f>'I) Dépenses thématiques'!P260</f>
        <v>-11.763699580584706</v>
      </c>
      <c r="G260" s="190">
        <f t="shared" si="17"/>
        <v>-10.593645769176394</v>
      </c>
      <c r="H260" s="242">
        <f t="shared" si="18"/>
        <v>1.1700538114083123</v>
      </c>
      <c r="I260" s="247">
        <f t="shared" si="19"/>
        <v>0</v>
      </c>
      <c r="J260" s="98">
        <f t="shared" si="16"/>
        <v>0</v>
      </c>
    </row>
    <row r="261" spans="1:10" x14ac:dyDescent="0.25">
      <c r="A261" s="82">
        <f>'A) Base RI'!A263</f>
        <v>5830</v>
      </c>
      <c r="B261" s="147" t="str">
        <f>'A) Base RI'!B263</f>
        <v>Villarzel</v>
      </c>
      <c r="C261" s="158">
        <f>'B) D RI'!U263</f>
        <v>9888.3237037037015</v>
      </c>
      <c r="D261" s="247">
        <f>'E) Fact soc'!G267/C261</f>
        <v>17.666803089579968</v>
      </c>
      <c r="E261" s="247">
        <f>'H) Péréquation directe'!I272/'H) Péréquation directe'!C272</f>
        <v>-7.3249005780890135</v>
      </c>
      <c r="F261" s="242">
        <f>'I) Dépenses thématiques'!P261</f>
        <v>-8.2013900869390532</v>
      </c>
      <c r="G261" s="190">
        <f t="shared" si="17"/>
        <v>2.1405124245519005</v>
      </c>
      <c r="H261" s="242">
        <f t="shared" si="18"/>
        <v>10.341902511490954</v>
      </c>
      <c r="I261" s="247">
        <f t="shared" si="19"/>
        <v>0</v>
      </c>
      <c r="J261" s="98">
        <f t="shared" si="16"/>
        <v>0</v>
      </c>
    </row>
    <row r="262" spans="1:10" x14ac:dyDescent="0.25">
      <c r="A262" s="82">
        <f>'A) Base RI'!A264</f>
        <v>5831</v>
      </c>
      <c r="B262" s="147" t="str">
        <f>'A) Base RI'!B264</f>
        <v>Valbroye</v>
      </c>
      <c r="C262" s="158">
        <f>'B) D RI'!U264</f>
        <v>72189.06751111109</v>
      </c>
      <c r="D262" s="247">
        <f>'E) Fact soc'!G268/C262</f>
        <v>16.752851275060948</v>
      </c>
      <c r="E262" s="247">
        <f>'H) Péréquation directe'!I273/'H) Péréquation directe'!C273</f>
        <v>-9.6012764729586095</v>
      </c>
      <c r="F262" s="242">
        <f>'I) Dépenses thématiques'!P262</f>
        <v>-7.7037565267677532</v>
      </c>
      <c r="G262" s="190">
        <f>SUM(D262:F262)</f>
        <v>-0.55218172466541482</v>
      </c>
      <c r="H262" s="242">
        <f>G262-F262</f>
        <v>7.1515748021023384</v>
      </c>
      <c r="I262" s="247">
        <f t="shared" si="19"/>
        <v>0</v>
      </c>
      <c r="J262" s="98">
        <f>-I262*C262</f>
        <v>0</v>
      </c>
    </row>
    <row r="263" spans="1:10" x14ac:dyDescent="0.25">
      <c r="A263" s="82">
        <f>'A) Base RI'!A265</f>
        <v>5841</v>
      </c>
      <c r="B263" s="147" t="str">
        <f>'A) Base RI'!B265</f>
        <v>Château-d'Oex</v>
      </c>
      <c r="C263" s="158">
        <f>'B) D RI'!U265</f>
        <v>107402.16457831326</v>
      </c>
      <c r="D263" s="247">
        <f>'E) Fact soc'!G269/C263</f>
        <v>19.265673709380174</v>
      </c>
      <c r="E263" s="247">
        <f>'H) Péréquation directe'!I274/'H) Péréquation directe'!C274</f>
        <v>-2.0292368896633883</v>
      </c>
      <c r="F263" s="242">
        <f>'I) Dépenses thématiques'!P263</f>
        <v>-14.156586191438922</v>
      </c>
      <c r="G263" s="190">
        <f>SUM(D263:F263)</f>
        <v>3.0798506282778639</v>
      </c>
      <c r="H263" s="242">
        <f>G263-F263</f>
        <v>17.236436819716786</v>
      </c>
      <c r="I263" s="247">
        <f t="shared" si="19"/>
        <v>0</v>
      </c>
      <c r="J263" s="98">
        <f>-I263*C263</f>
        <v>0</v>
      </c>
    </row>
    <row r="264" spans="1:10" x14ac:dyDescent="0.25">
      <c r="A264" s="82">
        <f>'A) Base RI'!A266</f>
        <v>5842</v>
      </c>
      <c r="B264" s="147" t="str">
        <f>'A) Base RI'!B266</f>
        <v>Rossinière</v>
      </c>
      <c r="C264" s="158">
        <f>'B) D RI'!U266</f>
        <v>14557.548271604937</v>
      </c>
      <c r="D264" s="247">
        <f>'E) Fact soc'!G270/C264</f>
        <v>17.716900259611528</v>
      </c>
      <c r="E264" s="247">
        <f>'H) Péréquation directe'!I275/'H) Péréquation directe'!C275</f>
        <v>-2.5362964783133246</v>
      </c>
      <c r="F264" s="242">
        <f>'I) Dépenses thématiques'!P264</f>
        <v>-18.245929537331111</v>
      </c>
      <c r="G264" s="190">
        <f t="shared" si="17"/>
        <v>-3.0653257560329088</v>
      </c>
      <c r="H264" s="242">
        <f t="shared" si="18"/>
        <v>15.180603781298203</v>
      </c>
      <c r="I264" s="247">
        <f t="shared" si="19"/>
        <v>0</v>
      </c>
      <c r="J264" s="98">
        <f t="shared" si="16"/>
        <v>0</v>
      </c>
    </row>
    <row r="265" spans="1:10" x14ac:dyDescent="0.25">
      <c r="A265" s="82">
        <f>'A) Base RI'!A267</f>
        <v>5843</v>
      </c>
      <c r="B265" s="147" t="str">
        <f>'A) Base RI'!B267</f>
        <v>Rougemont</v>
      </c>
      <c r="C265" s="158">
        <f>'B) D RI'!U267</f>
        <v>80469.50922705316</v>
      </c>
      <c r="D265" s="247">
        <f>'E) Fact soc'!G271/C265</f>
        <v>33.399990516622793</v>
      </c>
      <c r="E265" s="247">
        <f>'H) Péréquation directe'!I276/'H) Péréquation directe'!C276</f>
        <v>17.240892101095071</v>
      </c>
      <c r="F265" s="242">
        <f>'I) Dépenses thématiques'!P265</f>
        <v>-13.162075737167751</v>
      </c>
      <c r="G265" s="190">
        <f t="shared" si="17"/>
        <v>37.47880688055011</v>
      </c>
      <c r="H265" s="242">
        <f t="shared" si="18"/>
        <v>50.640882617717864</v>
      </c>
      <c r="I265" s="247">
        <f t="shared" si="19"/>
        <v>0</v>
      </c>
      <c r="J265" s="98">
        <f t="shared" si="16"/>
        <v>0</v>
      </c>
    </row>
    <row r="266" spans="1:10" x14ac:dyDescent="0.25">
      <c r="A266" s="82">
        <f>'A) Base RI'!A268</f>
        <v>5851</v>
      </c>
      <c r="B266" s="147" t="str">
        <f>'A) Base RI'!B268</f>
        <v>Allaman</v>
      </c>
      <c r="C266" s="158">
        <f>'B) D RI'!U268</f>
        <v>24671.087704918031</v>
      </c>
      <c r="D266" s="247">
        <f>'E) Fact soc'!G272/C266</f>
        <v>31.783681103446753</v>
      </c>
      <c r="E266" s="247">
        <f>'H) Péréquation directe'!I277/'H) Péréquation directe'!C277</f>
        <v>16.868180589961941</v>
      </c>
      <c r="F266" s="242">
        <f>'I) Dépenses thématiques'!P266</f>
        <v>0</v>
      </c>
      <c r="G266" s="190">
        <f t="shared" si="17"/>
        <v>48.651861693408691</v>
      </c>
      <c r="H266" s="242">
        <f t="shared" si="18"/>
        <v>48.651861693408691</v>
      </c>
      <c r="I266" s="247">
        <f t="shared" si="19"/>
        <v>0</v>
      </c>
      <c r="J266" s="98">
        <f t="shared" si="16"/>
        <v>0</v>
      </c>
    </row>
    <row r="267" spans="1:10" x14ac:dyDescent="0.25">
      <c r="A267" s="82">
        <f>'A) Base RI'!A269</f>
        <v>5852</v>
      </c>
      <c r="B267" s="147" t="str">
        <f>'A) Base RI'!B269</f>
        <v>Bursinel</v>
      </c>
      <c r="C267" s="158">
        <f>'B) D RI'!U269</f>
        <v>29914.872845528454</v>
      </c>
      <c r="D267" s="247">
        <f>'E) Fact soc'!G273/C267</f>
        <v>18.86375301369031</v>
      </c>
      <c r="E267" s="247">
        <f>'H) Péréquation directe'!I278/'H) Péréquation directe'!C278</f>
        <v>16.903706907062599</v>
      </c>
      <c r="F267" s="242">
        <f>'I) Dépenses thématiques'!P267</f>
        <v>-1.292111885685457</v>
      </c>
      <c r="G267" s="190">
        <f t="shared" si="17"/>
        <v>34.475348035067455</v>
      </c>
      <c r="H267" s="242">
        <f t="shared" si="18"/>
        <v>35.767459920752913</v>
      </c>
      <c r="I267" s="247">
        <f t="shared" si="19"/>
        <v>0</v>
      </c>
      <c r="J267" s="98">
        <f t="shared" si="16"/>
        <v>0</v>
      </c>
    </row>
    <row r="268" spans="1:10" x14ac:dyDescent="0.25">
      <c r="A268" s="82">
        <f>'A) Base RI'!A270</f>
        <v>5853</v>
      </c>
      <c r="B268" s="147" t="str">
        <f>'A) Base RI'!B270</f>
        <v>Bursins</v>
      </c>
      <c r="C268" s="158">
        <f>'B) D RI'!U270</f>
        <v>35670.275774647889</v>
      </c>
      <c r="D268" s="247">
        <f>'E) Fact soc'!G274/C268</f>
        <v>18.214988629154902</v>
      </c>
      <c r="E268" s="247">
        <f>'H) Péréquation directe'!I279/'H) Péréquation directe'!C279</f>
        <v>16.414058688498592</v>
      </c>
      <c r="F268" s="242">
        <f>'I) Dépenses thématiques'!P268</f>
        <v>-0.45216919829544588</v>
      </c>
      <c r="G268" s="190">
        <f t="shared" si="17"/>
        <v>34.176878119358051</v>
      </c>
      <c r="H268" s="242">
        <f t="shared" si="18"/>
        <v>34.629047317653495</v>
      </c>
      <c r="I268" s="247">
        <f t="shared" si="19"/>
        <v>0</v>
      </c>
      <c r="J268" s="98">
        <f t="shared" si="16"/>
        <v>0</v>
      </c>
    </row>
    <row r="269" spans="1:10" x14ac:dyDescent="0.25">
      <c r="A269" s="82">
        <f>'A) Base RI'!A271</f>
        <v>5854</v>
      </c>
      <c r="B269" s="147" t="str">
        <f>'A) Base RI'!B271</f>
        <v>Burtigny</v>
      </c>
      <c r="C269" s="158">
        <f>'B) D RI'!U271</f>
        <v>10927.480438596491</v>
      </c>
      <c r="D269" s="247">
        <f>'E) Fact soc'!G275/C269</f>
        <v>16.687723466492837</v>
      </c>
      <c r="E269" s="247">
        <f>'H) Péréquation directe'!I280/'H) Péréquation directe'!C280</f>
        <v>3.9276361714960655</v>
      </c>
      <c r="F269" s="242">
        <f>'I) Dépenses thématiques'!P269</f>
        <v>-20.174183906232155</v>
      </c>
      <c r="G269" s="190">
        <f t="shared" si="17"/>
        <v>0.44117573175674707</v>
      </c>
      <c r="H269" s="242">
        <f t="shared" si="18"/>
        <v>20.615359637988902</v>
      </c>
      <c r="I269" s="247">
        <f t="shared" si="19"/>
        <v>0</v>
      </c>
      <c r="J269" s="98">
        <f t="shared" si="16"/>
        <v>0</v>
      </c>
    </row>
    <row r="270" spans="1:10" x14ac:dyDescent="0.25">
      <c r="A270" s="82">
        <f>'A) Base RI'!A272</f>
        <v>5855</v>
      </c>
      <c r="B270" s="147" t="str">
        <f>'A) Base RI'!B272</f>
        <v>Dully</v>
      </c>
      <c r="C270" s="158">
        <f>'B) D RI'!U272</f>
        <v>80286.552448979593</v>
      </c>
      <c r="D270" s="247">
        <f>'E) Fact soc'!G276/C270</f>
        <v>28.466611909897736</v>
      </c>
      <c r="E270" s="247">
        <f>'H) Péréquation directe'!I281/'H) Péréquation directe'!C281</f>
        <v>17.488703390891899</v>
      </c>
      <c r="F270" s="242">
        <f>'I) Dépenses thématiques'!P270</f>
        <v>0</v>
      </c>
      <c r="G270" s="190">
        <f t="shared" si="17"/>
        <v>45.955315300789636</v>
      </c>
      <c r="H270" s="242">
        <f t="shared" si="18"/>
        <v>45.955315300789636</v>
      </c>
      <c r="I270" s="247">
        <f t="shared" si="19"/>
        <v>0</v>
      </c>
      <c r="J270" s="98">
        <f t="shared" si="16"/>
        <v>0</v>
      </c>
    </row>
    <row r="271" spans="1:10" x14ac:dyDescent="0.25">
      <c r="A271" s="82">
        <f>'A) Base RI'!A273</f>
        <v>5856</v>
      </c>
      <c r="B271" s="147" t="str">
        <f>'A) Base RI'!B273</f>
        <v>Essertines-sur-Rolle</v>
      </c>
      <c r="C271" s="158">
        <f>'B) D RI'!U273</f>
        <v>37372.082975113124</v>
      </c>
      <c r="D271" s="247">
        <f>'E) Fact soc'!G277/C271</f>
        <v>16.123158203129435</v>
      </c>
      <c r="E271" s="247">
        <f>'H) Péréquation directe'!I282/'H) Péréquation directe'!C282</f>
        <v>16.688178724619569</v>
      </c>
      <c r="F271" s="242">
        <f>'I) Dépenses thématiques'!P271</f>
        <v>0</v>
      </c>
      <c r="G271" s="190">
        <f t="shared" si="17"/>
        <v>32.811336927749004</v>
      </c>
      <c r="H271" s="242">
        <f t="shared" si="18"/>
        <v>32.811336927749004</v>
      </c>
      <c r="I271" s="247">
        <f t="shared" si="19"/>
        <v>0</v>
      </c>
      <c r="J271" s="98">
        <f t="shared" si="16"/>
        <v>0</v>
      </c>
    </row>
    <row r="272" spans="1:10" x14ac:dyDescent="0.25">
      <c r="A272" s="82">
        <f>'A) Base RI'!A274</f>
        <v>5857</v>
      </c>
      <c r="B272" s="147" t="str">
        <f>'A) Base RI'!B274</f>
        <v>Gilly</v>
      </c>
      <c r="C272" s="158">
        <f>'B) D RI'!U274</f>
        <v>64256.086818181808</v>
      </c>
      <c r="D272" s="247">
        <f>'E) Fact soc'!G278/C272</f>
        <v>22.053593294000596</v>
      </c>
      <c r="E272" s="247">
        <f>'H) Péréquation directe'!I283/'H) Péréquation directe'!C283</f>
        <v>16.540580242390391</v>
      </c>
      <c r="F272" s="242">
        <f>'I) Dépenses thématiques'!P272</f>
        <v>0</v>
      </c>
      <c r="G272" s="190">
        <f t="shared" si="17"/>
        <v>38.594173536390983</v>
      </c>
      <c r="H272" s="242">
        <f t="shared" si="18"/>
        <v>38.594173536390983</v>
      </c>
      <c r="I272" s="247">
        <f t="shared" si="19"/>
        <v>0</v>
      </c>
      <c r="J272" s="98">
        <f t="shared" si="16"/>
        <v>0</v>
      </c>
    </row>
    <row r="273" spans="1:10" x14ac:dyDescent="0.25">
      <c r="A273" s="82">
        <f>'A) Base RI'!A275</f>
        <v>5858</v>
      </c>
      <c r="B273" s="147" t="str">
        <f>'A) Base RI'!B275</f>
        <v>Luins</v>
      </c>
      <c r="C273" s="158">
        <f>'B) D RI'!U275</f>
        <v>35566.654611111124</v>
      </c>
      <c r="D273" s="247">
        <f>'E) Fact soc'!G279/C273</f>
        <v>17.421243028214128</v>
      </c>
      <c r="E273" s="247">
        <f>'H) Péréquation directe'!I284/'H) Péréquation directe'!C284</f>
        <v>16.811178198196064</v>
      </c>
      <c r="F273" s="242">
        <f>'I) Dépenses thématiques'!P273</f>
        <v>0</v>
      </c>
      <c r="G273" s="190">
        <f t="shared" si="17"/>
        <v>34.232421226410196</v>
      </c>
      <c r="H273" s="242">
        <f t="shared" si="18"/>
        <v>34.232421226410196</v>
      </c>
      <c r="I273" s="247">
        <f t="shared" si="19"/>
        <v>0</v>
      </c>
      <c r="J273" s="98">
        <f t="shared" ref="J273:J322" si="20">-I273*C273</f>
        <v>0</v>
      </c>
    </row>
    <row r="274" spans="1:10" x14ac:dyDescent="0.25">
      <c r="A274" s="82">
        <f>'A) Base RI'!A276</f>
        <v>5859</v>
      </c>
      <c r="B274" s="147" t="str">
        <f>'A) Base RI'!B276</f>
        <v>Mont-sur-Rolle</v>
      </c>
      <c r="C274" s="158">
        <f>'B) D RI'!U276</f>
        <v>135944.39825396828</v>
      </c>
      <c r="D274" s="247">
        <f>'E) Fact soc'!G280/C274</f>
        <v>17.803593834920456</v>
      </c>
      <c r="E274" s="247">
        <f>'H) Péréquation directe'!I285/'H) Péréquation directe'!C285</f>
        <v>13.69581993751369</v>
      </c>
      <c r="F274" s="242">
        <f>'I) Dépenses thématiques'!P274</f>
        <v>0</v>
      </c>
      <c r="G274" s="190">
        <f t="shared" ref="G274:G322" si="21">SUM(D274:F274)</f>
        <v>31.499413772434146</v>
      </c>
      <c r="H274" s="242">
        <f t="shared" ref="H274:H323" si="22">G274-F274</f>
        <v>31.499413772434146</v>
      </c>
      <c r="I274" s="247">
        <f t="shared" ref="I274:I322" si="23">IF(H274&lt;I$4,H274-I$4,0)</f>
        <v>0</v>
      </c>
      <c r="J274" s="98">
        <f t="shared" si="20"/>
        <v>0</v>
      </c>
    </row>
    <row r="275" spans="1:10" x14ac:dyDescent="0.25">
      <c r="A275" s="82">
        <f>'A) Base RI'!A277</f>
        <v>5860</v>
      </c>
      <c r="B275" s="147" t="str">
        <f>'A) Base RI'!B277</f>
        <v>Perroy</v>
      </c>
      <c r="C275" s="158">
        <f>'B) D RI'!U277</f>
        <v>70993.86</v>
      </c>
      <c r="D275" s="247">
        <f>'E) Fact soc'!G281/C275</f>
        <v>17.462626227372898</v>
      </c>
      <c r="E275" s="247">
        <f>'H) Péréquation directe'!I286/'H) Péréquation directe'!C286</f>
        <v>15.199962362942372</v>
      </c>
      <c r="F275" s="242">
        <f>'I) Dépenses thématiques'!P275</f>
        <v>0</v>
      </c>
      <c r="G275" s="190">
        <f t="shared" si="21"/>
        <v>32.662588590315266</v>
      </c>
      <c r="H275" s="242">
        <f t="shared" si="22"/>
        <v>32.662588590315266</v>
      </c>
      <c r="I275" s="247">
        <f t="shared" si="23"/>
        <v>0</v>
      </c>
      <c r="J275" s="98">
        <f t="shared" si="20"/>
        <v>0</v>
      </c>
    </row>
    <row r="276" spans="1:10" x14ac:dyDescent="0.25">
      <c r="A276" s="82">
        <f>'A) Base RI'!A278</f>
        <v>5861</v>
      </c>
      <c r="B276" s="147" t="str">
        <f>'A) Base RI'!B278</f>
        <v>Rolle</v>
      </c>
      <c r="C276" s="158">
        <f>'B) D RI'!U278</f>
        <v>356530.16436974786</v>
      </c>
      <c r="D276" s="247">
        <f>'E) Fact soc'!G282/C276</f>
        <v>19.747145549495006</v>
      </c>
      <c r="E276" s="247">
        <f>'H) Péréquation directe'!I287/'H) Péréquation directe'!C287</f>
        <v>11.782192517007415</v>
      </c>
      <c r="F276" s="242">
        <f>'I) Dépenses thématiques'!P276</f>
        <v>-1.2005950432997736</v>
      </c>
      <c r="G276" s="190">
        <f t="shared" si="21"/>
        <v>30.328743023202644</v>
      </c>
      <c r="H276" s="242">
        <f t="shared" si="22"/>
        <v>31.529338066502419</v>
      </c>
      <c r="I276" s="247">
        <f t="shared" si="23"/>
        <v>0</v>
      </c>
      <c r="J276" s="98">
        <f t="shared" si="20"/>
        <v>0</v>
      </c>
    </row>
    <row r="277" spans="1:10" x14ac:dyDescent="0.25">
      <c r="A277" s="82">
        <f>'A) Base RI'!A279</f>
        <v>5862</v>
      </c>
      <c r="B277" s="147" t="str">
        <f>'A) Base RI'!B279</f>
        <v>Tartegnin</v>
      </c>
      <c r="C277" s="158">
        <f>'B) D RI'!U279</f>
        <v>7735.2980158730161</v>
      </c>
      <c r="D277" s="247">
        <f>'E) Fact soc'!G283/C277</f>
        <v>21.570189520177582</v>
      </c>
      <c r="E277" s="247">
        <f>'H) Péréquation directe'!I288/'H) Péréquation directe'!C288</f>
        <v>7.3947580337740737</v>
      </c>
      <c r="F277" s="242">
        <f>'I) Dépenses thématiques'!P277</f>
        <v>-1.2653681836064739</v>
      </c>
      <c r="G277" s="190">
        <f t="shared" si="21"/>
        <v>27.699579370345184</v>
      </c>
      <c r="H277" s="242">
        <f t="shared" si="22"/>
        <v>28.964947553951657</v>
      </c>
      <c r="I277" s="247">
        <f t="shared" si="23"/>
        <v>0</v>
      </c>
      <c r="J277" s="98">
        <f t="shared" si="20"/>
        <v>0</v>
      </c>
    </row>
    <row r="278" spans="1:10" x14ac:dyDescent="0.25">
      <c r="A278" s="82">
        <f>'A) Base RI'!A280</f>
        <v>5863</v>
      </c>
      <c r="B278" s="147" t="str">
        <f>'A) Base RI'!B280</f>
        <v>Vinzel</v>
      </c>
      <c r="C278" s="158">
        <f>'B) D RI'!U280</f>
        <v>21110.455753424656</v>
      </c>
      <c r="D278" s="247">
        <f>'E) Fact soc'!G284/C278</f>
        <v>16.676250478154245</v>
      </c>
      <c r="E278" s="247">
        <f>'H) Péréquation directe'!I289/'H) Péréquation directe'!C289</f>
        <v>16.839432467735644</v>
      </c>
      <c r="F278" s="242">
        <f>'I) Dépenses thématiques'!P278</f>
        <v>0</v>
      </c>
      <c r="G278" s="190">
        <f t="shared" si="21"/>
        <v>33.515682945889893</v>
      </c>
      <c r="H278" s="242">
        <f t="shared" si="22"/>
        <v>33.515682945889893</v>
      </c>
      <c r="I278" s="247">
        <f t="shared" si="23"/>
        <v>0</v>
      </c>
      <c r="J278" s="98">
        <f t="shared" si="20"/>
        <v>0</v>
      </c>
    </row>
    <row r="279" spans="1:10" x14ac:dyDescent="0.25">
      <c r="A279" s="82">
        <f>'A) Base RI'!A281</f>
        <v>5871</v>
      </c>
      <c r="B279" s="147" t="str">
        <f>'A) Base RI'!B281</f>
        <v>L'Abbaye</v>
      </c>
      <c r="C279" s="158">
        <f>'B) D RI'!U281</f>
        <v>60910.131722525337</v>
      </c>
      <c r="D279" s="247">
        <f>'E) Fact soc'!G285/C279</f>
        <v>19.352502563358549</v>
      </c>
      <c r="E279" s="247">
        <f>'H) Péréquation directe'!I290/'H) Péréquation directe'!C290</f>
        <v>13.677155824188558</v>
      </c>
      <c r="F279" s="242">
        <f>'I) Dépenses thématiques'!P279</f>
        <v>-2.1954147235992192</v>
      </c>
      <c r="G279" s="190">
        <f t="shared" si="21"/>
        <v>30.834243663947888</v>
      </c>
      <c r="H279" s="242">
        <f t="shared" si="22"/>
        <v>33.029658387547109</v>
      </c>
      <c r="I279" s="247">
        <f t="shared" si="23"/>
        <v>0</v>
      </c>
      <c r="J279" s="98">
        <f t="shared" si="20"/>
        <v>0</v>
      </c>
    </row>
    <row r="280" spans="1:10" x14ac:dyDescent="0.25">
      <c r="A280" s="82">
        <f>'A) Base RI'!A282</f>
        <v>5872</v>
      </c>
      <c r="B280" s="147" t="str">
        <f>'A) Base RI'!B282</f>
        <v>Le Chenit</v>
      </c>
      <c r="C280" s="158">
        <f>'B) D RI'!U282</f>
        <v>373754.29606892174</v>
      </c>
      <c r="D280" s="247">
        <f>'E) Fact soc'!G286/C280</f>
        <v>28.859144973755313</v>
      </c>
      <c r="E280" s="247">
        <f>'H) Péréquation directe'!I291/'H) Péréquation directe'!C291</f>
        <v>13.751789267334608</v>
      </c>
      <c r="F280" s="242">
        <f>'I) Dépenses thématiques'!P280</f>
        <v>-2.8443078455096509</v>
      </c>
      <c r="G280" s="190">
        <f t="shared" si="21"/>
        <v>39.766626395580268</v>
      </c>
      <c r="H280" s="242">
        <f t="shared" si="22"/>
        <v>42.610934241089922</v>
      </c>
      <c r="I280" s="247">
        <f t="shared" si="23"/>
        <v>0</v>
      </c>
      <c r="J280" s="98">
        <f t="shared" si="20"/>
        <v>0</v>
      </c>
    </row>
    <row r="281" spans="1:10" x14ac:dyDescent="0.25">
      <c r="A281" s="82">
        <f>'A) Base RI'!A283</f>
        <v>5873</v>
      </c>
      <c r="B281" s="147" t="str">
        <f>'A) Base RI'!B283</f>
        <v>Le Lieu</v>
      </c>
      <c r="C281" s="158">
        <f>'B) D RI'!U283</f>
        <v>39370.007846153843</v>
      </c>
      <c r="D281" s="247">
        <f>'E) Fact soc'!G287/C281</f>
        <v>23.566687440660115</v>
      </c>
      <c r="E281" s="247">
        <f>'H) Péréquation directe'!I292/'H) Péréquation directe'!C292</f>
        <v>16.381657898577391</v>
      </c>
      <c r="F281" s="242">
        <f>'I) Dépenses thématiques'!P281</f>
        <v>-15.011427031192129</v>
      </c>
      <c r="G281" s="190">
        <f t="shared" si="21"/>
        <v>24.936918308045378</v>
      </c>
      <c r="H281" s="242">
        <f t="shared" si="22"/>
        <v>39.948345339237505</v>
      </c>
      <c r="I281" s="247">
        <f t="shared" si="23"/>
        <v>0</v>
      </c>
      <c r="J281" s="98">
        <f t="shared" si="20"/>
        <v>0</v>
      </c>
    </row>
    <row r="282" spans="1:10" x14ac:dyDescent="0.25">
      <c r="A282" s="82">
        <f>'A) Base RI'!A284</f>
        <v>5881</v>
      </c>
      <c r="B282" s="147" t="str">
        <f>'A) Base RI'!B284</f>
        <v>Blonay</v>
      </c>
      <c r="C282" s="158">
        <f>'B) D RI'!U284</f>
        <v>331887.5422222222</v>
      </c>
      <c r="D282" s="247">
        <f>'E) Fact soc'!G288/C282</f>
        <v>17.100305184907484</v>
      </c>
      <c r="E282" s="247">
        <f>'H) Péréquation directe'!I293/'H) Péréquation directe'!C293</f>
        <v>11.125663154682771</v>
      </c>
      <c r="F282" s="242">
        <f>'I) Dépenses thématiques'!P282</f>
        <v>-1.4794077436966366</v>
      </c>
      <c r="G282" s="190">
        <f t="shared" si="21"/>
        <v>26.746560595893616</v>
      </c>
      <c r="H282" s="242">
        <f t="shared" si="22"/>
        <v>28.225968339590253</v>
      </c>
      <c r="I282" s="247">
        <f t="shared" si="23"/>
        <v>0</v>
      </c>
      <c r="J282" s="98">
        <f t="shared" si="20"/>
        <v>0</v>
      </c>
    </row>
    <row r="283" spans="1:10" x14ac:dyDescent="0.25">
      <c r="A283" s="82">
        <f>'A) Base RI'!A285</f>
        <v>5882</v>
      </c>
      <c r="B283" s="147" t="str">
        <f>'A) Base RI'!B285</f>
        <v>Chardonne</v>
      </c>
      <c r="C283" s="158">
        <f>'B) D RI'!U285</f>
        <v>161225.34606060604</v>
      </c>
      <c r="D283" s="247">
        <f>'E) Fact soc'!G289/C283</f>
        <v>24.77096419967916</v>
      </c>
      <c r="E283" s="247">
        <f>'H) Péréquation directe'!I294/'H) Péréquation directe'!C294</f>
        <v>13.903326451085881</v>
      </c>
      <c r="F283" s="242">
        <f>'I) Dépenses thématiques'!P283</f>
        <v>-1.3430297121315158</v>
      </c>
      <c r="G283" s="190">
        <f t="shared" si="21"/>
        <v>37.331260938633527</v>
      </c>
      <c r="H283" s="242">
        <f t="shared" si="22"/>
        <v>38.674290650765045</v>
      </c>
      <c r="I283" s="247">
        <f t="shared" si="23"/>
        <v>0</v>
      </c>
      <c r="J283" s="98">
        <f t="shared" si="20"/>
        <v>0</v>
      </c>
    </row>
    <row r="284" spans="1:10" x14ac:dyDescent="0.25">
      <c r="A284" s="82">
        <f>'A) Base RI'!A286</f>
        <v>5883</v>
      </c>
      <c r="B284" s="147" t="str">
        <f>'A) Base RI'!B286</f>
        <v>Corseaux</v>
      </c>
      <c r="C284" s="158">
        <f>'B) D RI'!U286</f>
        <v>159212.38328124999</v>
      </c>
      <c r="D284" s="247">
        <f>'E) Fact soc'!G290/C284</f>
        <v>22.246322841521309</v>
      </c>
      <c r="E284" s="247">
        <f>'H) Péréquation directe'!I295/'H) Péréquation directe'!C295</f>
        <v>15.016232809282128</v>
      </c>
      <c r="F284" s="242">
        <f>'I) Dépenses thématiques'!P284</f>
        <v>0</v>
      </c>
      <c r="G284" s="190">
        <f t="shared" si="21"/>
        <v>37.262555650803435</v>
      </c>
      <c r="H284" s="242">
        <f t="shared" si="22"/>
        <v>37.262555650803435</v>
      </c>
      <c r="I284" s="247">
        <f t="shared" si="23"/>
        <v>0</v>
      </c>
      <c r="J284" s="98">
        <f t="shared" si="20"/>
        <v>0</v>
      </c>
    </row>
    <row r="285" spans="1:10" x14ac:dyDescent="0.25">
      <c r="A285" s="82">
        <f>'A) Base RI'!A287</f>
        <v>5884</v>
      </c>
      <c r="B285" s="147" t="str">
        <f>'A) Base RI'!B287</f>
        <v>Corsier-sur-Vevey</v>
      </c>
      <c r="C285" s="158">
        <f>'B) D RI'!U287</f>
        <v>121405.28277777777</v>
      </c>
      <c r="D285" s="247">
        <f>'E) Fact soc'!G291/C285</f>
        <v>17.063167630127239</v>
      </c>
      <c r="E285" s="247">
        <f>'H) Péréquation directe'!I296/'H) Péréquation directe'!C296</f>
        <v>6.4379241158445035</v>
      </c>
      <c r="F285" s="242">
        <f>'I) Dépenses thématiques'!P285</f>
        <v>-5.1330303405385864</v>
      </c>
      <c r="G285" s="190">
        <f t="shared" si="21"/>
        <v>18.368061405433156</v>
      </c>
      <c r="H285" s="242">
        <f t="shared" si="22"/>
        <v>23.501091745971742</v>
      </c>
      <c r="I285" s="247">
        <f t="shared" si="23"/>
        <v>0</v>
      </c>
      <c r="J285" s="98">
        <f t="shared" si="20"/>
        <v>0</v>
      </c>
    </row>
    <row r="286" spans="1:10" x14ac:dyDescent="0.25">
      <c r="A286" s="82">
        <f>'A) Base RI'!A288</f>
        <v>5885</v>
      </c>
      <c r="B286" s="147" t="str">
        <f>'A) Base RI'!B288</f>
        <v>Jongny</v>
      </c>
      <c r="C286" s="158">
        <f>'B) D RI'!U288</f>
        <v>76199.638309178743</v>
      </c>
      <c r="D286" s="247">
        <f>'E) Fact soc'!G292/C286</f>
        <v>17.40184118182091</v>
      </c>
      <c r="E286" s="247">
        <f>'H) Péréquation directe'!I297/'H) Péréquation directe'!C297</f>
        <v>15.061777528959109</v>
      </c>
      <c r="F286" s="242">
        <f>'I) Dépenses thématiques'!P286</f>
        <v>-0.10007921519335347</v>
      </c>
      <c r="G286" s="190">
        <f t="shared" si="21"/>
        <v>32.363539495586664</v>
      </c>
      <c r="H286" s="242">
        <f t="shared" si="22"/>
        <v>32.463618710780018</v>
      </c>
      <c r="I286" s="247">
        <f t="shared" si="23"/>
        <v>0</v>
      </c>
      <c r="J286" s="98">
        <f t="shared" si="20"/>
        <v>0</v>
      </c>
    </row>
    <row r="287" spans="1:10" x14ac:dyDescent="0.25">
      <c r="A287" s="82">
        <f>'A) Base RI'!A289</f>
        <v>5886</v>
      </c>
      <c r="B287" s="147" t="str">
        <f>'A) Base RI'!B289</f>
        <v>Montreux</v>
      </c>
      <c r="C287" s="158">
        <f>'B) D RI'!U289</f>
        <v>1119854.9833838383</v>
      </c>
      <c r="D287" s="247">
        <f>'E) Fact soc'!G293/C287</f>
        <v>19.472924362596785</v>
      </c>
      <c r="E287" s="247">
        <f>'H) Péréquation directe'!I298/'H) Péréquation directe'!C298</f>
        <v>-0.89635587104409764</v>
      </c>
      <c r="F287" s="242">
        <f>'I) Dépenses thématiques'!P287</f>
        <v>-3.8537605886786315</v>
      </c>
      <c r="G287" s="190">
        <f t="shared" si="21"/>
        <v>14.722807902874056</v>
      </c>
      <c r="H287" s="242">
        <f t="shared" si="22"/>
        <v>18.576568491552688</v>
      </c>
      <c r="I287" s="247">
        <f t="shared" si="23"/>
        <v>0</v>
      </c>
      <c r="J287" s="98">
        <f t="shared" si="20"/>
        <v>0</v>
      </c>
    </row>
    <row r="288" spans="1:10" x14ac:dyDescent="0.25">
      <c r="A288" s="82">
        <f>'A) Base RI'!A290</f>
        <v>5888</v>
      </c>
      <c r="B288" s="147" t="str">
        <f>'A) Base RI'!B290</f>
        <v>St-Légier-La Chiésaz</v>
      </c>
      <c r="C288" s="158">
        <f>'B) D RI'!U290</f>
        <v>357526.04545454547</v>
      </c>
      <c r="D288" s="247">
        <f>'E) Fact soc'!G294/C288</f>
        <v>20.524687683531738</v>
      </c>
      <c r="E288" s="247">
        <f>'H) Péréquation directe'!I299/'H) Péréquation directe'!C299</f>
        <v>12.935115351249177</v>
      </c>
      <c r="F288" s="242">
        <f>'I) Dépenses thématiques'!P288</f>
        <v>-2.8298828352355767</v>
      </c>
      <c r="G288" s="190">
        <f t="shared" si="21"/>
        <v>30.629920199545342</v>
      </c>
      <c r="H288" s="242">
        <f t="shared" si="22"/>
        <v>33.459803034780919</v>
      </c>
      <c r="I288" s="247">
        <f t="shared" si="23"/>
        <v>0</v>
      </c>
      <c r="J288" s="98">
        <f t="shared" si="20"/>
        <v>0</v>
      </c>
    </row>
    <row r="289" spans="1:10" x14ac:dyDescent="0.25">
      <c r="A289" s="82">
        <f>'A) Base RI'!A291</f>
        <v>5889</v>
      </c>
      <c r="B289" s="147" t="str">
        <f>'A) Base RI'!B291</f>
        <v>La Tour-de-Peilz</v>
      </c>
      <c r="C289" s="158">
        <f>'B) D RI'!U291</f>
        <v>593029.02942708356</v>
      </c>
      <c r="D289" s="247">
        <f>'E) Fact soc'!G295/C289</f>
        <v>17.178535012615679</v>
      </c>
      <c r="E289" s="247">
        <f>'H) Péréquation directe'!I300/'H) Péréquation directe'!C300</f>
        <v>8.3102727783176018</v>
      </c>
      <c r="F289" s="242">
        <f>'I) Dépenses thématiques'!P289</f>
        <v>0</v>
      </c>
      <c r="G289" s="190">
        <f t="shared" si="21"/>
        <v>25.488807790933279</v>
      </c>
      <c r="H289" s="242">
        <f t="shared" si="22"/>
        <v>25.488807790933279</v>
      </c>
      <c r="I289" s="247">
        <f t="shared" si="23"/>
        <v>0</v>
      </c>
      <c r="J289" s="98">
        <f t="shared" si="20"/>
        <v>0</v>
      </c>
    </row>
    <row r="290" spans="1:10" x14ac:dyDescent="0.25">
      <c r="A290" s="82">
        <f>'A) Base RI'!A292</f>
        <v>5890</v>
      </c>
      <c r="B290" s="147" t="str">
        <f>'A) Base RI'!B292</f>
        <v>Vevey</v>
      </c>
      <c r="C290" s="158">
        <f>'B) D RI'!U292</f>
        <v>920050.18059360737</v>
      </c>
      <c r="D290" s="247">
        <f>'E) Fact soc'!G296/C290</f>
        <v>17.19078468277549</v>
      </c>
      <c r="E290" s="247">
        <f>'H) Péréquation directe'!I301/'H) Péréquation directe'!C301</f>
        <v>3.5785569846589698</v>
      </c>
      <c r="F290" s="242">
        <f>'I) Dépenses thématiques'!P290</f>
        <v>-0.8509894530914025</v>
      </c>
      <c r="G290" s="190">
        <f t="shared" si="21"/>
        <v>19.918352214343059</v>
      </c>
      <c r="H290" s="242">
        <f t="shared" si="22"/>
        <v>20.76934166743446</v>
      </c>
      <c r="I290" s="247">
        <f t="shared" si="23"/>
        <v>0</v>
      </c>
      <c r="J290" s="98">
        <f t="shared" si="20"/>
        <v>0</v>
      </c>
    </row>
    <row r="291" spans="1:10" x14ac:dyDescent="0.25">
      <c r="A291" s="82">
        <f>'A) Base RI'!A293</f>
        <v>5891</v>
      </c>
      <c r="B291" s="147" t="str">
        <f>'A) Base RI'!B293</f>
        <v>Veytaux</v>
      </c>
      <c r="C291" s="158">
        <f>'B) D RI'!U293</f>
        <v>37637.543719806752</v>
      </c>
      <c r="D291" s="247">
        <f>'E) Fact soc'!G297/C291</f>
        <v>22.806801074305103</v>
      </c>
      <c r="E291" s="247">
        <f>'H) Péréquation directe'!I302/'H) Péréquation directe'!C302</f>
        <v>16.310788094201172</v>
      </c>
      <c r="F291" s="242">
        <f>'I) Dépenses thématiques'!P291</f>
        <v>-9.1288900933029353</v>
      </c>
      <c r="G291" s="190">
        <f t="shared" si="21"/>
        <v>29.988699075203336</v>
      </c>
      <c r="H291" s="242">
        <f t="shared" si="22"/>
        <v>39.117589168506271</v>
      </c>
      <c r="I291" s="247">
        <f t="shared" si="23"/>
        <v>0</v>
      </c>
      <c r="J291" s="98">
        <f t="shared" si="20"/>
        <v>0</v>
      </c>
    </row>
    <row r="292" spans="1:10" x14ac:dyDescent="0.25">
      <c r="A292" s="82">
        <f>'A) Base RI'!A294</f>
        <v>5902</v>
      </c>
      <c r="B292" s="147" t="str">
        <f>'A) Base RI'!B294</f>
        <v>Belmont-sur-Yverdon</v>
      </c>
      <c r="C292" s="158">
        <f>'B) D RI'!U294</f>
        <v>8809.0856578947369</v>
      </c>
      <c r="D292" s="247">
        <f>'E) Fact soc'!G298/C292</f>
        <v>19.888018045468382</v>
      </c>
      <c r="E292" s="247">
        <f>'H) Péréquation directe'!I303/'H) Péréquation directe'!C303</f>
        <v>-3.3547110436799068</v>
      </c>
      <c r="F292" s="242">
        <f>'I) Dépenses thématiques'!P292</f>
        <v>-1.7206099008035229</v>
      </c>
      <c r="G292" s="190">
        <f t="shared" si="21"/>
        <v>14.812697100984952</v>
      </c>
      <c r="H292" s="242">
        <f t="shared" si="22"/>
        <v>16.533307001788476</v>
      </c>
      <c r="I292" s="247">
        <f t="shared" si="23"/>
        <v>0</v>
      </c>
      <c r="J292" s="98">
        <f t="shared" si="20"/>
        <v>0</v>
      </c>
    </row>
    <row r="293" spans="1:10" x14ac:dyDescent="0.25">
      <c r="A293" s="82">
        <f>'A) Base RI'!A295</f>
        <v>5903</v>
      </c>
      <c r="B293" s="147" t="str">
        <f>'A) Base RI'!B295</f>
        <v>Bioley-Magnoux</v>
      </c>
      <c r="C293" s="158">
        <f>'B) D RI'!U295</f>
        <v>6088.8460038610028</v>
      </c>
      <c r="D293" s="247">
        <f>'E) Fact soc'!G299/C293</f>
        <v>16.08247267534567</v>
      </c>
      <c r="E293" s="247">
        <f>'H) Péréquation directe'!I304/'H) Péréquation directe'!C304</f>
        <v>6.3694084929996313</v>
      </c>
      <c r="F293" s="242">
        <f>'I) Dépenses thématiques'!P293</f>
        <v>-3.5446782504129661</v>
      </c>
      <c r="G293" s="190">
        <f t="shared" si="21"/>
        <v>18.907202917932338</v>
      </c>
      <c r="H293" s="242">
        <f t="shared" si="22"/>
        <v>22.451881168345302</v>
      </c>
      <c r="I293" s="247">
        <f t="shared" si="23"/>
        <v>0</v>
      </c>
      <c r="J293" s="98">
        <f t="shared" si="20"/>
        <v>0</v>
      </c>
    </row>
    <row r="294" spans="1:10" x14ac:dyDescent="0.25">
      <c r="A294" s="82">
        <f>'A) Base RI'!A296</f>
        <v>5904</v>
      </c>
      <c r="B294" s="147" t="str">
        <f>'A) Base RI'!B296</f>
        <v>Chamblon</v>
      </c>
      <c r="C294" s="158">
        <f>'B) D RI'!U296</f>
        <v>21622.015909090911</v>
      </c>
      <c r="D294" s="247">
        <f>'E) Fact soc'!G300/C294</f>
        <v>16.125477444514559</v>
      </c>
      <c r="E294" s="247">
        <f>'H) Péréquation directe'!I305/'H) Péréquation directe'!C305</f>
        <v>12.41931400970223</v>
      </c>
      <c r="F294" s="242">
        <f>'I) Dépenses thématiques'!P294</f>
        <v>0</v>
      </c>
      <c r="G294" s="190">
        <f t="shared" si="21"/>
        <v>28.544791454216789</v>
      </c>
      <c r="H294" s="242">
        <f t="shared" si="22"/>
        <v>28.544791454216789</v>
      </c>
      <c r="I294" s="247">
        <f t="shared" si="23"/>
        <v>0</v>
      </c>
      <c r="J294" s="98">
        <f t="shared" si="20"/>
        <v>0</v>
      </c>
    </row>
    <row r="295" spans="1:10" x14ac:dyDescent="0.25">
      <c r="A295" s="82">
        <f>'A) Base RI'!A297</f>
        <v>5905</v>
      </c>
      <c r="B295" s="147" t="str">
        <f>'A) Base RI'!B297</f>
        <v>Champvent</v>
      </c>
      <c r="C295" s="158">
        <f>'B) D RI'!U297</f>
        <v>20315.716338028171</v>
      </c>
      <c r="D295" s="247">
        <f>'E) Fact soc'!G301/C295</f>
        <v>17.761254520618525</v>
      </c>
      <c r="E295" s="247">
        <f>'H) Péréquation directe'!I306/'H) Péréquation directe'!C306</f>
        <v>9.6830548061554165</v>
      </c>
      <c r="F295" s="242">
        <f>'I) Dépenses thématiques'!P295</f>
        <v>0</v>
      </c>
      <c r="G295" s="190">
        <f t="shared" si="21"/>
        <v>27.44430932677394</v>
      </c>
      <c r="H295" s="242">
        <f t="shared" si="22"/>
        <v>27.44430932677394</v>
      </c>
      <c r="I295" s="247">
        <f t="shared" si="23"/>
        <v>0</v>
      </c>
      <c r="J295" s="98">
        <f t="shared" si="20"/>
        <v>0</v>
      </c>
    </row>
    <row r="296" spans="1:10" x14ac:dyDescent="0.25">
      <c r="A296" s="82">
        <f>'A) Base RI'!A298</f>
        <v>5907</v>
      </c>
      <c r="B296" s="147" t="str">
        <f>'A) Base RI'!B298</f>
        <v>Chavannes-le-Chêne</v>
      </c>
      <c r="C296" s="158">
        <f>'B) D RI'!U298</f>
        <v>6770.541794871795</v>
      </c>
      <c r="D296" s="247">
        <f>'E) Fact soc'!G302/C296</f>
        <v>16.375122612877021</v>
      </c>
      <c r="E296" s="247">
        <f>'H) Péréquation directe'!I307/'H) Péréquation directe'!C307</f>
        <v>-4.240901923098777</v>
      </c>
      <c r="F296" s="242">
        <f>'I) Dépenses thématiques'!P296</f>
        <v>-15.919996252240995</v>
      </c>
      <c r="G296" s="190">
        <f t="shared" si="21"/>
        <v>-3.7857755624627512</v>
      </c>
      <c r="H296" s="242">
        <f t="shared" si="22"/>
        <v>12.134220689778244</v>
      </c>
      <c r="I296" s="247">
        <f t="shared" si="23"/>
        <v>0</v>
      </c>
      <c r="J296" s="98">
        <f t="shared" si="20"/>
        <v>0</v>
      </c>
    </row>
    <row r="297" spans="1:10" x14ac:dyDescent="0.25">
      <c r="A297" s="82">
        <f>'A) Base RI'!A299</f>
        <v>5908</v>
      </c>
      <c r="B297" s="147" t="str">
        <f>'A) Base RI'!B299</f>
        <v>Chêne-Pâquier</v>
      </c>
      <c r="C297" s="158">
        <f>'B) D RI'!U299</f>
        <v>3326.5444303797472</v>
      </c>
      <c r="D297" s="247">
        <f>'E) Fact soc'!G303/C297</f>
        <v>20.126825886683569</v>
      </c>
      <c r="E297" s="247">
        <f>'H) Péréquation directe'!I308/'H) Péréquation directe'!C308</f>
        <v>-3.7872927387692092</v>
      </c>
      <c r="F297" s="242">
        <f>'I) Dépenses thématiques'!P297</f>
        <v>-10.316411134205826</v>
      </c>
      <c r="G297" s="190">
        <f t="shared" si="21"/>
        <v>6.0231220137085337</v>
      </c>
      <c r="H297" s="242">
        <f t="shared" si="22"/>
        <v>16.339533147914359</v>
      </c>
      <c r="I297" s="247">
        <f t="shared" si="23"/>
        <v>0</v>
      </c>
      <c r="J297" s="98">
        <f t="shared" si="20"/>
        <v>0</v>
      </c>
    </row>
    <row r="298" spans="1:10" x14ac:dyDescent="0.25">
      <c r="A298" s="82">
        <f>'A) Base RI'!A300</f>
        <v>5909</v>
      </c>
      <c r="B298" s="147" t="str">
        <f>'A) Base RI'!B300</f>
        <v>Cheseaux-Noréaz</v>
      </c>
      <c r="C298" s="158">
        <f>'B) D RI'!U300</f>
        <v>30671.321093750001</v>
      </c>
      <c r="D298" s="247">
        <f>'E) Fact soc'!G304/C298</f>
        <v>20.234559195629931</v>
      </c>
      <c r="E298" s="247">
        <f>'H) Péréquation directe'!I309/'H) Péréquation directe'!C309</f>
        <v>16.394272632177692</v>
      </c>
      <c r="F298" s="242">
        <f>'I) Dépenses thématiques'!P298</f>
        <v>-2.7008944201259264</v>
      </c>
      <c r="G298" s="190">
        <f t="shared" si="21"/>
        <v>33.927937407681696</v>
      </c>
      <c r="H298" s="242">
        <f t="shared" si="22"/>
        <v>36.628831827807623</v>
      </c>
      <c r="I298" s="247">
        <f t="shared" si="23"/>
        <v>0</v>
      </c>
      <c r="J298" s="98">
        <f t="shared" si="20"/>
        <v>0</v>
      </c>
    </row>
    <row r="299" spans="1:10" x14ac:dyDescent="0.25">
      <c r="A299" s="82">
        <f>'A) Base RI'!A301</f>
        <v>5910</v>
      </c>
      <c r="B299" s="147" t="str">
        <f>'A) Base RI'!B301</f>
        <v>Cronay</v>
      </c>
      <c r="C299" s="158">
        <f>'B) D RI'!U301</f>
        <v>9292.7018518518507</v>
      </c>
      <c r="D299" s="247">
        <f>'E) Fact soc'!G305/C299</f>
        <v>17.132134877634666</v>
      </c>
      <c r="E299" s="247">
        <f>'H) Péréquation directe'!I310/'H) Péréquation directe'!C310</f>
        <v>-2.4874274869802382</v>
      </c>
      <c r="F299" s="242">
        <f>'I) Dépenses thématiques'!P299</f>
        <v>-10.483710932852723</v>
      </c>
      <c r="G299" s="190">
        <f t="shared" si="21"/>
        <v>4.1609964578017049</v>
      </c>
      <c r="H299" s="242">
        <f t="shared" si="22"/>
        <v>14.644707390654428</v>
      </c>
      <c r="I299" s="247">
        <f t="shared" si="23"/>
        <v>0</v>
      </c>
      <c r="J299" s="98">
        <f t="shared" si="20"/>
        <v>0</v>
      </c>
    </row>
    <row r="300" spans="1:10" x14ac:dyDescent="0.25">
      <c r="A300" s="82">
        <f>'A) Base RI'!A302</f>
        <v>5911</v>
      </c>
      <c r="B300" s="147" t="str">
        <f>'A) Base RI'!B302</f>
        <v>Cuarny</v>
      </c>
      <c r="C300" s="158">
        <f>'B) D RI'!U302</f>
        <v>6815.3613580246902</v>
      </c>
      <c r="D300" s="247">
        <f>'E) Fact soc'!G306/C300</f>
        <v>16.412404812437213</v>
      </c>
      <c r="E300" s="247">
        <f>'H) Péréquation directe'!I311/'H) Péréquation directe'!C311</f>
        <v>7.4021338380812463</v>
      </c>
      <c r="F300" s="242">
        <f>'I) Dépenses thématiques'!P300</f>
        <v>-12.742097658218608</v>
      </c>
      <c r="G300" s="190">
        <f t="shared" si="21"/>
        <v>11.07244099229985</v>
      </c>
      <c r="H300" s="242">
        <f t="shared" si="22"/>
        <v>23.814538650518458</v>
      </c>
      <c r="I300" s="247">
        <f t="shared" si="23"/>
        <v>0</v>
      </c>
      <c r="J300" s="98">
        <f t="shared" si="20"/>
        <v>0</v>
      </c>
    </row>
    <row r="301" spans="1:10" x14ac:dyDescent="0.25">
      <c r="A301" s="82">
        <f>'A) Base RI'!A303</f>
        <v>5912</v>
      </c>
      <c r="B301" s="147" t="str">
        <f>'A) Base RI'!B303</f>
        <v>Démoret</v>
      </c>
      <c r="C301" s="158">
        <f>'B) D RI'!U303</f>
        <v>3149.2327160493824</v>
      </c>
      <c r="D301" s="247">
        <f>'E) Fact soc'!G307/C301</f>
        <v>14.703972779680477</v>
      </c>
      <c r="E301" s="247">
        <f>'H) Péréquation directe'!I312/'H) Péréquation directe'!C312</f>
        <v>-5.1387396606432105</v>
      </c>
      <c r="F301" s="242">
        <f>'I) Dépenses thématiques'!P301</f>
        <v>-6.1837284684472431</v>
      </c>
      <c r="G301" s="190">
        <f t="shared" si="21"/>
        <v>3.3815046505900233</v>
      </c>
      <c r="H301" s="242">
        <f t="shared" si="22"/>
        <v>9.5652331190372664</v>
      </c>
      <c r="I301" s="247">
        <f t="shared" si="23"/>
        <v>0</v>
      </c>
      <c r="J301" s="98">
        <f t="shared" si="20"/>
        <v>0</v>
      </c>
    </row>
    <row r="302" spans="1:10" x14ac:dyDescent="0.25">
      <c r="A302" s="82">
        <f>'A) Base RI'!A304</f>
        <v>5913</v>
      </c>
      <c r="B302" s="147" t="str">
        <f>'A) Base RI'!B304</f>
        <v>Donneloye</v>
      </c>
      <c r="C302" s="158">
        <f>'B) D RI'!U304</f>
        <v>23147.804931506846</v>
      </c>
      <c r="D302" s="247">
        <f>'E) Fact soc'!G308/C302</f>
        <v>16.644874402893731</v>
      </c>
      <c r="E302" s="247">
        <f>'H) Péréquation directe'!I313/'H) Péréquation directe'!C313</f>
        <v>7.3719395401360197</v>
      </c>
      <c r="F302" s="242">
        <f>'I) Dépenses thématiques'!P302</f>
        <v>-1.2022738260646106</v>
      </c>
      <c r="G302" s="190">
        <f t="shared" si="21"/>
        <v>22.814540116965137</v>
      </c>
      <c r="H302" s="242">
        <f t="shared" si="22"/>
        <v>24.016813943029749</v>
      </c>
      <c r="I302" s="247">
        <f t="shared" si="23"/>
        <v>0</v>
      </c>
      <c r="J302" s="98">
        <f t="shared" si="20"/>
        <v>0</v>
      </c>
    </row>
    <row r="303" spans="1:10" x14ac:dyDescent="0.25">
      <c r="A303" s="82">
        <f>'A) Base RI'!A305</f>
        <v>5914</v>
      </c>
      <c r="B303" s="147" t="str">
        <f>'A) Base RI'!B305</f>
        <v>Ependes</v>
      </c>
      <c r="C303" s="158">
        <f>'B) D RI'!U305</f>
        <v>8718.0938666666661</v>
      </c>
      <c r="D303" s="247">
        <f>'E) Fact soc'!G309/C303</f>
        <v>15.336627077011308</v>
      </c>
      <c r="E303" s="247">
        <f>'H) Péréquation directe'!I314/'H) Péréquation directe'!C314</f>
        <v>-1.7329035902295356</v>
      </c>
      <c r="F303" s="242">
        <f>'I) Dépenses thématiques'!P303</f>
        <v>-2.7891417977238575</v>
      </c>
      <c r="G303" s="190">
        <f t="shared" si="21"/>
        <v>10.814581689057915</v>
      </c>
      <c r="H303" s="242">
        <f t="shared" si="22"/>
        <v>13.603723486781773</v>
      </c>
      <c r="I303" s="247">
        <f t="shared" si="23"/>
        <v>0</v>
      </c>
      <c r="J303" s="98">
        <f t="shared" si="20"/>
        <v>0</v>
      </c>
    </row>
    <row r="304" spans="1:10" x14ac:dyDescent="0.25">
      <c r="A304" s="82">
        <f>'A) Base RI'!A306</f>
        <v>5915</v>
      </c>
      <c r="B304" s="147" t="str">
        <f>'A) Base RI'!B306</f>
        <v>Essert-Pittet</v>
      </c>
      <c r="C304" s="158">
        <f>'B) D RI'!U306</f>
        <v>3469.1017098039219</v>
      </c>
      <c r="D304" s="247">
        <f>'E) Fact soc'!G310/C304</f>
        <v>18.682108975160279</v>
      </c>
      <c r="E304" s="247">
        <f>'H) Péréquation directe'!I315/'H) Péréquation directe'!C315</f>
        <v>-6.132316358829101</v>
      </c>
      <c r="F304" s="242">
        <f>'I) Dépenses thématiques'!P304</f>
        <v>-4.9300947134717141</v>
      </c>
      <c r="G304" s="190">
        <f t="shared" si="21"/>
        <v>7.619697902859464</v>
      </c>
      <c r="H304" s="242">
        <f t="shared" si="22"/>
        <v>12.549792616331178</v>
      </c>
      <c r="I304" s="247">
        <f t="shared" si="23"/>
        <v>0</v>
      </c>
      <c r="J304" s="98">
        <f t="shared" si="20"/>
        <v>0</v>
      </c>
    </row>
    <row r="305" spans="1:10" x14ac:dyDescent="0.25">
      <c r="A305" s="82">
        <f>'A) Base RI'!A307</f>
        <v>5919</v>
      </c>
      <c r="B305" s="147" t="str">
        <f>'A) Base RI'!B307</f>
        <v>Mathod</v>
      </c>
      <c r="C305" s="158">
        <f>'B) D RI'!U307</f>
        <v>14691.435202702703</v>
      </c>
      <c r="D305" s="247">
        <f>'E) Fact soc'!G311/C305</f>
        <v>18.69061740009494</v>
      </c>
      <c r="E305" s="247">
        <f>'H) Péréquation directe'!I316/'H) Péréquation directe'!C316</f>
        <v>0.68935662482229254</v>
      </c>
      <c r="F305" s="242">
        <f>'I) Dépenses thématiques'!P305</f>
        <v>-4.1301614963279691</v>
      </c>
      <c r="G305" s="190">
        <f t="shared" si="21"/>
        <v>15.249812528589263</v>
      </c>
      <c r="H305" s="242">
        <f t="shared" si="22"/>
        <v>19.379974024917232</v>
      </c>
      <c r="I305" s="247">
        <f t="shared" si="23"/>
        <v>0</v>
      </c>
      <c r="J305" s="98">
        <f t="shared" si="20"/>
        <v>0</v>
      </c>
    </row>
    <row r="306" spans="1:10" x14ac:dyDescent="0.25">
      <c r="A306" s="82">
        <f>'A) Base RI'!A308</f>
        <v>5921</v>
      </c>
      <c r="B306" s="147" t="str">
        <f>'A) Base RI'!B308</f>
        <v>Molondin</v>
      </c>
      <c r="C306" s="158">
        <f>'B) D RI'!U308</f>
        <v>4662.1348148148145</v>
      </c>
      <c r="D306" s="247">
        <f>'E) Fact soc'!G312/C306</f>
        <v>15.006827126554096</v>
      </c>
      <c r="E306" s="247">
        <f>'H) Péréquation directe'!I317/'H) Péréquation directe'!C317</f>
        <v>-16.208206636494943</v>
      </c>
      <c r="F306" s="242">
        <f>'I) Dépenses thématiques'!P306</f>
        <v>-11.458913592596748</v>
      </c>
      <c r="G306" s="190">
        <f t="shared" si="21"/>
        <v>-12.660293102537594</v>
      </c>
      <c r="H306" s="242">
        <f t="shared" si="22"/>
        <v>-1.2013795099408462</v>
      </c>
      <c r="I306" s="247">
        <f t="shared" si="23"/>
        <v>0</v>
      </c>
      <c r="J306" s="98">
        <f t="shared" si="20"/>
        <v>0</v>
      </c>
    </row>
    <row r="307" spans="1:10" x14ac:dyDescent="0.25">
      <c r="A307" s="82">
        <f>'A) Base RI'!A309</f>
        <v>5922</v>
      </c>
      <c r="B307" s="147" t="str">
        <f>'A) Base RI'!B309</f>
        <v>Montagny-près-Yverdon</v>
      </c>
      <c r="C307" s="158">
        <f>'B) D RI'!U309</f>
        <v>45740.98344262295</v>
      </c>
      <c r="D307" s="247">
        <f>'E) Fact soc'!G313/C307</f>
        <v>19.408502882567117</v>
      </c>
      <c r="E307" s="247">
        <f>'H) Péréquation directe'!I318/'H) Péréquation directe'!C318</f>
        <v>16.896277527673625</v>
      </c>
      <c r="F307" s="242">
        <f>'I) Dépenses thématiques'!P307</f>
        <v>-1.3650431457567365</v>
      </c>
      <c r="G307" s="190">
        <f t="shared" si="21"/>
        <v>34.939737264484002</v>
      </c>
      <c r="H307" s="242">
        <f t="shared" si="22"/>
        <v>36.304780410240738</v>
      </c>
      <c r="I307" s="247">
        <f t="shared" si="23"/>
        <v>0</v>
      </c>
      <c r="J307" s="98">
        <f t="shared" si="20"/>
        <v>0</v>
      </c>
    </row>
    <row r="308" spans="1:10" x14ac:dyDescent="0.25">
      <c r="A308" s="82">
        <f>'A) Base RI'!A310</f>
        <v>5923</v>
      </c>
      <c r="B308" s="147" t="str">
        <f>'A) Base RI'!B310</f>
        <v>Oppens</v>
      </c>
      <c r="C308" s="158">
        <f>'B) D RI'!U310</f>
        <v>4470.86061728395</v>
      </c>
      <c r="D308" s="247">
        <f>'E) Fact soc'!G314/C308</f>
        <v>16.727985827764957</v>
      </c>
      <c r="E308" s="247">
        <f>'H) Péréquation directe'!I319/'H) Péréquation directe'!C319</f>
        <v>-4.3376608018044065</v>
      </c>
      <c r="F308" s="242">
        <f>'I) Dépenses thématiques'!P308</f>
        <v>-5.11668825271882</v>
      </c>
      <c r="G308" s="190">
        <f t="shared" si="21"/>
        <v>7.27363677324173</v>
      </c>
      <c r="H308" s="242">
        <f t="shared" si="22"/>
        <v>12.39032502596055</v>
      </c>
      <c r="I308" s="247">
        <f t="shared" si="23"/>
        <v>0</v>
      </c>
      <c r="J308" s="98">
        <f t="shared" si="20"/>
        <v>0</v>
      </c>
    </row>
    <row r="309" spans="1:10" x14ac:dyDescent="0.25">
      <c r="A309" s="82">
        <f>'A) Base RI'!A311</f>
        <v>5924</v>
      </c>
      <c r="B309" s="147" t="str">
        <f>'A) Base RI'!B311</f>
        <v>Orges</v>
      </c>
      <c r="C309" s="158">
        <f>'B) D RI'!U311</f>
        <v>7786.4310810810803</v>
      </c>
      <c r="D309" s="247">
        <f>'E) Fact soc'!G315/C309</f>
        <v>17.209328599622221</v>
      </c>
      <c r="E309" s="247">
        <f>'H) Péréquation directe'!I320/'H) Péréquation directe'!C320</f>
        <v>3.2043848503526977</v>
      </c>
      <c r="F309" s="242">
        <f>'I) Dépenses thématiques'!P309</f>
        <v>0</v>
      </c>
      <c r="G309" s="190">
        <f t="shared" si="21"/>
        <v>20.413713449974921</v>
      </c>
      <c r="H309" s="242">
        <f t="shared" si="22"/>
        <v>20.413713449974921</v>
      </c>
      <c r="I309" s="247">
        <f t="shared" si="23"/>
        <v>0</v>
      </c>
      <c r="J309" s="98">
        <f t="shared" si="20"/>
        <v>0</v>
      </c>
    </row>
    <row r="310" spans="1:10" x14ac:dyDescent="0.25">
      <c r="A310" s="82">
        <f>'A) Base RI'!A312</f>
        <v>5925</v>
      </c>
      <c r="B310" s="147" t="str">
        <f>'A) Base RI'!B312</f>
        <v>Orzens</v>
      </c>
      <c r="C310" s="158">
        <f>'B) D RI'!U312</f>
        <v>5069.9973417721512</v>
      </c>
      <c r="D310" s="247">
        <f>'E) Fact soc'!G316/C310</f>
        <v>14.785675220623862</v>
      </c>
      <c r="E310" s="247">
        <f>'H) Péréquation directe'!I321/'H) Péréquation directe'!C321</f>
        <v>-2.8069830476583313</v>
      </c>
      <c r="F310" s="242">
        <f>'I) Dépenses thématiques'!P310</f>
        <v>-1.3116377685664782</v>
      </c>
      <c r="G310" s="190">
        <f t="shared" si="21"/>
        <v>10.667054404399053</v>
      </c>
      <c r="H310" s="242">
        <f t="shared" si="22"/>
        <v>11.97869217296553</v>
      </c>
      <c r="I310" s="247">
        <f t="shared" si="23"/>
        <v>0</v>
      </c>
      <c r="J310" s="98">
        <f t="shared" si="20"/>
        <v>0</v>
      </c>
    </row>
    <row r="311" spans="1:10" x14ac:dyDescent="0.25">
      <c r="A311" s="82">
        <f>'A) Base RI'!A313</f>
        <v>5926</v>
      </c>
      <c r="B311" s="147" t="str">
        <f>'A) Base RI'!B313</f>
        <v>Pomy</v>
      </c>
      <c r="C311" s="158">
        <f>'B) D RI'!U313</f>
        <v>22116.912816901407</v>
      </c>
      <c r="D311" s="247">
        <f>'E) Fact soc'!G317/C311</f>
        <v>16.910729715755913</v>
      </c>
      <c r="E311" s="247">
        <f>'H) Péréquation directe'!I322/'H) Péréquation directe'!C322</f>
        <v>6.0608302751466425</v>
      </c>
      <c r="F311" s="242">
        <f>'I) Dépenses thématiques'!P311</f>
        <v>-0.93887425301652871</v>
      </c>
      <c r="G311" s="190">
        <f t="shared" si="21"/>
        <v>22.032685737886027</v>
      </c>
      <c r="H311" s="242">
        <f t="shared" si="22"/>
        <v>22.971559990902556</v>
      </c>
      <c r="I311" s="247">
        <f t="shared" si="23"/>
        <v>0</v>
      </c>
      <c r="J311" s="98">
        <f t="shared" si="20"/>
        <v>0</v>
      </c>
    </row>
    <row r="312" spans="1:10" x14ac:dyDescent="0.25">
      <c r="A312" s="82">
        <f>'A) Base RI'!A314</f>
        <v>5928</v>
      </c>
      <c r="B312" s="147" t="str">
        <f>'A) Base RI'!B314</f>
        <v>Rovray</v>
      </c>
      <c r="C312" s="158">
        <f>'B) D RI'!U314</f>
        <v>4108.2366666666667</v>
      </c>
      <c r="D312" s="247">
        <f>'E) Fact soc'!G318/C312</f>
        <v>16.978909381914473</v>
      </c>
      <c r="E312" s="247">
        <f>'H) Péréquation directe'!I323/'H) Péréquation directe'!C323</f>
        <v>-2.4951991189856662</v>
      </c>
      <c r="F312" s="242">
        <f>'I) Dépenses thématiques'!P312</f>
        <v>-3.225958257841361</v>
      </c>
      <c r="G312" s="190">
        <f t="shared" si="21"/>
        <v>11.257752005087445</v>
      </c>
      <c r="H312" s="242">
        <f t="shared" si="22"/>
        <v>14.483710262928806</v>
      </c>
      <c r="I312" s="247">
        <f t="shared" si="23"/>
        <v>0</v>
      </c>
      <c r="J312" s="98">
        <f t="shared" si="20"/>
        <v>0</v>
      </c>
    </row>
    <row r="313" spans="1:10" x14ac:dyDescent="0.25">
      <c r="A313" s="82">
        <f>'A) Base RI'!A315</f>
        <v>5929</v>
      </c>
      <c r="B313" s="147" t="str">
        <f>'A) Base RI'!B315</f>
        <v>Suchy</v>
      </c>
      <c r="C313" s="158">
        <f>'B) D RI'!U315</f>
        <v>16171.057696078431</v>
      </c>
      <c r="D313" s="247">
        <f>'E) Fact soc'!G319/C313</f>
        <v>15.486345530071073</v>
      </c>
      <c r="E313" s="247">
        <f>'H) Péréquation directe'!I324/'H) Péréquation directe'!C324</f>
        <v>7.5149373197051652</v>
      </c>
      <c r="F313" s="242">
        <f>'I) Dépenses thématiques'!P313</f>
        <v>-1.2461151508281816</v>
      </c>
      <c r="G313" s="190">
        <f t="shared" si="21"/>
        <v>21.755167698948057</v>
      </c>
      <c r="H313" s="242">
        <f t="shared" si="22"/>
        <v>23.001282849776238</v>
      </c>
      <c r="I313" s="247">
        <f t="shared" si="23"/>
        <v>0</v>
      </c>
      <c r="J313" s="98">
        <f t="shared" si="20"/>
        <v>0</v>
      </c>
    </row>
    <row r="314" spans="1:10" x14ac:dyDescent="0.25">
      <c r="A314" s="82">
        <f>'A) Base RI'!A316</f>
        <v>5930</v>
      </c>
      <c r="B314" s="147" t="str">
        <f>'A) Base RI'!B316</f>
        <v>Suscévaz</v>
      </c>
      <c r="C314" s="158">
        <f>'B) D RI'!U316</f>
        <v>4973.4774242424237</v>
      </c>
      <c r="D314" s="247">
        <f>'E) Fact soc'!G320/C314</f>
        <v>29.378035617445168</v>
      </c>
      <c r="E314" s="247">
        <f>'H) Péréquation directe'!I325/'H) Péréquation directe'!C325</f>
        <v>1.4775926195018676</v>
      </c>
      <c r="F314" s="242">
        <f>'I) Dépenses thématiques'!P314</f>
        <v>-1.1414548646241698</v>
      </c>
      <c r="G314" s="190">
        <f t="shared" si="21"/>
        <v>29.714173372322865</v>
      </c>
      <c r="H314" s="242">
        <f t="shared" si="22"/>
        <v>30.855628236947034</v>
      </c>
      <c r="I314" s="247">
        <f t="shared" si="23"/>
        <v>0</v>
      </c>
      <c r="J314" s="98">
        <f t="shared" si="20"/>
        <v>0</v>
      </c>
    </row>
    <row r="315" spans="1:10" x14ac:dyDescent="0.25">
      <c r="A315" s="82">
        <f>'A) Base RI'!A317</f>
        <v>5931</v>
      </c>
      <c r="B315" s="147" t="str">
        <f>'A) Base RI'!B317</f>
        <v>Treycovagnes</v>
      </c>
      <c r="C315" s="158">
        <f>'B) D RI'!U317</f>
        <v>11474.723896103897</v>
      </c>
      <c r="D315" s="247">
        <f>'E) Fact soc'!G321/C315</f>
        <v>15.703278998748326</v>
      </c>
      <c r="E315" s="247">
        <f>'H) Péréquation directe'!I326/'H) Péréquation directe'!C326</f>
        <v>-4.4179244242825355</v>
      </c>
      <c r="F315" s="242">
        <f>'I) Dépenses thématiques'!P315</f>
        <v>-1.6276644361213388</v>
      </c>
      <c r="G315" s="190">
        <f t="shared" si="21"/>
        <v>9.6576901383444511</v>
      </c>
      <c r="H315" s="242">
        <f t="shared" si="22"/>
        <v>11.28535457446579</v>
      </c>
      <c r="I315" s="247">
        <f t="shared" si="23"/>
        <v>0</v>
      </c>
      <c r="J315" s="98">
        <f t="shared" si="20"/>
        <v>0</v>
      </c>
    </row>
    <row r="316" spans="1:10" x14ac:dyDescent="0.25">
      <c r="A316" s="82">
        <f>'A) Base RI'!A318</f>
        <v>5932</v>
      </c>
      <c r="B316" s="147" t="str">
        <f>'A) Base RI'!B318</f>
        <v>Ursins</v>
      </c>
      <c r="C316" s="158">
        <f>'B) D RI'!U318</f>
        <v>5257.3797435897432</v>
      </c>
      <c r="D316" s="247">
        <f>'E) Fact soc'!G322/C316</f>
        <v>14.52221698333582</v>
      </c>
      <c r="E316" s="247">
        <f>'H) Péréquation directe'!I327/'H) Péréquation directe'!C327</f>
        <v>-3.188803950910212</v>
      </c>
      <c r="F316" s="242">
        <f>'I) Dépenses thématiques'!P316</f>
        <v>-4.3791776745957245</v>
      </c>
      <c r="G316" s="190">
        <f t="shared" si="21"/>
        <v>6.9542353578298828</v>
      </c>
      <c r="H316" s="242">
        <f t="shared" si="22"/>
        <v>11.333413032425607</v>
      </c>
      <c r="I316" s="247">
        <f t="shared" si="23"/>
        <v>0</v>
      </c>
      <c r="J316" s="98">
        <f t="shared" si="20"/>
        <v>0</v>
      </c>
    </row>
    <row r="317" spans="1:10" x14ac:dyDescent="0.25">
      <c r="A317" s="82">
        <f>'A) Base RI'!A319</f>
        <v>5933</v>
      </c>
      <c r="B317" s="147" t="str">
        <f>'A) Base RI'!B319</f>
        <v>Valeyres-sous-Montagny</v>
      </c>
      <c r="C317" s="158">
        <f>'B) D RI'!U319</f>
        <v>19712.293888888889</v>
      </c>
      <c r="D317" s="247">
        <f>'E) Fact soc'!G323/C317</f>
        <v>15.341866451426275</v>
      </c>
      <c r="E317" s="247">
        <f>'H) Péréquation directe'!I328/'H) Péréquation directe'!C328</f>
        <v>6.4674556269641377</v>
      </c>
      <c r="F317" s="242">
        <f>'I) Dépenses thématiques'!P317</f>
        <v>-6.4075241933763332</v>
      </c>
      <c r="G317" s="190">
        <f t="shared" si="21"/>
        <v>15.40179788501408</v>
      </c>
      <c r="H317" s="242">
        <f t="shared" si="22"/>
        <v>21.809322078390412</v>
      </c>
      <c r="I317" s="247">
        <f t="shared" si="23"/>
        <v>0</v>
      </c>
      <c r="J317" s="98">
        <f t="shared" si="20"/>
        <v>0</v>
      </c>
    </row>
    <row r="318" spans="1:10" x14ac:dyDescent="0.25">
      <c r="A318" s="82">
        <f>'A) Base RI'!A320</f>
        <v>5934</v>
      </c>
      <c r="B318" s="147" t="str">
        <f>'A) Base RI'!B320</f>
        <v>Valeyres-sous-Ursins</v>
      </c>
      <c r="C318" s="158">
        <f>'B) D RI'!U320</f>
        <v>5945.0260256410256</v>
      </c>
      <c r="D318" s="247">
        <f>'E) Fact soc'!G324/C318</f>
        <v>15.249671507284788</v>
      </c>
      <c r="E318" s="247">
        <f>'H) Péréquation directe'!I329/'H) Péréquation directe'!C329</f>
        <v>-4.3206070531759195</v>
      </c>
      <c r="F318" s="242">
        <f>'I) Dépenses thématiques'!P318</f>
        <v>-4.3631432205888645</v>
      </c>
      <c r="G318" s="190">
        <f t="shared" si="21"/>
        <v>6.5659212335200037</v>
      </c>
      <c r="H318" s="242">
        <f t="shared" si="22"/>
        <v>10.929064454108868</v>
      </c>
      <c r="I318" s="247">
        <f t="shared" si="23"/>
        <v>0</v>
      </c>
      <c r="J318" s="98">
        <f t="shared" si="20"/>
        <v>0</v>
      </c>
    </row>
    <row r="319" spans="1:10" x14ac:dyDescent="0.25">
      <c r="A319" s="82">
        <f>'A) Base RI'!A321</f>
        <v>5935</v>
      </c>
      <c r="B319" s="147" t="str">
        <f>'A) Base RI'!B321</f>
        <v>Villars-Epeney</v>
      </c>
      <c r="C319" s="158">
        <f>'B) D RI'!U321</f>
        <v>3981.1370000000011</v>
      </c>
      <c r="D319" s="247">
        <f>'E) Fact soc'!G325/C319</f>
        <v>18.630996293473149</v>
      </c>
      <c r="E319" s="247">
        <f>'H) Péréquation directe'!I330/'H) Péréquation directe'!C330</f>
        <v>16.320463224450698</v>
      </c>
      <c r="F319" s="242">
        <f>'I) Dépenses thématiques'!P319</f>
        <v>-1.8012442174182899</v>
      </c>
      <c r="G319" s="190">
        <f t="shared" si="21"/>
        <v>33.150215300505565</v>
      </c>
      <c r="H319" s="242">
        <f t="shared" si="22"/>
        <v>34.951459517923851</v>
      </c>
      <c r="I319" s="247">
        <f t="shared" si="23"/>
        <v>0</v>
      </c>
      <c r="J319" s="98">
        <f t="shared" si="20"/>
        <v>0</v>
      </c>
    </row>
    <row r="320" spans="1:10" x14ac:dyDescent="0.25">
      <c r="A320" s="82">
        <f>'A) Base RI'!A322</f>
        <v>5937</v>
      </c>
      <c r="B320" s="147" t="str">
        <f>'A) Base RI'!B322</f>
        <v>Vugelles-La Mothe</v>
      </c>
      <c r="C320" s="158">
        <f>'B) D RI'!U322</f>
        <v>2078.5690612244898</v>
      </c>
      <c r="D320" s="247">
        <f>'E) Fact soc'!G326/C320</f>
        <v>20.615827908868454</v>
      </c>
      <c r="E320" s="247">
        <f>'H) Péréquation directe'!I331/'H) Péréquation directe'!C331</f>
        <v>-24.881403797112466</v>
      </c>
      <c r="F320" s="242">
        <f>'I) Dépenses thématiques'!P320</f>
        <v>-18.358302695759576</v>
      </c>
      <c r="G320" s="190">
        <f t="shared" si="21"/>
        <v>-22.623878584003588</v>
      </c>
      <c r="H320" s="242">
        <f t="shared" si="22"/>
        <v>-4.2655758882440118</v>
      </c>
      <c r="I320" s="247">
        <f t="shared" si="23"/>
        <v>0</v>
      </c>
      <c r="J320" s="98">
        <f t="shared" si="20"/>
        <v>0</v>
      </c>
    </row>
    <row r="321" spans="1:13" x14ac:dyDescent="0.25">
      <c r="A321" s="82">
        <f>'A) Base RI'!A323</f>
        <v>5938</v>
      </c>
      <c r="B321" s="147" t="str">
        <f>'A) Base RI'!B323</f>
        <v>Yverdon-les-Bains</v>
      </c>
      <c r="C321" s="158">
        <f>'B) D RI'!U323</f>
        <v>756903.16758169921</v>
      </c>
      <c r="D321" s="247">
        <f>'E) Fact soc'!G327/C321</f>
        <v>18.970468475116494</v>
      </c>
      <c r="E321" s="247">
        <f>'H) Péréquation directe'!I332/'H) Péréquation directe'!C332</f>
        <v>-29.505425176349195</v>
      </c>
      <c r="F321" s="242">
        <f>'I) Dépenses thématiques'!P321</f>
        <v>-8.6976594655212729</v>
      </c>
      <c r="G321" s="190">
        <f t="shared" si="21"/>
        <v>-19.232616166753974</v>
      </c>
      <c r="H321" s="242">
        <f t="shared" si="22"/>
        <v>-10.534956701232701</v>
      </c>
      <c r="I321" s="247">
        <f t="shared" si="23"/>
        <v>-5.0349567012327014</v>
      </c>
      <c r="J321" s="98">
        <f t="shared" si="20"/>
        <v>3810974.6757997349</v>
      </c>
    </row>
    <row r="322" spans="1:13" x14ac:dyDescent="0.25">
      <c r="A322" s="84">
        <f>'A) Base RI'!A324</f>
        <v>5939</v>
      </c>
      <c r="B322" s="148" t="str">
        <f>'A) Base RI'!B324</f>
        <v>Yvonand</v>
      </c>
      <c r="C322" s="159">
        <f>'B) D RI'!U324</f>
        <v>81342.881095890421</v>
      </c>
      <c r="D322" s="248">
        <f>'E) Fact soc'!G328/C322</f>
        <v>19.92672800073159</v>
      </c>
      <c r="E322" s="248">
        <f>'H) Péréquation directe'!I333/'H) Péréquation directe'!C333</f>
        <v>-6.0358534852436811</v>
      </c>
      <c r="F322" s="243">
        <f>'I) Dépenses thématiques'!P322</f>
        <v>-1.5863465648319557</v>
      </c>
      <c r="G322" s="193">
        <f t="shared" si="21"/>
        <v>12.304527950655952</v>
      </c>
      <c r="H322" s="243">
        <f t="shared" si="22"/>
        <v>13.890874515487909</v>
      </c>
      <c r="I322" s="248">
        <f t="shared" si="23"/>
        <v>0</v>
      </c>
      <c r="J322" s="172">
        <f t="shared" si="20"/>
        <v>0</v>
      </c>
    </row>
    <row r="323" spans="1:13" x14ac:dyDescent="0.25">
      <c r="A323" s="60"/>
      <c r="B323" s="213">
        <f>COUNTA(B5:B322)</f>
        <v>318</v>
      </c>
      <c r="C323" s="159">
        <f>SUM(C5:C322)</f>
        <v>34755744.815253168</v>
      </c>
      <c r="D323" s="243">
        <f>'E) Fact soc'!G329/C323</f>
        <v>20.253820005925029</v>
      </c>
      <c r="E323" s="196">
        <f>'H) Péréquation directe'!I334/'H) Péréquation directe'!C334</f>
        <v>3.8183318768732049</v>
      </c>
      <c r="F323" s="196">
        <f>'I) Dépenses thématiques'!P323</f>
        <v>-3.9999998694528611</v>
      </c>
      <c r="G323" s="196">
        <f>SUM(D323:F323)</f>
        <v>20.072152013345374</v>
      </c>
      <c r="H323" s="196">
        <f t="shared" si="22"/>
        <v>24.072151882798234</v>
      </c>
      <c r="I323" s="196"/>
      <c r="J323" s="67">
        <f>SUM(J5:J322)</f>
        <v>6740246.7022361057</v>
      </c>
      <c r="L323" s="23"/>
      <c r="M323" s="23"/>
    </row>
    <row r="324" spans="1:13" x14ac:dyDescent="0.25">
      <c r="I324" s="58"/>
    </row>
    <row r="325" spans="1:13" x14ac:dyDescent="0.25">
      <c r="I325" s="58"/>
    </row>
  </sheetData>
  <sheetProtection sheet="1" objects="1" scenarios="1"/>
  <mergeCells count="9">
    <mergeCell ref="C3:C4"/>
    <mergeCell ref="B3:B4"/>
    <mergeCell ref="A3:A4"/>
    <mergeCell ref="J3:J4"/>
    <mergeCell ref="H3:H4"/>
    <mergeCell ref="G3:G4"/>
    <mergeCell ref="F3:F4"/>
    <mergeCell ref="E3:E4"/>
    <mergeCell ref="D3:D4"/>
  </mergeCells>
  <phoneticPr fontId="6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25"/>
  <sheetViews>
    <sheetView workbookViewId="0"/>
  </sheetViews>
  <sheetFormatPr baseColWidth="10" defaultColWidth="10.75" defaultRowHeight="15" x14ac:dyDescent="0.25"/>
  <cols>
    <col min="1" max="1" width="7.25" style="24" customWidth="1"/>
    <col min="2" max="2" width="18" style="24" customWidth="1"/>
    <col min="3" max="3" width="11.125" style="24" customWidth="1"/>
    <col min="4" max="4" width="11.25" style="24" customWidth="1"/>
    <col min="5" max="6" width="10.125" style="24" customWidth="1"/>
    <col min="7" max="8" width="11" style="24" customWidth="1"/>
    <col min="9" max="10" width="9.25" style="24" customWidth="1"/>
    <col min="11" max="11" width="10" style="24" customWidth="1"/>
    <col min="12" max="12" width="8.75" style="27" bestFit="1" customWidth="1"/>
    <col min="13" max="13" width="10.375" style="27" customWidth="1"/>
    <col min="14" max="14" width="10.375" style="24" customWidth="1"/>
    <col min="15" max="15" width="6.75" style="24" customWidth="1"/>
    <col min="16" max="16" width="12.25" style="24" customWidth="1"/>
    <col min="17" max="17" width="12.375" style="24" customWidth="1"/>
    <col min="18" max="18" width="8.25" style="24" customWidth="1"/>
    <col min="19" max="19" width="8.125" style="24" customWidth="1"/>
    <col min="20" max="21" width="9.625" style="24" customWidth="1"/>
    <col min="22" max="16384" width="10.75" style="24"/>
  </cols>
  <sheetData>
    <row r="1" spans="1:21" s="75" customFormat="1" ht="21" x14ac:dyDescent="0.25">
      <c r="A1" s="86" t="s">
        <v>162</v>
      </c>
      <c r="B1" s="74"/>
      <c r="C1" s="123"/>
      <c r="D1" s="123"/>
      <c r="E1" s="123"/>
      <c r="F1" s="123"/>
      <c r="G1" s="123"/>
      <c r="H1" s="123"/>
      <c r="I1" s="123"/>
      <c r="J1" s="123"/>
      <c r="K1" s="123"/>
      <c r="L1" s="240"/>
      <c r="M1" s="240"/>
      <c r="N1" s="123"/>
      <c r="O1" s="123"/>
      <c r="P1" s="123"/>
      <c r="Q1" s="123"/>
      <c r="R1" s="123"/>
      <c r="S1" s="123"/>
      <c r="T1" s="123"/>
      <c r="U1" s="24"/>
    </row>
    <row r="2" spans="1:21" x14ac:dyDescent="0.25">
      <c r="C2" s="254"/>
      <c r="D2" s="254"/>
      <c r="E2" s="254"/>
      <c r="F2" s="254"/>
      <c r="G2" s="254"/>
      <c r="H2" s="254"/>
      <c r="I2" s="254"/>
    </row>
    <row r="3" spans="1:21" x14ac:dyDescent="0.25">
      <c r="C3" s="465">
        <f>Paramètres!B6</f>
        <v>2013</v>
      </c>
      <c r="D3" s="466"/>
      <c r="E3" s="466"/>
      <c r="F3" s="466"/>
      <c r="G3" s="466"/>
      <c r="H3" s="466"/>
      <c r="I3" s="467"/>
    </row>
    <row r="4" spans="1:21" ht="30" x14ac:dyDescent="0.25">
      <c r="A4" s="435" t="s">
        <v>53</v>
      </c>
      <c r="B4" s="435" t="s">
        <v>123</v>
      </c>
      <c r="C4" s="435" t="s">
        <v>120</v>
      </c>
      <c r="D4" s="468" t="s">
        <v>181</v>
      </c>
      <c r="E4" s="435" t="s">
        <v>508</v>
      </c>
      <c r="F4" s="435" t="s">
        <v>292</v>
      </c>
      <c r="G4" s="435" t="s">
        <v>293</v>
      </c>
      <c r="H4" s="435" t="s">
        <v>408</v>
      </c>
      <c r="I4" s="109" t="s">
        <v>419</v>
      </c>
      <c r="J4" s="109" t="s">
        <v>419</v>
      </c>
      <c r="K4" s="452" t="s">
        <v>530</v>
      </c>
      <c r="L4" s="459" t="s">
        <v>407</v>
      </c>
      <c r="M4" s="459" t="s">
        <v>305</v>
      </c>
      <c r="N4" s="435" t="s">
        <v>306</v>
      </c>
      <c r="O4" s="454" t="s">
        <v>161</v>
      </c>
      <c r="P4" s="203" t="s">
        <v>162</v>
      </c>
      <c r="Q4" s="452" t="s">
        <v>420</v>
      </c>
      <c r="R4" s="435" t="s">
        <v>163</v>
      </c>
      <c r="S4" s="435" t="s">
        <v>296</v>
      </c>
      <c r="T4" s="255"/>
    </row>
    <row r="5" spans="1:21" ht="30" x14ac:dyDescent="0.25">
      <c r="A5" s="436"/>
      <c r="B5" s="436"/>
      <c r="C5" s="436"/>
      <c r="D5" s="469"/>
      <c r="E5" s="436"/>
      <c r="F5" s="436"/>
      <c r="G5" s="436"/>
      <c r="H5" s="436"/>
      <c r="I5" s="110">
        <f>Paramètres!B6</f>
        <v>2013</v>
      </c>
      <c r="J5" s="175" t="str">
        <f>Paramètres!B5</f>
        <v>Acomptes 2016</v>
      </c>
      <c r="K5" s="453"/>
      <c r="L5" s="464"/>
      <c r="M5" s="464"/>
      <c r="N5" s="436"/>
      <c r="O5" s="455"/>
      <c r="P5" s="409">
        <f>Paramètres!B44</f>
        <v>89.047272794284424</v>
      </c>
      <c r="Q5" s="453"/>
      <c r="R5" s="436"/>
      <c r="S5" s="436"/>
      <c r="T5" s="246"/>
    </row>
    <row r="6" spans="1:21" x14ac:dyDescent="0.25">
      <c r="A6" s="78">
        <f>'A) Base RI'!A7</f>
        <v>5401</v>
      </c>
      <c r="B6" s="94" t="str">
        <f>'A) Base RI'!B7</f>
        <v>Aigle</v>
      </c>
      <c r="C6" s="262">
        <v>4195061.5427253209</v>
      </c>
      <c r="D6" s="263">
        <v>-3272293.1749047805</v>
      </c>
      <c r="E6" s="264">
        <v>0</v>
      </c>
      <c r="F6" s="263">
        <v>0</v>
      </c>
      <c r="G6" s="263">
        <v>0</v>
      </c>
      <c r="H6" s="265">
        <f>SUM(C6:G6)</f>
        <v>922768.36782054044</v>
      </c>
      <c r="I6" s="352">
        <v>253182.15360493801</v>
      </c>
      <c r="J6" s="157">
        <f>'B) D RI'!U7</f>
        <v>256314.41797530872</v>
      </c>
      <c r="K6" s="122">
        <f>H6/I6</f>
        <v>3.6446817229480386</v>
      </c>
      <c r="L6" s="150">
        <f>'B) D RI'!S7</f>
        <v>67.5</v>
      </c>
      <c r="M6" s="150">
        <f>L6-K6</f>
        <v>63.855318277051964</v>
      </c>
      <c r="N6" s="219">
        <f>'J) Plafonnement effort'!G5+'J) Plafonnement effort'!H5-'K) Plafonnement aide'!I5</f>
        <v>-3.4967019403085686</v>
      </c>
      <c r="O6" s="219">
        <f>M6+N6</f>
        <v>60.358616336743395</v>
      </c>
      <c r="P6" s="80">
        <f t="shared" ref="P6:P60" si="0">IF(O6&gt;$P$5,$P$5-O6,0)</f>
        <v>0</v>
      </c>
      <c r="Q6" s="171">
        <f>P6*J6</f>
        <v>0</v>
      </c>
      <c r="R6" s="256">
        <f>O6+P6</f>
        <v>60.358616336743395</v>
      </c>
      <c r="S6" s="219">
        <f>R6-L6</f>
        <v>-7.1413836632566046</v>
      </c>
      <c r="T6" s="257"/>
      <c r="U6" s="58"/>
    </row>
    <row r="7" spans="1:21" x14ac:dyDescent="0.25">
      <c r="A7" s="82">
        <f>'A) Base RI'!A8</f>
        <v>5402</v>
      </c>
      <c r="B7" s="95" t="str">
        <f>'A) Base RI'!B8</f>
        <v>Bex</v>
      </c>
      <c r="C7" s="266">
        <v>3484985.8860851629</v>
      </c>
      <c r="D7" s="267">
        <v>-2168009.5185342543</v>
      </c>
      <c r="E7" s="268">
        <v>0</v>
      </c>
      <c r="F7" s="267">
        <v>0</v>
      </c>
      <c r="G7" s="267">
        <v>0</v>
      </c>
      <c r="H7" s="269">
        <f t="shared" ref="H7:H70" si="1">SUM(C7:G7)</f>
        <v>1316976.3675509086</v>
      </c>
      <c r="I7" s="353">
        <v>173749.21450704228</v>
      </c>
      <c r="J7" s="158">
        <f>'B) D RI'!U8</f>
        <v>163724.47859154927</v>
      </c>
      <c r="K7" s="115">
        <f t="shared" ref="K7:K61" si="2">H7/I7</f>
        <v>7.5797543677386221</v>
      </c>
      <c r="L7" s="63">
        <f>'B) D RI'!S8</f>
        <v>71</v>
      </c>
      <c r="M7" s="63">
        <f t="shared" ref="M7:M60" si="3">L7-K7</f>
        <v>63.420245632261377</v>
      </c>
      <c r="N7" s="223">
        <f>'J) Plafonnement effort'!G6+'J) Plafonnement effort'!H6-'K) Plafonnement aide'!I6</f>
        <v>-10.939632983582328</v>
      </c>
      <c r="O7" s="223">
        <f t="shared" ref="O7:O60" si="4">M7+N7</f>
        <v>52.480612648679049</v>
      </c>
      <c r="P7" s="80">
        <f t="shared" si="0"/>
        <v>0</v>
      </c>
      <c r="Q7" s="98">
        <f t="shared" ref="Q7:Q62" si="5">P7*J7</f>
        <v>0</v>
      </c>
      <c r="R7" s="258">
        <f t="shared" ref="R7:R60" si="6">O7+P7</f>
        <v>52.480612648679049</v>
      </c>
      <c r="S7" s="223">
        <f t="shared" ref="S7:S60" si="7">R7-L7</f>
        <v>-18.519387351320951</v>
      </c>
      <c r="T7" s="257"/>
      <c r="U7" s="58"/>
    </row>
    <row r="8" spans="1:21" x14ac:dyDescent="0.25">
      <c r="A8" s="82">
        <f>'A) Base RI'!A9</f>
        <v>5403</v>
      </c>
      <c r="B8" s="95" t="str">
        <f>'A) Base RI'!B9</f>
        <v>Chessel</v>
      </c>
      <c r="C8" s="266">
        <v>135788.15267166554</v>
      </c>
      <c r="D8" s="267">
        <v>-65937.285805692314</v>
      </c>
      <c r="E8" s="268">
        <v>0</v>
      </c>
      <c r="F8" s="267">
        <v>0</v>
      </c>
      <c r="G8" s="267">
        <v>0</v>
      </c>
      <c r="H8" s="269">
        <f>SUM(C8:G8)</f>
        <v>69850.866865973221</v>
      </c>
      <c r="I8" s="353">
        <v>8051.9273684210502</v>
      </c>
      <c r="J8" s="158">
        <f>'B) D RI'!U9</f>
        <v>7826.6322368421061</v>
      </c>
      <c r="K8" s="115">
        <f t="shared" si="2"/>
        <v>8.6750492981248399</v>
      </c>
      <c r="L8" s="63">
        <f>'B) D RI'!S9</f>
        <v>76</v>
      </c>
      <c r="M8" s="63">
        <f t="shared" si="3"/>
        <v>67.324950701875167</v>
      </c>
      <c r="N8" s="223">
        <f>'J) Plafonnement effort'!G7+'J) Plafonnement effort'!H7-'K) Plafonnement aide'!I7</f>
        <v>3.4568626158560631</v>
      </c>
      <c r="O8" s="223">
        <f t="shared" si="4"/>
        <v>70.781813317731235</v>
      </c>
      <c r="P8" s="80">
        <f t="shared" si="0"/>
        <v>0</v>
      </c>
      <c r="Q8" s="98">
        <f t="shared" si="5"/>
        <v>0</v>
      </c>
      <c r="R8" s="258">
        <f t="shared" si="6"/>
        <v>70.781813317731235</v>
      </c>
      <c r="S8" s="223">
        <f t="shared" si="7"/>
        <v>-5.2181866822687653</v>
      </c>
      <c r="T8" s="257"/>
      <c r="U8" s="58"/>
    </row>
    <row r="9" spans="1:21" x14ac:dyDescent="0.25">
      <c r="A9" s="82">
        <f>'A) Base RI'!A10</f>
        <v>5404</v>
      </c>
      <c r="B9" s="95" t="str">
        <f>'A) Base RI'!B10</f>
        <v>Corbeyrier</v>
      </c>
      <c r="C9" s="266">
        <v>267139.59424233995</v>
      </c>
      <c r="D9" s="267">
        <v>115438.47335876073</v>
      </c>
      <c r="E9" s="268">
        <v>0</v>
      </c>
      <c r="F9" s="267">
        <v>0</v>
      </c>
      <c r="G9" s="267">
        <v>0</v>
      </c>
      <c r="H9" s="269">
        <f t="shared" si="1"/>
        <v>382578.06760110066</v>
      </c>
      <c r="I9" s="353">
        <v>12915.051919191919</v>
      </c>
      <c r="J9" s="158">
        <f>'B) D RI'!U10</f>
        <v>8762.5650952380947</v>
      </c>
      <c r="K9" s="115">
        <f t="shared" si="2"/>
        <v>29.622650376850995</v>
      </c>
      <c r="L9" s="63">
        <f>'B) D RI'!S10</f>
        <v>70</v>
      </c>
      <c r="M9" s="63">
        <f t="shared" si="3"/>
        <v>40.377349623149001</v>
      </c>
      <c r="N9" s="223">
        <f>'J) Plafonnement effort'!G8+'J) Plafonnement effort'!H8-'K) Plafonnement aide'!I8</f>
        <v>-7.3318820843044108</v>
      </c>
      <c r="O9" s="223">
        <f t="shared" si="4"/>
        <v>33.045467538844591</v>
      </c>
      <c r="P9" s="80">
        <f t="shared" si="0"/>
        <v>0</v>
      </c>
      <c r="Q9" s="98">
        <f t="shared" si="5"/>
        <v>0</v>
      </c>
      <c r="R9" s="258">
        <f t="shared" si="6"/>
        <v>33.045467538844591</v>
      </c>
      <c r="S9" s="223">
        <f t="shared" si="7"/>
        <v>-36.954532461155409</v>
      </c>
      <c r="T9" s="257"/>
      <c r="U9" s="58"/>
    </row>
    <row r="10" spans="1:21" x14ac:dyDescent="0.25">
      <c r="A10" s="82">
        <f>'A) Base RI'!A11</f>
        <v>5405</v>
      </c>
      <c r="B10" s="95" t="str">
        <f>'A) Base RI'!B11</f>
        <v>Gryon</v>
      </c>
      <c r="C10" s="266">
        <v>1311944.1477946008</v>
      </c>
      <c r="D10" s="267">
        <v>1013255.14073075</v>
      </c>
      <c r="E10" s="268">
        <v>0</v>
      </c>
      <c r="F10" s="267">
        <v>0</v>
      </c>
      <c r="G10" s="267">
        <v>0</v>
      </c>
      <c r="H10" s="269">
        <f t="shared" si="1"/>
        <v>2325199.2885253509</v>
      </c>
      <c r="I10" s="353">
        <v>65294.170972222229</v>
      </c>
      <c r="J10" s="158">
        <f>'B) D RI'!U11</f>
        <v>67187.701777777766</v>
      </c>
      <c r="K10" s="115">
        <f t="shared" si="2"/>
        <v>35.611131191397604</v>
      </c>
      <c r="L10" s="63">
        <f>'B) D RI'!S11</f>
        <v>75</v>
      </c>
      <c r="M10" s="63">
        <f t="shared" si="3"/>
        <v>39.388868808602396</v>
      </c>
      <c r="N10" s="223">
        <f>'J) Plafonnement effort'!G9+'J) Plafonnement effort'!H9-'K) Plafonnement aide'!I9</f>
        <v>27.380682604547946</v>
      </c>
      <c r="O10" s="223">
        <f t="shared" si="4"/>
        <v>66.769551413150339</v>
      </c>
      <c r="P10" s="80">
        <f t="shared" si="0"/>
        <v>0</v>
      </c>
      <c r="Q10" s="98">
        <f t="shared" si="5"/>
        <v>0</v>
      </c>
      <c r="R10" s="258">
        <f t="shared" si="6"/>
        <v>66.769551413150339</v>
      </c>
      <c r="S10" s="223">
        <f t="shared" si="7"/>
        <v>-8.2304485868496613</v>
      </c>
      <c r="T10" s="257"/>
      <c r="U10" s="58"/>
    </row>
    <row r="11" spans="1:21" x14ac:dyDescent="0.25">
      <c r="A11" s="82">
        <f>'A) Base RI'!A12</f>
        <v>5406</v>
      </c>
      <c r="B11" s="95" t="str">
        <f>'A) Base RI'!B12</f>
        <v>Lavey-Morcles</v>
      </c>
      <c r="C11" s="266">
        <v>311192.41812334885</v>
      </c>
      <c r="D11" s="267">
        <v>-125052.31445101375</v>
      </c>
      <c r="E11" s="268">
        <v>0</v>
      </c>
      <c r="F11" s="267">
        <v>0</v>
      </c>
      <c r="G11" s="267">
        <v>0</v>
      </c>
      <c r="H11" s="269">
        <f t="shared" si="1"/>
        <v>186140.1036723351</v>
      </c>
      <c r="I11" s="353">
        <v>19154.485980498375</v>
      </c>
      <c r="J11" s="158">
        <f>'B) D RI'!U12</f>
        <v>19209.951419284946</v>
      </c>
      <c r="K11" s="115">
        <f t="shared" si="2"/>
        <v>9.7178334026738504</v>
      </c>
      <c r="L11" s="63">
        <f>'B) D RI'!S12</f>
        <v>71</v>
      </c>
      <c r="M11" s="63">
        <f t="shared" si="3"/>
        <v>61.282166597326153</v>
      </c>
      <c r="N11" s="223">
        <f>'J) Plafonnement effort'!G10+'J) Plafonnement effort'!H10-'K) Plafonnement aide'!I10</f>
        <v>7.403750163858617</v>
      </c>
      <c r="O11" s="223">
        <f t="shared" si="4"/>
        <v>68.685916761184771</v>
      </c>
      <c r="P11" s="80">
        <f t="shared" si="0"/>
        <v>0</v>
      </c>
      <c r="Q11" s="98">
        <f t="shared" si="5"/>
        <v>0</v>
      </c>
      <c r="R11" s="258">
        <f t="shared" si="6"/>
        <v>68.685916761184771</v>
      </c>
      <c r="S11" s="223">
        <f t="shared" si="7"/>
        <v>-2.314083238815229</v>
      </c>
      <c r="T11" s="257"/>
      <c r="U11" s="58"/>
    </row>
    <row r="12" spans="1:21" x14ac:dyDescent="0.25">
      <c r="A12" s="82">
        <f>'A) Base RI'!A13</f>
        <v>5407</v>
      </c>
      <c r="B12" s="95" t="str">
        <f>'A) Base RI'!B13</f>
        <v>Leysin</v>
      </c>
      <c r="C12" s="266">
        <v>1667351.5323147327</v>
      </c>
      <c r="D12" s="267">
        <v>-1806627.1151563013</v>
      </c>
      <c r="E12" s="268">
        <v>0</v>
      </c>
      <c r="F12" s="267">
        <v>0</v>
      </c>
      <c r="G12" s="267">
        <v>0</v>
      </c>
      <c r="H12" s="269">
        <f t="shared" si="1"/>
        <v>-139275.58284156863</v>
      </c>
      <c r="I12" s="353">
        <v>89645.962905982902</v>
      </c>
      <c r="J12" s="158">
        <f>'B) D RI'!U13</f>
        <v>99721.08303418805</v>
      </c>
      <c r="K12" s="115">
        <f t="shared" si="2"/>
        <v>-1.5536180138712468</v>
      </c>
      <c r="L12" s="63">
        <f>'B) D RI'!S13</f>
        <v>78</v>
      </c>
      <c r="M12" s="63">
        <f t="shared" si="3"/>
        <v>79.553618013871244</v>
      </c>
      <c r="N12" s="223">
        <f>'J) Plafonnement effort'!G11+'J) Plafonnement effort'!H11-'K) Plafonnement aide'!I11</f>
        <v>-14.205218590089988</v>
      </c>
      <c r="O12" s="223">
        <f t="shared" si="4"/>
        <v>65.34839942378126</v>
      </c>
      <c r="P12" s="80">
        <f t="shared" si="0"/>
        <v>0</v>
      </c>
      <c r="Q12" s="98">
        <f t="shared" si="5"/>
        <v>0</v>
      </c>
      <c r="R12" s="258">
        <f t="shared" si="6"/>
        <v>65.34839942378126</v>
      </c>
      <c r="S12" s="223">
        <f t="shared" si="7"/>
        <v>-12.65160057621874</v>
      </c>
      <c r="T12" s="257"/>
      <c r="U12" s="58"/>
    </row>
    <row r="13" spans="1:21" x14ac:dyDescent="0.25">
      <c r="A13" s="82">
        <f>'A) Base RI'!A14</f>
        <v>5408</v>
      </c>
      <c r="B13" s="95" t="str">
        <f>'A) Base RI'!B14</f>
        <v>Noville</v>
      </c>
      <c r="C13" s="266">
        <v>545363.74162799295</v>
      </c>
      <c r="D13" s="267">
        <v>269027.48069505516</v>
      </c>
      <c r="E13" s="268">
        <v>0</v>
      </c>
      <c r="F13" s="267">
        <v>0</v>
      </c>
      <c r="G13" s="267">
        <v>0</v>
      </c>
      <c r="H13" s="269">
        <f t="shared" si="1"/>
        <v>814391.22232304816</v>
      </c>
      <c r="I13" s="353">
        <v>31196.397239915077</v>
      </c>
      <c r="J13" s="158">
        <f>'B) D RI'!U14</f>
        <v>27782.072271762208</v>
      </c>
      <c r="K13" s="115">
        <f t="shared" si="2"/>
        <v>26.105297225830078</v>
      </c>
      <c r="L13" s="63">
        <f>'B) D RI'!S14</f>
        <v>78.5</v>
      </c>
      <c r="M13" s="63">
        <f t="shared" si="3"/>
        <v>52.394702774169922</v>
      </c>
      <c r="N13" s="223">
        <f>'J) Plafonnement effort'!G12+'J) Plafonnement effort'!H12-'K) Plafonnement aide'!I12</f>
        <v>13.51930114073911</v>
      </c>
      <c r="O13" s="223">
        <f t="shared" si="4"/>
        <v>65.914003914909031</v>
      </c>
      <c r="P13" s="80">
        <f t="shared" si="0"/>
        <v>0</v>
      </c>
      <c r="Q13" s="98">
        <f t="shared" si="5"/>
        <v>0</v>
      </c>
      <c r="R13" s="258">
        <f t="shared" si="6"/>
        <v>65.914003914909031</v>
      </c>
      <c r="S13" s="223">
        <f t="shared" si="7"/>
        <v>-12.585996085090969</v>
      </c>
      <c r="T13" s="257"/>
      <c r="U13" s="58"/>
    </row>
    <row r="14" spans="1:21" x14ac:dyDescent="0.25">
      <c r="A14" s="82">
        <f>'A) Base RI'!A15</f>
        <v>5409</v>
      </c>
      <c r="B14" s="95" t="str">
        <f>'A) Base RI'!B15</f>
        <v>Ollon</v>
      </c>
      <c r="C14" s="266">
        <v>6385857.3904965511</v>
      </c>
      <c r="D14" s="267">
        <v>3255541.0931369998</v>
      </c>
      <c r="E14" s="268">
        <v>0</v>
      </c>
      <c r="F14" s="267">
        <v>0</v>
      </c>
      <c r="G14" s="267">
        <v>0</v>
      </c>
      <c r="H14" s="269">
        <f t="shared" si="1"/>
        <v>9641398.4836335517</v>
      </c>
      <c r="I14" s="353">
        <v>347541.31218325789</v>
      </c>
      <c r="J14" s="158">
        <f>'B) D RI'!U15</f>
        <v>373016.06252262433</v>
      </c>
      <c r="K14" s="115">
        <f t="shared" si="2"/>
        <v>27.741733559864272</v>
      </c>
      <c r="L14" s="63">
        <f>'B) D RI'!S15</f>
        <v>68</v>
      </c>
      <c r="M14" s="63">
        <f t="shared" si="3"/>
        <v>40.258266440135728</v>
      </c>
      <c r="N14" s="223">
        <f>'J) Plafonnement effort'!G13+'J) Plafonnement effort'!H13-'K) Plafonnement aide'!I13</f>
        <v>24.282667551309721</v>
      </c>
      <c r="O14" s="223">
        <f t="shared" si="4"/>
        <v>64.540933991445456</v>
      </c>
      <c r="P14" s="80">
        <f t="shared" si="0"/>
        <v>0</v>
      </c>
      <c r="Q14" s="98">
        <f t="shared" si="5"/>
        <v>0</v>
      </c>
      <c r="R14" s="258">
        <f t="shared" si="6"/>
        <v>64.540933991445456</v>
      </c>
      <c r="S14" s="223">
        <f t="shared" si="7"/>
        <v>-3.4590660085545437</v>
      </c>
      <c r="T14" s="257"/>
      <c r="U14" s="58"/>
    </row>
    <row r="15" spans="1:21" x14ac:dyDescent="0.25">
      <c r="A15" s="82">
        <f>'A) Base RI'!A16</f>
        <v>5410</v>
      </c>
      <c r="B15" s="95" t="str">
        <f>'A) Base RI'!B16</f>
        <v>Ormont-Dessous</v>
      </c>
      <c r="C15" s="266">
        <v>742605.86340520589</v>
      </c>
      <c r="D15" s="267">
        <v>182607.75250300119</v>
      </c>
      <c r="E15" s="268">
        <v>0</v>
      </c>
      <c r="F15" s="267">
        <v>0</v>
      </c>
      <c r="G15" s="267">
        <v>0</v>
      </c>
      <c r="H15" s="269">
        <f t="shared" si="1"/>
        <v>925213.61590820714</v>
      </c>
      <c r="I15" s="353">
        <v>32653.463694267513</v>
      </c>
      <c r="J15" s="158">
        <f>'B) D RI'!U16</f>
        <v>31634.392526539275</v>
      </c>
      <c r="K15" s="115">
        <f t="shared" si="2"/>
        <v>28.334317748675257</v>
      </c>
      <c r="L15" s="63">
        <f>'B) D RI'!S16</f>
        <v>78.5</v>
      </c>
      <c r="M15" s="63">
        <f t="shared" si="3"/>
        <v>50.165682251324739</v>
      </c>
      <c r="N15" s="223">
        <f>'J) Plafonnement effort'!G14+'J) Plafonnement effort'!H14-'K) Plafonnement aide'!I14</f>
        <v>-3.919786278968207</v>
      </c>
      <c r="O15" s="223">
        <f t="shared" si="4"/>
        <v>46.245895972356536</v>
      </c>
      <c r="P15" s="80">
        <f t="shared" si="0"/>
        <v>0</v>
      </c>
      <c r="Q15" s="98">
        <f t="shared" si="5"/>
        <v>0</v>
      </c>
      <c r="R15" s="258">
        <f t="shared" si="6"/>
        <v>46.245895972356536</v>
      </c>
      <c r="S15" s="223">
        <f t="shared" si="7"/>
        <v>-32.254104027643464</v>
      </c>
      <c r="T15" s="257"/>
      <c r="U15" s="58"/>
    </row>
    <row r="16" spans="1:21" x14ac:dyDescent="0.25">
      <c r="A16" s="82">
        <f>'A) Base RI'!A17</f>
        <v>5411</v>
      </c>
      <c r="B16" s="95" t="str">
        <f>'A) Base RI'!B17</f>
        <v>Ormont-Dessus</v>
      </c>
      <c r="C16" s="266">
        <v>1301627.0713715393</v>
      </c>
      <c r="D16" s="267">
        <v>1081878.6767257499</v>
      </c>
      <c r="E16" s="268">
        <v>0</v>
      </c>
      <c r="F16" s="267">
        <v>0</v>
      </c>
      <c r="G16" s="267">
        <v>0</v>
      </c>
      <c r="H16" s="269">
        <f t="shared" si="1"/>
        <v>2383505.7480972894</v>
      </c>
      <c r="I16" s="353">
        <v>73219.642156862741</v>
      </c>
      <c r="J16" s="158">
        <f>'B) D RI'!U17</f>
        <v>68022.060675675675</v>
      </c>
      <c r="K16" s="115">
        <f t="shared" si="2"/>
        <v>32.552818859602795</v>
      </c>
      <c r="L16" s="63">
        <f>'B) D RI'!S17</f>
        <v>74</v>
      </c>
      <c r="M16" s="63">
        <f t="shared" si="3"/>
        <v>41.447181140397205</v>
      </c>
      <c r="N16" s="223">
        <f>'J) Plafonnement effort'!G15+'J) Plafonnement effort'!H15-'K) Plafonnement aide'!I15</f>
        <v>20.58233068920774</v>
      </c>
      <c r="O16" s="223">
        <f t="shared" si="4"/>
        <v>62.029511829604942</v>
      </c>
      <c r="P16" s="80">
        <f t="shared" si="0"/>
        <v>0</v>
      </c>
      <c r="Q16" s="98">
        <f t="shared" si="5"/>
        <v>0</v>
      </c>
      <c r="R16" s="258">
        <f t="shared" si="6"/>
        <v>62.029511829604942</v>
      </c>
      <c r="S16" s="223">
        <f t="shared" si="7"/>
        <v>-11.970488170395058</v>
      </c>
      <c r="T16" s="257"/>
      <c r="U16" s="58"/>
    </row>
    <row r="17" spans="1:21" x14ac:dyDescent="0.25">
      <c r="A17" s="82">
        <f>'A) Base RI'!A18</f>
        <v>5412</v>
      </c>
      <c r="B17" s="95" t="str">
        <f>'A) Base RI'!B18</f>
        <v>Rennaz</v>
      </c>
      <c r="C17" s="266">
        <v>474934.93706534081</v>
      </c>
      <c r="D17" s="267">
        <v>201965.26627838676</v>
      </c>
      <c r="E17" s="268">
        <v>0</v>
      </c>
      <c r="F17" s="267">
        <v>0</v>
      </c>
      <c r="G17" s="267">
        <v>0</v>
      </c>
      <c r="H17" s="269">
        <f t="shared" si="1"/>
        <v>676900.20334372763</v>
      </c>
      <c r="I17" s="353">
        <v>24047.052913385825</v>
      </c>
      <c r="J17" s="158">
        <f>'B) D RI'!U18</f>
        <v>24549.662992125981</v>
      </c>
      <c r="K17" s="115">
        <f t="shared" si="2"/>
        <v>28.148987977105925</v>
      </c>
      <c r="L17" s="63">
        <f>'B) D RI'!S18</f>
        <v>63.5</v>
      </c>
      <c r="M17" s="63">
        <f t="shared" si="3"/>
        <v>35.351012022894075</v>
      </c>
      <c r="N17" s="223">
        <f>'J) Plafonnement effort'!G16+'J) Plafonnement effort'!H16-'K) Plafonnement aide'!I16</f>
        <v>30.080032923303346</v>
      </c>
      <c r="O17" s="223">
        <f t="shared" si="4"/>
        <v>65.431044946197417</v>
      </c>
      <c r="P17" s="80">
        <f t="shared" si="0"/>
        <v>0</v>
      </c>
      <c r="Q17" s="98">
        <f t="shared" si="5"/>
        <v>0</v>
      </c>
      <c r="R17" s="258">
        <f t="shared" si="6"/>
        <v>65.431044946197417</v>
      </c>
      <c r="S17" s="223">
        <f t="shared" si="7"/>
        <v>1.9310449461974173</v>
      </c>
      <c r="T17" s="257"/>
      <c r="U17" s="58"/>
    </row>
    <row r="18" spans="1:21" x14ac:dyDescent="0.25">
      <c r="A18" s="82">
        <f>'A) Base RI'!A19</f>
        <v>5413</v>
      </c>
      <c r="B18" s="95" t="str">
        <f>'A) Base RI'!B19</f>
        <v>Roche</v>
      </c>
      <c r="C18" s="266">
        <v>703118.10674778651</v>
      </c>
      <c r="D18" s="267">
        <v>-61386.777488630731</v>
      </c>
      <c r="E18" s="268">
        <v>0</v>
      </c>
      <c r="F18" s="267">
        <v>0</v>
      </c>
      <c r="G18" s="267">
        <v>0</v>
      </c>
      <c r="H18" s="269">
        <f t="shared" si="1"/>
        <v>641731.32925915578</v>
      </c>
      <c r="I18" s="353">
        <v>34371.101406250003</v>
      </c>
      <c r="J18" s="158">
        <f>'B) D RI'!U19</f>
        <v>35383.920882352941</v>
      </c>
      <c r="K18" s="115">
        <f t="shared" si="2"/>
        <v>18.670665268307754</v>
      </c>
      <c r="L18" s="63">
        <f>'B) D RI'!S19</f>
        <v>68</v>
      </c>
      <c r="M18" s="63">
        <f t="shared" si="3"/>
        <v>49.329334731692242</v>
      </c>
      <c r="N18" s="223">
        <f>'J) Plafonnement effort'!G17+'J) Plafonnement effort'!H17-'K) Plafonnement aide'!I17</f>
        <v>15.776360518213835</v>
      </c>
      <c r="O18" s="223">
        <f t="shared" si="4"/>
        <v>65.105695249906077</v>
      </c>
      <c r="P18" s="80">
        <f t="shared" si="0"/>
        <v>0</v>
      </c>
      <c r="Q18" s="98">
        <f t="shared" si="5"/>
        <v>0</v>
      </c>
      <c r="R18" s="258">
        <f t="shared" si="6"/>
        <v>65.105695249906077</v>
      </c>
      <c r="S18" s="223">
        <f t="shared" si="7"/>
        <v>-2.894304750093923</v>
      </c>
      <c r="T18" s="257"/>
      <c r="U18" s="58"/>
    </row>
    <row r="19" spans="1:21" x14ac:dyDescent="0.25">
      <c r="A19" s="82">
        <f>'A) Base RI'!A20</f>
        <v>5414</v>
      </c>
      <c r="B19" s="95" t="str">
        <f>'A) Base RI'!B20</f>
        <v>Villeneuve</v>
      </c>
      <c r="C19" s="266">
        <v>2763831.3444563542</v>
      </c>
      <c r="D19" s="267">
        <v>-117477.02930465154</v>
      </c>
      <c r="E19" s="268">
        <v>0</v>
      </c>
      <c r="F19" s="267">
        <v>0</v>
      </c>
      <c r="G19" s="267">
        <v>0</v>
      </c>
      <c r="H19" s="269">
        <f t="shared" si="1"/>
        <v>2646354.3151517026</v>
      </c>
      <c r="I19" s="353">
        <v>159396.44724637683</v>
      </c>
      <c r="J19" s="158">
        <f>'B) D RI'!U20</f>
        <v>178367.91043478262</v>
      </c>
      <c r="K19" s="115">
        <f t="shared" si="2"/>
        <v>16.602341902020378</v>
      </c>
      <c r="L19" s="63">
        <f>'B) D RI'!S20</f>
        <v>69</v>
      </c>
      <c r="M19" s="63">
        <f t="shared" si="3"/>
        <v>52.397658097979622</v>
      </c>
      <c r="N19" s="223">
        <f>'J) Plafonnement effort'!G18+'J) Plafonnement effort'!H18-'K) Plafonnement aide'!I18</f>
        <v>15.456699987032511</v>
      </c>
      <c r="O19" s="223">
        <f t="shared" si="4"/>
        <v>67.854358085012137</v>
      </c>
      <c r="P19" s="80">
        <f t="shared" si="0"/>
        <v>0</v>
      </c>
      <c r="Q19" s="98">
        <f t="shared" si="5"/>
        <v>0</v>
      </c>
      <c r="R19" s="258">
        <f t="shared" si="6"/>
        <v>67.854358085012137</v>
      </c>
      <c r="S19" s="223">
        <f t="shared" si="7"/>
        <v>-1.1456419149878627</v>
      </c>
      <c r="T19" s="257"/>
      <c r="U19" s="58"/>
    </row>
    <row r="20" spans="1:21" x14ac:dyDescent="0.25">
      <c r="A20" s="82">
        <f>'A) Base RI'!A21</f>
        <v>5415</v>
      </c>
      <c r="B20" s="95" t="str">
        <f>'A) Base RI'!B21</f>
        <v>Yvorne</v>
      </c>
      <c r="C20" s="266">
        <v>586082.50424276921</v>
      </c>
      <c r="D20" s="267">
        <v>392786.32053990412</v>
      </c>
      <c r="E20" s="268">
        <v>0</v>
      </c>
      <c r="F20" s="267">
        <v>0</v>
      </c>
      <c r="G20" s="267">
        <v>0</v>
      </c>
      <c r="H20" s="269">
        <f t="shared" si="1"/>
        <v>978868.82478267327</v>
      </c>
      <c r="I20" s="353">
        <v>36619.384038929442</v>
      </c>
      <c r="J20" s="158">
        <f>'B) D RI'!U21</f>
        <v>40073.521995133822</v>
      </c>
      <c r="K20" s="115">
        <f t="shared" si="2"/>
        <v>26.730892680828671</v>
      </c>
      <c r="L20" s="63">
        <f>'B) D RI'!S21</f>
        <v>68.5</v>
      </c>
      <c r="M20" s="63">
        <f t="shared" si="3"/>
        <v>41.769107319171326</v>
      </c>
      <c r="N20" s="223">
        <f>'J) Plafonnement effort'!G19+'J) Plafonnement effort'!H19-'K) Plafonnement aide'!I19</f>
        <v>22.751939648522921</v>
      </c>
      <c r="O20" s="223">
        <f t="shared" si="4"/>
        <v>64.521046967694247</v>
      </c>
      <c r="P20" s="80">
        <f t="shared" si="0"/>
        <v>0</v>
      </c>
      <c r="Q20" s="98">
        <f t="shared" si="5"/>
        <v>0</v>
      </c>
      <c r="R20" s="258">
        <f t="shared" si="6"/>
        <v>64.521046967694247</v>
      </c>
      <c r="S20" s="223">
        <f t="shared" si="7"/>
        <v>-3.9789530323057534</v>
      </c>
      <c r="T20" s="257"/>
      <c r="U20" s="58"/>
    </row>
    <row r="21" spans="1:21" x14ac:dyDescent="0.25">
      <c r="A21" s="82">
        <f>'A) Base RI'!A22</f>
        <v>5421</v>
      </c>
      <c r="B21" s="95" t="str">
        <f>'A) Base RI'!B22</f>
        <v>Apples</v>
      </c>
      <c r="C21" s="266">
        <v>937377.23295705125</v>
      </c>
      <c r="D21" s="267">
        <v>477707.63051610976</v>
      </c>
      <c r="E21" s="268">
        <v>0</v>
      </c>
      <c r="F21" s="267">
        <v>0</v>
      </c>
      <c r="G21" s="267">
        <v>0</v>
      </c>
      <c r="H21" s="269">
        <f t="shared" si="1"/>
        <v>1415084.8634731611</v>
      </c>
      <c r="I21" s="353">
        <v>47725.64366197183</v>
      </c>
      <c r="J21" s="158">
        <f>'B) D RI'!U22</f>
        <v>49174.834507042251</v>
      </c>
      <c r="K21" s="115">
        <f t="shared" si="2"/>
        <v>29.650409190829038</v>
      </c>
      <c r="L21" s="63">
        <f>'B) D RI'!S22</f>
        <v>71</v>
      </c>
      <c r="M21" s="63">
        <f t="shared" si="3"/>
        <v>41.349590809170962</v>
      </c>
      <c r="N21" s="223">
        <f>'J) Plafonnement effort'!G20+'J) Plafonnement effort'!H20-'K) Plafonnement aide'!I20</f>
        <v>25.203619408606968</v>
      </c>
      <c r="O21" s="223">
        <f t="shared" si="4"/>
        <v>66.553210217777931</v>
      </c>
      <c r="P21" s="80">
        <f t="shared" si="0"/>
        <v>0</v>
      </c>
      <c r="Q21" s="98">
        <f t="shared" si="5"/>
        <v>0</v>
      </c>
      <c r="R21" s="258">
        <f t="shared" si="6"/>
        <v>66.553210217777931</v>
      </c>
      <c r="S21" s="223">
        <f t="shared" si="7"/>
        <v>-4.4467897822220692</v>
      </c>
      <c r="T21" s="257"/>
      <c r="U21" s="58"/>
    </row>
    <row r="22" spans="1:21" x14ac:dyDescent="0.25">
      <c r="A22" s="82">
        <f>'A) Base RI'!A23</f>
        <v>5422</v>
      </c>
      <c r="B22" s="95" t="str">
        <f>'A) Base RI'!B23</f>
        <v>Aubonne</v>
      </c>
      <c r="C22" s="266">
        <v>3961260.0972066722</v>
      </c>
      <c r="D22" s="267">
        <v>2564663.1713749999</v>
      </c>
      <c r="E22" s="268">
        <v>0</v>
      </c>
      <c r="F22" s="267">
        <v>0</v>
      </c>
      <c r="G22" s="267">
        <v>0</v>
      </c>
      <c r="H22" s="269">
        <f t="shared" si="1"/>
        <v>6525923.2685816716</v>
      </c>
      <c r="I22" s="353">
        <v>184482.50399749508</v>
      </c>
      <c r="J22" s="158">
        <f>'B) D RI'!U23</f>
        <v>256689.81279411758</v>
      </c>
      <c r="K22" s="115">
        <f t="shared" si="2"/>
        <v>35.374212335443374</v>
      </c>
      <c r="L22" s="63">
        <f>'B) D RI'!S23</f>
        <v>68</v>
      </c>
      <c r="M22" s="63">
        <f t="shared" si="3"/>
        <v>32.625787664556626</v>
      </c>
      <c r="N22" s="223">
        <f>'J) Plafonnement effort'!G21+'J) Plafonnement effort'!H21-'K) Plafonnement aide'!I21</f>
        <v>39.352863023159095</v>
      </c>
      <c r="O22" s="223">
        <f t="shared" si="4"/>
        <v>71.978650687715714</v>
      </c>
      <c r="P22" s="80">
        <f t="shared" si="0"/>
        <v>0</v>
      </c>
      <c r="Q22" s="98">
        <f t="shared" si="5"/>
        <v>0</v>
      </c>
      <c r="R22" s="258">
        <f t="shared" si="6"/>
        <v>71.978650687715714</v>
      </c>
      <c r="S22" s="223">
        <f t="shared" si="7"/>
        <v>3.9786506877157137</v>
      </c>
      <c r="T22" s="257"/>
      <c r="U22" s="58"/>
    </row>
    <row r="23" spans="1:21" x14ac:dyDescent="0.25">
      <c r="A23" s="82">
        <f>'A) Base RI'!A24</f>
        <v>5423</v>
      </c>
      <c r="B23" s="95" t="str">
        <f>'A) Base RI'!B24</f>
        <v>Ballens</v>
      </c>
      <c r="C23" s="266">
        <v>196506.88686954282</v>
      </c>
      <c r="D23" s="267">
        <v>62300.8020713359</v>
      </c>
      <c r="E23" s="268">
        <v>0</v>
      </c>
      <c r="F23" s="267">
        <v>0</v>
      </c>
      <c r="G23" s="267">
        <v>0</v>
      </c>
      <c r="H23" s="269">
        <f t="shared" si="1"/>
        <v>258807.68894087872</v>
      </c>
      <c r="I23" s="353">
        <v>13859.887101449272</v>
      </c>
      <c r="J23" s="158">
        <f>'B) D RI'!U24</f>
        <v>16056.117971014495</v>
      </c>
      <c r="K23" s="115">
        <f t="shared" si="2"/>
        <v>18.673145534772519</v>
      </c>
      <c r="L23" s="63">
        <f>'B) D RI'!S24</f>
        <v>69</v>
      </c>
      <c r="M23" s="63">
        <f t="shared" si="3"/>
        <v>50.326854465227484</v>
      </c>
      <c r="N23" s="223">
        <f>'J) Plafonnement effort'!G22+'J) Plafonnement effort'!H22-'K) Plafonnement aide'!I22</f>
        <v>20.685959028647773</v>
      </c>
      <c r="O23" s="223">
        <f t="shared" si="4"/>
        <v>71.012813493875257</v>
      </c>
      <c r="P23" s="80">
        <f t="shared" si="0"/>
        <v>0</v>
      </c>
      <c r="Q23" s="98">
        <f t="shared" si="5"/>
        <v>0</v>
      </c>
      <c r="R23" s="258">
        <f t="shared" si="6"/>
        <v>71.012813493875257</v>
      </c>
      <c r="S23" s="223">
        <f t="shared" si="7"/>
        <v>2.0128134938752567</v>
      </c>
      <c r="T23" s="257"/>
      <c r="U23" s="58"/>
    </row>
    <row r="24" spans="1:21" x14ac:dyDescent="0.25">
      <c r="A24" s="82">
        <f>'A) Base RI'!A25</f>
        <v>5424</v>
      </c>
      <c r="B24" s="95" t="str">
        <f>'A) Base RI'!B25</f>
        <v>Berolle</v>
      </c>
      <c r="C24" s="266">
        <v>113508.79189816193</v>
      </c>
      <c r="D24" s="267">
        <v>-2242.6978354771563</v>
      </c>
      <c r="E24" s="268">
        <v>0</v>
      </c>
      <c r="F24" s="267">
        <v>0</v>
      </c>
      <c r="G24" s="267">
        <v>0</v>
      </c>
      <c r="H24" s="269">
        <f t="shared" si="1"/>
        <v>111266.09406268477</v>
      </c>
      <c r="I24" s="353">
        <v>7932.1906493506485</v>
      </c>
      <c r="J24" s="158">
        <f>'B) D RI'!U25</f>
        <v>9358.0229870129861</v>
      </c>
      <c r="K24" s="115">
        <f t="shared" si="2"/>
        <v>14.027158319977261</v>
      </c>
      <c r="L24" s="63">
        <f>'B) D RI'!S25</f>
        <v>77</v>
      </c>
      <c r="M24" s="63">
        <f t="shared" si="3"/>
        <v>62.972841680022739</v>
      </c>
      <c r="N24" s="223">
        <f>'J) Plafonnement effort'!G23+'J) Plafonnement effort'!H23-'K) Plafonnement aide'!I23</f>
        <v>17.393972609902072</v>
      </c>
      <c r="O24" s="223">
        <f t="shared" si="4"/>
        <v>80.366814289924804</v>
      </c>
      <c r="P24" s="80">
        <f t="shared" si="0"/>
        <v>0</v>
      </c>
      <c r="Q24" s="98">
        <f t="shared" si="5"/>
        <v>0</v>
      </c>
      <c r="R24" s="258">
        <f t="shared" si="6"/>
        <v>80.366814289924804</v>
      </c>
      <c r="S24" s="223">
        <f t="shared" si="7"/>
        <v>3.3668142899248039</v>
      </c>
      <c r="T24" s="257"/>
      <c r="U24" s="58"/>
    </row>
    <row r="25" spans="1:21" x14ac:dyDescent="0.25">
      <c r="A25" s="82">
        <f>'A) Base RI'!A26</f>
        <v>5425</v>
      </c>
      <c r="B25" s="95" t="str">
        <f>'A) Base RI'!B26</f>
        <v>Bière</v>
      </c>
      <c r="C25" s="266">
        <v>550075.64244268998</v>
      </c>
      <c r="D25" s="267">
        <v>-223926.83198946784</v>
      </c>
      <c r="E25" s="268">
        <v>0</v>
      </c>
      <c r="F25" s="267">
        <v>0</v>
      </c>
      <c r="G25" s="267">
        <v>0</v>
      </c>
      <c r="H25" s="269">
        <f t="shared" si="1"/>
        <v>326148.81045322213</v>
      </c>
      <c r="I25" s="353">
        <v>33968.064558823535</v>
      </c>
      <c r="J25" s="158">
        <f>'B) D RI'!U26</f>
        <v>37126.422058823526</v>
      </c>
      <c r="K25" s="115">
        <f t="shared" si="2"/>
        <v>9.6016306695490492</v>
      </c>
      <c r="L25" s="63">
        <f>'B) D RI'!S26</f>
        <v>68</v>
      </c>
      <c r="M25" s="63">
        <f t="shared" si="3"/>
        <v>58.398369330450947</v>
      </c>
      <c r="N25" s="223">
        <f>'J) Plafonnement effort'!G24+'J) Plafonnement effort'!H24-'K) Plafonnement aide'!I24</f>
        <v>0.29335366719332434</v>
      </c>
      <c r="O25" s="223">
        <f t="shared" si="4"/>
        <v>58.69172299764427</v>
      </c>
      <c r="P25" s="80">
        <f t="shared" si="0"/>
        <v>0</v>
      </c>
      <c r="Q25" s="98">
        <f t="shared" si="5"/>
        <v>0</v>
      </c>
      <c r="R25" s="258">
        <f t="shared" si="6"/>
        <v>58.69172299764427</v>
      </c>
      <c r="S25" s="223">
        <f t="shared" si="7"/>
        <v>-9.3082770023557302</v>
      </c>
      <c r="T25" s="257"/>
      <c r="U25" s="58"/>
    </row>
    <row r="26" spans="1:21" x14ac:dyDescent="0.25">
      <c r="A26" s="82">
        <f>'A) Base RI'!A27</f>
        <v>5426</v>
      </c>
      <c r="B26" s="95" t="str">
        <f>'A) Base RI'!B27</f>
        <v>Bougy-Villars</v>
      </c>
      <c r="C26" s="266">
        <v>1543875.9314739141</v>
      </c>
      <c r="D26" s="267">
        <v>609989.3997375</v>
      </c>
      <c r="E26" s="268">
        <v>0</v>
      </c>
      <c r="F26" s="267">
        <v>0</v>
      </c>
      <c r="G26" s="267">
        <v>0</v>
      </c>
      <c r="H26" s="269">
        <f t="shared" si="1"/>
        <v>2153865.3312114142</v>
      </c>
      <c r="I26" s="353">
        <v>35511.943177562753</v>
      </c>
      <c r="J26" s="158">
        <f>'B) D RI'!U27</f>
        <v>52784.469677419351</v>
      </c>
      <c r="K26" s="115">
        <f t="shared" si="2"/>
        <v>60.651857895860651</v>
      </c>
      <c r="L26" s="63">
        <f>'B) D RI'!S27</f>
        <v>62</v>
      </c>
      <c r="M26" s="63">
        <f t="shared" si="3"/>
        <v>1.3481421041393489</v>
      </c>
      <c r="N26" s="223">
        <f>'J) Plafonnement effort'!G25+'J) Plafonnement effort'!H25-'K) Plafonnement aide'!I25</f>
        <v>48.841747157156803</v>
      </c>
      <c r="O26" s="223">
        <f t="shared" si="4"/>
        <v>50.189889261296152</v>
      </c>
      <c r="P26" s="80">
        <f t="shared" si="0"/>
        <v>0</v>
      </c>
      <c r="Q26" s="98">
        <f t="shared" si="5"/>
        <v>0</v>
      </c>
      <c r="R26" s="258">
        <f t="shared" si="6"/>
        <v>50.189889261296152</v>
      </c>
      <c r="S26" s="223">
        <f t="shared" si="7"/>
        <v>-11.810110738703848</v>
      </c>
      <c r="T26" s="257"/>
      <c r="U26" s="58"/>
    </row>
    <row r="27" spans="1:21" x14ac:dyDescent="0.25">
      <c r="A27" s="82">
        <f>'A) Base RI'!A28</f>
        <v>5427</v>
      </c>
      <c r="B27" s="95" t="str">
        <f>'A) Base RI'!B28</f>
        <v>Féchy</v>
      </c>
      <c r="C27" s="266">
        <v>1861719.5169165954</v>
      </c>
      <c r="D27" s="267">
        <v>1125654.83241</v>
      </c>
      <c r="E27" s="268">
        <v>0</v>
      </c>
      <c r="F27" s="267">
        <v>0</v>
      </c>
      <c r="G27" s="267">
        <v>0</v>
      </c>
      <c r="H27" s="269">
        <f t="shared" si="1"/>
        <v>2987374.3493265957</v>
      </c>
      <c r="I27" s="353">
        <v>65944.71651765483</v>
      </c>
      <c r="J27" s="158">
        <f>'B) D RI'!U28</f>
        <v>75059.583293269228</v>
      </c>
      <c r="K27" s="115">
        <f t="shared" si="2"/>
        <v>45.301193288575448</v>
      </c>
      <c r="L27" s="63">
        <f>'B) D RI'!S28</f>
        <v>64</v>
      </c>
      <c r="M27" s="63">
        <f t="shared" si="3"/>
        <v>18.698806711424552</v>
      </c>
      <c r="N27" s="223">
        <f>'J) Plafonnement effort'!G26+'J) Plafonnement effort'!H26-'K) Plafonnement aide'!I26</f>
        <v>42.121007415062152</v>
      </c>
      <c r="O27" s="223">
        <f t="shared" si="4"/>
        <v>60.819814126486705</v>
      </c>
      <c r="P27" s="80">
        <f t="shared" si="0"/>
        <v>0</v>
      </c>
      <c r="Q27" s="98">
        <f t="shared" si="5"/>
        <v>0</v>
      </c>
      <c r="R27" s="258">
        <f t="shared" si="6"/>
        <v>60.819814126486705</v>
      </c>
      <c r="S27" s="223">
        <f t="shared" si="7"/>
        <v>-3.1801858735132953</v>
      </c>
      <c r="T27" s="257"/>
      <c r="U27" s="58"/>
    </row>
    <row r="28" spans="1:21" x14ac:dyDescent="0.25">
      <c r="A28" s="82">
        <f>'A) Base RI'!A29</f>
        <v>5428</v>
      </c>
      <c r="B28" s="95" t="str">
        <f>'A) Base RI'!B29</f>
        <v>Gimel</v>
      </c>
      <c r="C28" s="266">
        <v>1014041.0106760913</v>
      </c>
      <c r="D28" s="267">
        <v>78077.852905784035</v>
      </c>
      <c r="E28" s="268">
        <v>0</v>
      </c>
      <c r="F28" s="267">
        <v>0</v>
      </c>
      <c r="G28" s="267">
        <v>0</v>
      </c>
      <c r="H28" s="269">
        <f t="shared" si="1"/>
        <v>1092118.8635818753</v>
      </c>
      <c r="I28" s="353">
        <v>55769.693496503496</v>
      </c>
      <c r="J28" s="158">
        <f>'B) D RI'!U29</f>
        <v>54244.883403263411</v>
      </c>
      <c r="K28" s="115">
        <f t="shared" si="2"/>
        <v>19.582658521340917</v>
      </c>
      <c r="L28" s="63">
        <f>'B) D RI'!S29</f>
        <v>71.5</v>
      </c>
      <c r="M28" s="63">
        <f t="shared" si="3"/>
        <v>51.917341478659083</v>
      </c>
      <c r="N28" s="223">
        <f>'J) Plafonnement effort'!G27+'J) Plafonnement effort'!H27-'K) Plafonnement aide'!I27</f>
        <v>13.051564411828725</v>
      </c>
      <c r="O28" s="223">
        <f t="shared" si="4"/>
        <v>64.968905890487804</v>
      </c>
      <c r="P28" s="80">
        <f t="shared" si="0"/>
        <v>0</v>
      </c>
      <c r="Q28" s="98">
        <f t="shared" si="5"/>
        <v>0</v>
      </c>
      <c r="R28" s="258">
        <f t="shared" si="6"/>
        <v>64.968905890487804</v>
      </c>
      <c r="S28" s="223">
        <f t="shared" si="7"/>
        <v>-6.5310941095121962</v>
      </c>
      <c r="T28" s="257"/>
      <c r="U28" s="58"/>
    </row>
    <row r="29" spans="1:21" x14ac:dyDescent="0.25">
      <c r="A29" s="82">
        <f>'A) Base RI'!A30</f>
        <v>5429</v>
      </c>
      <c r="B29" s="95" t="str">
        <f>'A) Base RI'!B30</f>
        <v>Longirod</v>
      </c>
      <c r="C29" s="266">
        <v>228242.14840193489</v>
      </c>
      <c r="D29" s="267">
        <v>63933.170875319862</v>
      </c>
      <c r="E29" s="268">
        <v>0</v>
      </c>
      <c r="F29" s="267">
        <v>0</v>
      </c>
      <c r="G29" s="267">
        <v>0</v>
      </c>
      <c r="H29" s="269">
        <f t="shared" si="1"/>
        <v>292175.31927725475</v>
      </c>
      <c r="I29" s="353">
        <v>13527.040246913581</v>
      </c>
      <c r="J29" s="158">
        <f>'B) D RI'!U30</f>
        <v>14621.746419753083</v>
      </c>
      <c r="K29" s="115">
        <f t="shared" si="2"/>
        <v>21.599353143339645</v>
      </c>
      <c r="L29" s="63">
        <f>'B) D RI'!S30</f>
        <v>81</v>
      </c>
      <c r="M29" s="63">
        <f t="shared" si="3"/>
        <v>59.400646856660359</v>
      </c>
      <c r="N29" s="223">
        <f>'J) Plafonnement effort'!G28+'J) Plafonnement effort'!H28-'K) Plafonnement aide'!I28</f>
        <v>20.062460828809773</v>
      </c>
      <c r="O29" s="223">
        <f t="shared" si="4"/>
        <v>79.463107685470135</v>
      </c>
      <c r="P29" s="80">
        <f t="shared" si="0"/>
        <v>0</v>
      </c>
      <c r="Q29" s="98">
        <f t="shared" si="5"/>
        <v>0</v>
      </c>
      <c r="R29" s="258">
        <f t="shared" si="6"/>
        <v>79.463107685470135</v>
      </c>
      <c r="S29" s="223">
        <f t="shared" si="7"/>
        <v>-1.5368923145298652</v>
      </c>
      <c r="T29" s="257"/>
      <c r="U29" s="58"/>
    </row>
    <row r="30" spans="1:21" x14ac:dyDescent="0.25">
      <c r="A30" s="82">
        <f>'A) Base RI'!A31</f>
        <v>5430</v>
      </c>
      <c r="B30" s="95" t="str">
        <f>'A) Base RI'!B31</f>
        <v>Marchissy</v>
      </c>
      <c r="C30" s="266">
        <v>226813.95711506341</v>
      </c>
      <c r="D30" s="267">
        <v>108356.00980551599</v>
      </c>
      <c r="E30" s="268">
        <v>0</v>
      </c>
      <c r="F30" s="267">
        <v>0</v>
      </c>
      <c r="G30" s="267">
        <v>0</v>
      </c>
      <c r="H30" s="269">
        <f t="shared" si="1"/>
        <v>335169.96692057943</v>
      </c>
      <c r="I30" s="353">
        <v>14728.213333333331</v>
      </c>
      <c r="J30" s="158">
        <f>'B) D RI'!U31</f>
        <v>13069.378271604934</v>
      </c>
      <c r="K30" s="115">
        <f t="shared" si="2"/>
        <v>22.757001092726757</v>
      </c>
      <c r="L30" s="63">
        <f>'B) D RI'!S31</f>
        <v>81</v>
      </c>
      <c r="M30" s="63">
        <f t="shared" si="3"/>
        <v>58.242998907273247</v>
      </c>
      <c r="N30" s="223">
        <f>'J) Plafonnement effort'!G29+'J) Plafonnement effort'!H29-'K) Plafonnement aide'!I29</f>
        <v>-0.67425434323830302</v>
      </c>
      <c r="O30" s="223">
        <f t="shared" si="4"/>
        <v>57.568744564034944</v>
      </c>
      <c r="P30" s="80">
        <f t="shared" si="0"/>
        <v>0</v>
      </c>
      <c r="Q30" s="98">
        <f t="shared" si="5"/>
        <v>0</v>
      </c>
      <c r="R30" s="258">
        <f t="shared" si="6"/>
        <v>57.568744564034944</v>
      </c>
      <c r="S30" s="223">
        <f t="shared" si="7"/>
        <v>-23.431255435965056</v>
      </c>
      <c r="T30" s="257"/>
      <c r="U30" s="58"/>
    </row>
    <row r="31" spans="1:21" x14ac:dyDescent="0.25">
      <c r="A31" s="82">
        <f>'A) Base RI'!A32</f>
        <v>5431</v>
      </c>
      <c r="B31" s="95" t="str">
        <f>'A) Base RI'!B32</f>
        <v>Mollens</v>
      </c>
      <c r="C31" s="266">
        <v>150704.44991553048</v>
      </c>
      <c r="D31" s="267">
        <v>45191.273562214978</v>
      </c>
      <c r="E31" s="268">
        <v>0</v>
      </c>
      <c r="F31" s="267">
        <v>0</v>
      </c>
      <c r="G31" s="267">
        <v>0</v>
      </c>
      <c r="H31" s="269">
        <f t="shared" si="1"/>
        <v>195895.72347774546</v>
      </c>
      <c r="I31" s="353">
        <v>8840.7383783783771</v>
      </c>
      <c r="J31" s="158">
        <f>'B) D RI'!U32</f>
        <v>8024.3136486486483</v>
      </c>
      <c r="K31" s="115">
        <f t="shared" si="2"/>
        <v>22.158298899200982</v>
      </c>
      <c r="L31" s="63">
        <f>'B) D RI'!S32</f>
        <v>74</v>
      </c>
      <c r="M31" s="63">
        <f t="shared" si="3"/>
        <v>51.841701100799014</v>
      </c>
      <c r="N31" s="223">
        <f>'J) Plafonnement effort'!G30+'J) Plafonnement effort'!H30-'K) Plafonnement aide'!I30</f>
        <v>18.47021693212638</v>
      </c>
      <c r="O31" s="223">
        <f t="shared" si="4"/>
        <v>70.311918032925391</v>
      </c>
      <c r="P31" s="80">
        <f t="shared" si="0"/>
        <v>0</v>
      </c>
      <c r="Q31" s="98">
        <f t="shared" si="5"/>
        <v>0</v>
      </c>
      <c r="R31" s="258">
        <f t="shared" si="6"/>
        <v>70.311918032925391</v>
      </c>
      <c r="S31" s="223">
        <f t="shared" si="7"/>
        <v>-3.6880819670746092</v>
      </c>
      <c r="T31" s="257"/>
    </row>
    <row r="32" spans="1:21" x14ac:dyDescent="0.25">
      <c r="A32" s="82">
        <f>'A) Base RI'!A33</f>
        <v>5432</v>
      </c>
      <c r="B32" s="95" t="str">
        <f>'A) Base RI'!B33</f>
        <v>Montherod</v>
      </c>
      <c r="C32" s="266">
        <v>287322.99549551285</v>
      </c>
      <c r="D32" s="267">
        <v>323338.69764207694</v>
      </c>
      <c r="E32" s="268">
        <v>0</v>
      </c>
      <c r="F32" s="267">
        <v>0</v>
      </c>
      <c r="G32" s="267">
        <v>0</v>
      </c>
      <c r="H32" s="269">
        <f t="shared" si="1"/>
        <v>610661.69313758984</v>
      </c>
      <c r="I32" s="353">
        <v>20945.554722222223</v>
      </c>
      <c r="J32" s="158">
        <f>'B) D RI'!U33</f>
        <v>17799.430540540543</v>
      </c>
      <c r="K32" s="115">
        <f t="shared" si="2"/>
        <v>29.154715701547271</v>
      </c>
      <c r="L32" s="63">
        <f>'B) D RI'!S33</f>
        <v>74</v>
      </c>
      <c r="M32" s="63">
        <f t="shared" si="3"/>
        <v>44.845284298452725</v>
      </c>
      <c r="N32" s="223">
        <f>'J) Plafonnement effort'!G31+'J) Plafonnement effort'!H31-'K) Plafonnement aide'!I31</f>
        <v>28.225209074515053</v>
      </c>
      <c r="O32" s="223">
        <f t="shared" si="4"/>
        <v>73.070493372967775</v>
      </c>
      <c r="P32" s="80">
        <f t="shared" si="0"/>
        <v>0</v>
      </c>
      <c r="Q32" s="98">
        <f t="shared" si="5"/>
        <v>0</v>
      </c>
      <c r="R32" s="258">
        <f t="shared" si="6"/>
        <v>73.070493372967775</v>
      </c>
      <c r="S32" s="223">
        <f t="shared" si="7"/>
        <v>-0.9295066270322252</v>
      </c>
      <c r="T32" s="257"/>
    </row>
    <row r="33" spans="1:20" x14ac:dyDescent="0.25">
      <c r="A33" s="82">
        <f>'A) Base RI'!A34</f>
        <v>5434</v>
      </c>
      <c r="B33" s="95" t="str">
        <f>'A) Base RI'!B34</f>
        <v>Saint-George</v>
      </c>
      <c r="C33" s="266">
        <v>498017.32290477358</v>
      </c>
      <c r="D33" s="267">
        <v>345788.46935385687</v>
      </c>
      <c r="E33" s="268">
        <v>0</v>
      </c>
      <c r="F33" s="267">
        <v>0</v>
      </c>
      <c r="G33" s="267">
        <v>0</v>
      </c>
      <c r="H33" s="269">
        <f t="shared" si="1"/>
        <v>843805.79225863051</v>
      </c>
      <c r="I33" s="353">
        <v>32873.320303030305</v>
      </c>
      <c r="J33" s="158">
        <f>'B) D RI'!U34</f>
        <v>35135.099562043797</v>
      </c>
      <c r="K33" s="115">
        <f t="shared" si="2"/>
        <v>25.66840782982446</v>
      </c>
      <c r="L33" s="63">
        <f>'B) D RI'!S34</f>
        <v>68.5</v>
      </c>
      <c r="M33" s="63">
        <f t="shared" si="3"/>
        <v>42.83159217017554</v>
      </c>
      <c r="N33" s="223">
        <f>'J) Plafonnement effort'!G32+'J) Plafonnement effort'!H32-'K) Plafonnement aide'!I32</f>
        <v>31.091234344282853</v>
      </c>
      <c r="O33" s="223">
        <f t="shared" si="4"/>
        <v>73.922826514458393</v>
      </c>
      <c r="P33" s="80">
        <f t="shared" si="0"/>
        <v>0</v>
      </c>
      <c r="Q33" s="98">
        <f t="shared" si="5"/>
        <v>0</v>
      </c>
      <c r="R33" s="258">
        <f t="shared" si="6"/>
        <v>73.922826514458393</v>
      </c>
      <c r="S33" s="223">
        <f t="shared" si="7"/>
        <v>5.4228265144583929</v>
      </c>
      <c r="T33" s="257"/>
    </row>
    <row r="34" spans="1:20" x14ac:dyDescent="0.25">
      <c r="A34" s="82">
        <f>'A) Base RI'!A35</f>
        <v>5435</v>
      </c>
      <c r="B34" s="95" t="str">
        <f>'A) Base RI'!B35</f>
        <v>Saint-Livres</v>
      </c>
      <c r="C34" s="266">
        <v>326297.91528377729</v>
      </c>
      <c r="D34" s="267">
        <v>198917.20753780426</v>
      </c>
      <c r="E34" s="268">
        <v>0</v>
      </c>
      <c r="F34" s="267">
        <v>0</v>
      </c>
      <c r="G34" s="267">
        <v>0</v>
      </c>
      <c r="H34" s="269">
        <f t="shared" si="1"/>
        <v>525215.12282158155</v>
      </c>
      <c r="I34" s="353">
        <v>22797.862142857146</v>
      </c>
      <c r="J34" s="158">
        <f>'B) D RI'!U35</f>
        <v>21558.748985507245</v>
      </c>
      <c r="K34" s="115">
        <f t="shared" si="2"/>
        <v>23.037911165987904</v>
      </c>
      <c r="L34" s="63">
        <f>'B) D RI'!S35</f>
        <v>69</v>
      </c>
      <c r="M34" s="63">
        <f t="shared" si="3"/>
        <v>45.962088834012093</v>
      </c>
      <c r="N34" s="223">
        <f>'J) Plafonnement effort'!G33+'J) Plafonnement effort'!H33-'K) Plafonnement aide'!I33</f>
        <v>21.527429619105568</v>
      </c>
      <c r="O34" s="223">
        <f t="shared" si="4"/>
        <v>67.489518453117654</v>
      </c>
      <c r="P34" s="80">
        <f t="shared" si="0"/>
        <v>0</v>
      </c>
      <c r="Q34" s="98">
        <f t="shared" si="5"/>
        <v>0</v>
      </c>
      <c r="R34" s="258">
        <f t="shared" si="6"/>
        <v>67.489518453117654</v>
      </c>
      <c r="S34" s="223">
        <f t="shared" si="7"/>
        <v>-1.510481546882346</v>
      </c>
      <c r="T34" s="257"/>
    </row>
    <row r="35" spans="1:20" x14ac:dyDescent="0.25">
      <c r="A35" s="82">
        <f>'A) Base RI'!A36</f>
        <v>5436</v>
      </c>
      <c r="B35" s="95" t="str">
        <f>'A) Base RI'!B36</f>
        <v>Saint-Oyens</v>
      </c>
      <c r="C35" s="266">
        <v>147651.20322072136</v>
      </c>
      <c r="D35" s="267">
        <v>-5442.62166792879</v>
      </c>
      <c r="E35" s="268">
        <v>0</v>
      </c>
      <c r="F35" s="267">
        <v>0</v>
      </c>
      <c r="G35" s="267">
        <v>0</v>
      </c>
      <c r="H35" s="269">
        <f t="shared" si="1"/>
        <v>142208.58155279257</v>
      </c>
      <c r="I35" s="353">
        <v>8762.1791049382718</v>
      </c>
      <c r="J35" s="158">
        <f>'B) D RI'!U36</f>
        <v>11369.478086419756</v>
      </c>
      <c r="K35" s="115">
        <f t="shared" si="2"/>
        <v>16.229819072363554</v>
      </c>
      <c r="L35" s="63">
        <f>'B) D RI'!S36</f>
        <v>81</v>
      </c>
      <c r="M35" s="63">
        <f t="shared" si="3"/>
        <v>64.770180927636446</v>
      </c>
      <c r="N35" s="223">
        <f>'J) Plafonnement effort'!G34+'J) Plafonnement effort'!H34-'K) Plafonnement aide'!I34</f>
        <v>8.4119188816065424</v>
      </c>
      <c r="O35" s="223">
        <f t="shared" si="4"/>
        <v>73.182099809242985</v>
      </c>
      <c r="P35" s="80">
        <f t="shared" si="0"/>
        <v>0</v>
      </c>
      <c r="Q35" s="98">
        <f t="shared" si="5"/>
        <v>0</v>
      </c>
      <c r="R35" s="258">
        <f t="shared" si="6"/>
        <v>73.182099809242985</v>
      </c>
      <c r="S35" s="223">
        <f t="shared" si="7"/>
        <v>-7.8179001907570154</v>
      </c>
      <c r="T35" s="257"/>
    </row>
    <row r="36" spans="1:20" x14ac:dyDescent="0.25">
      <c r="A36" s="82">
        <f>'A) Base RI'!A37</f>
        <v>5437</v>
      </c>
      <c r="B36" s="95" t="str">
        <f>'A) Base RI'!B37</f>
        <v>Saubraz</v>
      </c>
      <c r="C36" s="266">
        <v>123689.35645604439</v>
      </c>
      <c r="D36" s="267">
        <v>-108644.6167535031</v>
      </c>
      <c r="E36" s="268">
        <v>0</v>
      </c>
      <c r="F36" s="267">
        <v>0</v>
      </c>
      <c r="G36" s="267">
        <v>0</v>
      </c>
      <c r="H36" s="269">
        <f t="shared" si="1"/>
        <v>15044.739702541294</v>
      </c>
      <c r="I36" s="353">
        <v>7980.5457831325302</v>
      </c>
      <c r="J36" s="158">
        <f>'B) D RI'!U37</f>
        <v>8208.7877108433731</v>
      </c>
      <c r="K36" s="115">
        <f t="shared" si="2"/>
        <v>1.8851767925872258</v>
      </c>
      <c r="L36" s="63">
        <f>'B) D RI'!S37</f>
        <v>83</v>
      </c>
      <c r="M36" s="63">
        <f t="shared" si="3"/>
        <v>81.114823207412769</v>
      </c>
      <c r="N36" s="223">
        <f>'J) Plafonnement effort'!G35+'J) Plafonnement effort'!H35-'K) Plafonnement aide'!I35</f>
        <v>-0.88790246639166881</v>
      </c>
      <c r="O36" s="223">
        <f t="shared" si="4"/>
        <v>80.226920741021104</v>
      </c>
      <c r="P36" s="80">
        <f t="shared" si="0"/>
        <v>0</v>
      </c>
      <c r="Q36" s="98">
        <f t="shared" si="5"/>
        <v>0</v>
      </c>
      <c r="R36" s="258">
        <f t="shared" si="6"/>
        <v>80.226920741021104</v>
      </c>
      <c r="S36" s="223">
        <f t="shared" si="7"/>
        <v>-2.7730792589788962</v>
      </c>
      <c r="T36" s="257"/>
    </row>
    <row r="37" spans="1:20" x14ac:dyDescent="0.25">
      <c r="A37" s="82">
        <f>'A) Base RI'!A38</f>
        <v>5451</v>
      </c>
      <c r="B37" s="95" t="str">
        <f>'A) Base RI'!B38</f>
        <v>Avenches</v>
      </c>
      <c r="C37" s="266">
        <v>1619719.3489674807</v>
      </c>
      <c r="D37" s="267">
        <v>-734218.85828266945</v>
      </c>
      <c r="E37" s="268">
        <v>0</v>
      </c>
      <c r="F37" s="267">
        <v>0</v>
      </c>
      <c r="G37" s="267">
        <v>0</v>
      </c>
      <c r="H37" s="269">
        <f t="shared" si="1"/>
        <v>885500.49068481126</v>
      </c>
      <c r="I37" s="353">
        <v>96412.037303921548</v>
      </c>
      <c r="J37" s="158">
        <f>'B) D RI'!U38</f>
        <v>103750.47926470588</v>
      </c>
      <c r="K37" s="115">
        <f t="shared" si="2"/>
        <v>9.1845428791576182</v>
      </c>
      <c r="L37" s="63">
        <f>'B) D RI'!S38</f>
        <v>68</v>
      </c>
      <c r="M37" s="63">
        <f t="shared" si="3"/>
        <v>58.815457120842382</v>
      </c>
      <c r="N37" s="223">
        <f>'J) Plafonnement effort'!G36+'J) Plafonnement effort'!H36-'K) Plafonnement aide'!I36</f>
        <v>-2.0958086231848405</v>
      </c>
      <c r="O37" s="223">
        <f t="shared" si="4"/>
        <v>56.719648497657545</v>
      </c>
      <c r="P37" s="80">
        <f t="shared" si="0"/>
        <v>0</v>
      </c>
      <c r="Q37" s="98">
        <f t="shared" si="5"/>
        <v>0</v>
      </c>
      <c r="R37" s="258">
        <f t="shared" si="6"/>
        <v>56.719648497657545</v>
      </c>
      <c r="S37" s="223">
        <f t="shared" si="7"/>
        <v>-11.280351502342455</v>
      </c>
      <c r="T37" s="257"/>
    </row>
    <row r="38" spans="1:20" x14ac:dyDescent="0.25">
      <c r="A38" s="82">
        <f>'A) Base RI'!A39</f>
        <v>5456</v>
      </c>
      <c r="B38" s="95" t="str">
        <f>'A) Base RI'!B39</f>
        <v>Cudrefin</v>
      </c>
      <c r="C38" s="266">
        <v>730958.12222175824</v>
      </c>
      <c r="D38" s="267">
        <v>322881.97640814818</v>
      </c>
      <c r="E38" s="268">
        <v>0</v>
      </c>
      <c r="F38" s="267">
        <v>0</v>
      </c>
      <c r="G38" s="267">
        <v>0</v>
      </c>
      <c r="H38" s="269">
        <f t="shared" si="1"/>
        <v>1053840.0986299063</v>
      </c>
      <c r="I38" s="353">
        <v>43732.208484848488</v>
      </c>
      <c r="J38" s="158">
        <f>'B) D RI'!U39</f>
        <v>45260.404011299433</v>
      </c>
      <c r="K38" s="115">
        <f t="shared" si="2"/>
        <v>24.097573279314741</v>
      </c>
      <c r="L38" s="63">
        <f>'B) D RI'!S39</f>
        <v>59</v>
      </c>
      <c r="M38" s="63">
        <f t="shared" si="3"/>
        <v>34.902426720685256</v>
      </c>
      <c r="N38" s="223">
        <f>'J) Plafonnement effort'!G37+'J) Plafonnement effort'!H37-'K) Plafonnement aide'!I37</f>
        <v>20.266012165393235</v>
      </c>
      <c r="O38" s="223">
        <f t="shared" si="4"/>
        <v>55.168438886078491</v>
      </c>
      <c r="P38" s="80">
        <f t="shared" si="0"/>
        <v>0</v>
      </c>
      <c r="Q38" s="98">
        <f t="shared" si="5"/>
        <v>0</v>
      </c>
      <c r="R38" s="258">
        <f t="shared" si="6"/>
        <v>55.168438886078491</v>
      </c>
      <c r="S38" s="223">
        <f t="shared" si="7"/>
        <v>-3.8315611139215093</v>
      </c>
      <c r="T38" s="257"/>
    </row>
    <row r="39" spans="1:20" x14ac:dyDescent="0.25">
      <c r="A39" s="82">
        <f>'A) Base RI'!A40</f>
        <v>5458</v>
      </c>
      <c r="B39" s="95" t="str">
        <f>'A) Base RI'!B40</f>
        <v>Faoug</v>
      </c>
      <c r="C39" s="266">
        <v>481971.02167958982</v>
      </c>
      <c r="D39" s="267">
        <v>436242.15196322824</v>
      </c>
      <c r="E39" s="268">
        <v>0</v>
      </c>
      <c r="F39" s="267">
        <v>0</v>
      </c>
      <c r="G39" s="267">
        <v>0</v>
      </c>
      <c r="H39" s="269">
        <f t="shared" si="1"/>
        <v>918213.17364281812</v>
      </c>
      <c r="I39" s="353">
        <v>31282.087049180325</v>
      </c>
      <c r="J39" s="158">
        <f>'B) D RI'!U40</f>
        <v>26731.83262295082</v>
      </c>
      <c r="K39" s="115">
        <f t="shared" si="2"/>
        <v>29.352682645478342</v>
      </c>
      <c r="L39" s="63">
        <f>'B) D RI'!S40</f>
        <v>61</v>
      </c>
      <c r="M39" s="63">
        <f t="shared" si="3"/>
        <v>31.647317354521658</v>
      </c>
      <c r="N39" s="223">
        <f>'J) Plafonnement effort'!G38+'J) Plafonnement effort'!H38-'K) Plafonnement aide'!I38</f>
        <v>27.095369666562547</v>
      </c>
      <c r="O39" s="223">
        <f t="shared" si="4"/>
        <v>58.742687021084208</v>
      </c>
      <c r="P39" s="80">
        <f t="shared" si="0"/>
        <v>0</v>
      </c>
      <c r="Q39" s="98">
        <f t="shared" si="5"/>
        <v>0</v>
      </c>
      <c r="R39" s="258">
        <f t="shared" si="6"/>
        <v>58.742687021084208</v>
      </c>
      <c r="S39" s="223">
        <f t="shared" si="7"/>
        <v>-2.2573129789157917</v>
      </c>
      <c r="T39" s="257"/>
    </row>
    <row r="40" spans="1:20" x14ac:dyDescent="0.25">
      <c r="A40" s="82">
        <f>'A) Base RI'!A41</f>
        <v>5464</v>
      </c>
      <c r="B40" s="95" t="str">
        <f>'A) Base RI'!B41</f>
        <v>Vully-les-Lacs</v>
      </c>
      <c r="C40" s="266">
        <v>1590247.9337059623</v>
      </c>
      <c r="D40" s="267">
        <v>380779.18640117254</v>
      </c>
      <c r="E40" s="268">
        <v>0</v>
      </c>
      <c r="F40" s="267">
        <v>0</v>
      </c>
      <c r="G40" s="267">
        <v>0</v>
      </c>
      <c r="H40" s="269">
        <f t="shared" si="1"/>
        <v>1971027.1201071348</v>
      </c>
      <c r="I40" s="353">
        <v>86430.407213930361</v>
      </c>
      <c r="J40" s="158">
        <f>'B) D RI'!U41</f>
        <v>91629.911044776149</v>
      </c>
      <c r="K40" s="115">
        <f t="shared" si="2"/>
        <v>22.804788079136294</v>
      </c>
      <c r="L40" s="63">
        <f>'B) D RI'!S41</f>
        <v>67</v>
      </c>
      <c r="M40" s="63">
        <f t="shared" si="3"/>
        <v>44.195211920863706</v>
      </c>
      <c r="N40" s="223">
        <f>'J) Plafonnement effort'!G39+'J) Plafonnement effort'!H39-'K) Plafonnement aide'!I39</f>
        <v>14.964011320330403</v>
      </c>
      <c r="O40" s="223">
        <f t="shared" si="4"/>
        <v>59.159223241194113</v>
      </c>
      <c r="P40" s="80">
        <f t="shared" si="0"/>
        <v>0</v>
      </c>
      <c r="Q40" s="98">
        <f t="shared" si="5"/>
        <v>0</v>
      </c>
      <c r="R40" s="258">
        <f t="shared" si="6"/>
        <v>59.159223241194113</v>
      </c>
      <c r="S40" s="223">
        <f t="shared" si="7"/>
        <v>-7.8407767588058874</v>
      </c>
      <c r="T40" s="257"/>
    </row>
    <row r="41" spans="1:20" x14ac:dyDescent="0.25">
      <c r="A41" s="82">
        <f>'A) Base RI'!A42</f>
        <v>5471</v>
      </c>
      <c r="B41" s="95" t="str">
        <f>'A) Base RI'!B42</f>
        <v>Bettens</v>
      </c>
      <c r="C41" s="266">
        <v>299984.30032806407</v>
      </c>
      <c r="D41" s="267">
        <v>163494.79388917115</v>
      </c>
      <c r="E41" s="268">
        <v>0</v>
      </c>
      <c r="F41" s="267">
        <v>0</v>
      </c>
      <c r="G41" s="267">
        <v>0</v>
      </c>
      <c r="H41" s="269">
        <f t="shared" si="1"/>
        <v>463479.09421723522</v>
      </c>
      <c r="I41" s="353">
        <v>15345.500015873013</v>
      </c>
      <c r="J41" s="158">
        <f>'B) D RI'!U42</f>
        <v>18668.279507936502</v>
      </c>
      <c r="K41" s="115">
        <f t="shared" si="2"/>
        <v>30.202932047689792</v>
      </c>
      <c r="L41" s="63">
        <f>'B) D RI'!S42</f>
        <v>70</v>
      </c>
      <c r="M41" s="63">
        <f t="shared" si="3"/>
        <v>39.797067952310208</v>
      </c>
      <c r="N41" s="223">
        <f>'J) Plafonnement effort'!G40+'J) Plafonnement effort'!H40-'K) Plafonnement aide'!I40</f>
        <v>32.587068613433843</v>
      </c>
      <c r="O41" s="223">
        <f t="shared" si="4"/>
        <v>72.384136565744058</v>
      </c>
      <c r="P41" s="80">
        <f t="shared" si="0"/>
        <v>0</v>
      </c>
      <c r="Q41" s="98">
        <f t="shared" si="5"/>
        <v>0</v>
      </c>
      <c r="R41" s="258">
        <f t="shared" si="6"/>
        <v>72.384136565744058</v>
      </c>
      <c r="S41" s="223">
        <f t="shared" si="7"/>
        <v>2.3841365657440576</v>
      </c>
      <c r="T41" s="257"/>
    </row>
    <row r="42" spans="1:20" x14ac:dyDescent="0.25">
      <c r="A42" s="82">
        <f>'A) Base RI'!A43</f>
        <v>5472</v>
      </c>
      <c r="B42" s="95" t="str">
        <f>'A) Base RI'!B43</f>
        <v>Bournens</v>
      </c>
      <c r="C42" s="266">
        <v>227246.02937390073</v>
      </c>
      <c r="D42" s="267">
        <v>237238.0967355</v>
      </c>
      <c r="E42" s="268">
        <v>0</v>
      </c>
      <c r="F42" s="267">
        <v>0</v>
      </c>
      <c r="G42" s="267">
        <v>0</v>
      </c>
      <c r="H42" s="269">
        <f t="shared" si="1"/>
        <v>464484.12610940076</v>
      </c>
      <c r="I42" s="353">
        <v>14724.092125000001</v>
      </c>
      <c r="J42" s="158">
        <f>'B) D RI'!U43</f>
        <v>12834.669250000001</v>
      </c>
      <c r="K42" s="115">
        <f t="shared" si="2"/>
        <v>31.545858458787709</v>
      </c>
      <c r="L42" s="63">
        <f>'B) D RI'!S43</f>
        <v>80</v>
      </c>
      <c r="M42" s="63">
        <f t="shared" si="3"/>
        <v>48.454141541212294</v>
      </c>
      <c r="N42" s="223">
        <f>'J) Plafonnement effort'!G41+'J) Plafonnement effort'!H41-'K) Plafonnement aide'!I41</f>
        <v>24.333704107385341</v>
      </c>
      <c r="O42" s="223">
        <f t="shared" si="4"/>
        <v>72.787845648597639</v>
      </c>
      <c r="P42" s="80">
        <f t="shared" si="0"/>
        <v>0</v>
      </c>
      <c r="Q42" s="98">
        <f t="shared" si="5"/>
        <v>0</v>
      </c>
      <c r="R42" s="258">
        <f t="shared" si="6"/>
        <v>72.787845648597639</v>
      </c>
      <c r="S42" s="223">
        <f t="shared" si="7"/>
        <v>-7.2121543514023614</v>
      </c>
      <c r="T42" s="257"/>
    </row>
    <row r="43" spans="1:20" x14ac:dyDescent="0.25">
      <c r="A43" s="82">
        <f>'A) Base RI'!A44</f>
        <v>5473</v>
      </c>
      <c r="B43" s="95" t="str">
        <f>'A) Base RI'!B44</f>
        <v>Boussens</v>
      </c>
      <c r="C43" s="266">
        <v>477318.83286977542</v>
      </c>
      <c r="D43" s="267">
        <v>340758.08956955094</v>
      </c>
      <c r="E43" s="268">
        <v>0</v>
      </c>
      <c r="F43" s="267">
        <v>0</v>
      </c>
      <c r="G43" s="267">
        <v>0</v>
      </c>
      <c r="H43" s="269">
        <f t="shared" si="1"/>
        <v>818076.9224393263</v>
      </c>
      <c r="I43" s="353">
        <v>32045.823188405793</v>
      </c>
      <c r="J43" s="158">
        <f>'B) D RI'!U44</f>
        <v>32904.507681159426</v>
      </c>
      <c r="K43" s="115">
        <f t="shared" si="2"/>
        <v>25.528347879523572</v>
      </c>
      <c r="L43" s="63">
        <f>'B) D RI'!S44</f>
        <v>69</v>
      </c>
      <c r="M43" s="63">
        <f t="shared" si="3"/>
        <v>43.471652120476428</v>
      </c>
      <c r="N43" s="223">
        <f>'J) Plafonnement effort'!G42+'J) Plafonnement effort'!H42-'K) Plafonnement aide'!I42</f>
        <v>27.459230808256258</v>
      </c>
      <c r="O43" s="223">
        <f t="shared" si="4"/>
        <v>70.930882928732686</v>
      </c>
      <c r="P43" s="80">
        <f t="shared" si="0"/>
        <v>0</v>
      </c>
      <c r="Q43" s="98">
        <f t="shared" si="5"/>
        <v>0</v>
      </c>
      <c r="R43" s="258">
        <f t="shared" si="6"/>
        <v>70.930882928732686</v>
      </c>
      <c r="S43" s="223">
        <f t="shared" si="7"/>
        <v>1.9308829287326859</v>
      </c>
      <c r="T43" s="257"/>
    </row>
    <row r="44" spans="1:20" x14ac:dyDescent="0.25">
      <c r="A44" s="82">
        <f>'A) Base RI'!A45</f>
        <v>5474</v>
      </c>
      <c r="B44" s="95" t="str">
        <f>'A) Base RI'!B45</f>
        <v>La Chaux (Cossonay)</v>
      </c>
      <c r="C44" s="266">
        <v>197065.46573389194</v>
      </c>
      <c r="D44" s="267">
        <v>34792.372750687704</v>
      </c>
      <c r="E44" s="268">
        <v>0</v>
      </c>
      <c r="F44" s="267">
        <v>0</v>
      </c>
      <c r="G44" s="267">
        <v>0</v>
      </c>
      <c r="H44" s="269">
        <f t="shared" si="1"/>
        <v>231857.83848457964</v>
      </c>
      <c r="I44" s="353">
        <v>12339.258290043294</v>
      </c>
      <c r="J44" s="158">
        <f>'B) D RI'!U45</f>
        <v>12942.370952380952</v>
      </c>
      <c r="K44" s="115">
        <f t="shared" si="2"/>
        <v>18.790257326217795</v>
      </c>
      <c r="L44" s="63">
        <f>'B) D RI'!S45</f>
        <v>77</v>
      </c>
      <c r="M44" s="63">
        <f t="shared" si="3"/>
        <v>58.209742673782202</v>
      </c>
      <c r="N44" s="223">
        <f>'J) Plafonnement effort'!G43+'J) Plafonnement effort'!H43-'K) Plafonnement aide'!I43</f>
        <v>11.573300582526661</v>
      </c>
      <c r="O44" s="223">
        <f t="shared" si="4"/>
        <v>69.783043256308858</v>
      </c>
      <c r="P44" s="80">
        <f t="shared" si="0"/>
        <v>0</v>
      </c>
      <c r="Q44" s="98">
        <f t="shared" si="5"/>
        <v>0</v>
      </c>
      <c r="R44" s="258">
        <f t="shared" si="6"/>
        <v>69.783043256308858</v>
      </c>
      <c r="S44" s="223">
        <f t="shared" si="7"/>
        <v>-7.2169567436911422</v>
      </c>
      <c r="T44" s="257"/>
    </row>
    <row r="45" spans="1:20" x14ac:dyDescent="0.25">
      <c r="A45" s="82">
        <f>'A) Base RI'!A46</f>
        <v>5475</v>
      </c>
      <c r="B45" s="95" t="str">
        <f>'A) Base RI'!B46</f>
        <v>Chavannes-le-Veyron</v>
      </c>
      <c r="C45" s="266">
        <v>48098.14341509583</v>
      </c>
      <c r="D45" s="267">
        <v>6786.2151897012081</v>
      </c>
      <c r="E45" s="268">
        <v>0</v>
      </c>
      <c r="F45" s="267">
        <v>0</v>
      </c>
      <c r="G45" s="267">
        <v>0</v>
      </c>
      <c r="H45" s="269">
        <f t="shared" si="1"/>
        <v>54884.358604797038</v>
      </c>
      <c r="I45" s="353">
        <v>3627.7659740259737</v>
      </c>
      <c r="J45" s="158">
        <f>'B) D RI'!U46</f>
        <v>2876.9510389610391</v>
      </c>
      <c r="K45" s="115">
        <f t="shared" si="2"/>
        <v>15.12896890200671</v>
      </c>
      <c r="L45" s="63">
        <f>'B) D RI'!S46</f>
        <v>77</v>
      </c>
      <c r="M45" s="63">
        <f t="shared" si="3"/>
        <v>61.871031097993288</v>
      </c>
      <c r="N45" s="223">
        <f>'J) Plafonnement effort'!G44+'J) Plafonnement effort'!H44-'K) Plafonnement aide'!I44</f>
        <v>2.4169866780664933</v>
      </c>
      <c r="O45" s="223">
        <f t="shared" si="4"/>
        <v>64.288017776059775</v>
      </c>
      <c r="P45" s="80">
        <f t="shared" si="0"/>
        <v>0</v>
      </c>
      <c r="Q45" s="98">
        <f t="shared" si="5"/>
        <v>0</v>
      </c>
      <c r="R45" s="258">
        <f t="shared" si="6"/>
        <v>64.288017776059775</v>
      </c>
      <c r="S45" s="223">
        <f t="shared" si="7"/>
        <v>-12.711982223940225</v>
      </c>
      <c r="T45" s="257"/>
    </row>
    <row r="46" spans="1:20" x14ac:dyDescent="0.25">
      <c r="A46" s="82">
        <f>'A) Base RI'!A47</f>
        <v>5476</v>
      </c>
      <c r="B46" s="95" t="str">
        <f>'A) Base RI'!B47</f>
        <v>Chevilly</v>
      </c>
      <c r="C46" s="266">
        <v>97094.776325961007</v>
      </c>
      <c r="D46" s="267">
        <v>34620.283979980348</v>
      </c>
      <c r="E46" s="268">
        <v>0</v>
      </c>
      <c r="F46" s="267">
        <v>0</v>
      </c>
      <c r="G46" s="267">
        <v>0</v>
      </c>
      <c r="H46" s="269">
        <f t="shared" si="1"/>
        <v>131715.06030594136</v>
      </c>
      <c r="I46" s="353">
        <v>7233.2318309859165</v>
      </c>
      <c r="J46" s="158">
        <f>'B) D RI'!U47</f>
        <v>7286.6650000000009</v>
      </c>
      <c r="K46" s="115">
        <f t="shared" si="2"/>
        <v>18.209710871106989</v>
      </c>
      <c r="L46" s="63">
        <f>'B) D RI'!S47</f>
        <v>74</v>
      </c>
      <c r="M46" s="63">
        <f t="shared" si="3"/>
        <v>55.790289128893008</v>
      </c>
      <c r="N46" s="223">
        <f>'J) Plafonnement effort'!G45+'J) Plafonnement effort'!H45-'K) Plafonnement aide'!I45</f>
        <v>19.840811397230944</v>
      </c>
      <c r="O46" s="223">
        <f t="shared" si="4"/>
        <v>75.631100526123959</v>
      </c>
      <c r="P46" s="80">
        <f t="shared" si="0"/>
        <v>0</v>
      </c>
      <c r="Q46" s="98">
        <f t="shared" si="5"/>
        <v>0</v>
      </c>
      <c r="R46" s="258">
        <f t="shared" si="6"/>
        <v>75.631100526123959</v>
      </c>
      <c r="S46" s="223">
        <f t="shared" si="7"/>
        <v>1.6311005261239586</v>
      </c>
      <c r="T46" s="257"/>
    </row>
    <row r="47" spans="1:20" x14ac:dyDescent="0.25">
      <c r="A47" s="82">
        <f>'A) Base RI'!A48</f>
        <v>5477</v>
      </c>
      <c r="B47" s="95" t="str">
        <f>'A) Base RI'!B48</f>
        <v>Cossonay</v>
      </c>
      <c r="C47" s="266">
        <v>2130751.4689071402</v>
      </c>
      <c r="D47" s="267">
        <v>968238.09919387172</v>
      </c>
      <c r="E47" s="268">
        <v>0</v>
      </c>
      <c r="F47" s="267">
        <v>0</v>
      </c>
      <c r="G47" s="267">
        <v>0</v>
      </c>
      <c r="H47" s="269">
        <f t="shared" si="1"/>
        <v>3098989.5681010121</v>
      </c>
      <c r="I47" s="353">
        <v>132502.97043090643</v>
      </c>
      <c r="J47" s="158">
        <f>'B) D RI'!U48</f>
        <v>125737.979346211</v>
      </c>
      <c r="K47" s="115">
        <f t="shared" si="2"/>
        <v>23.388076191974715</v>
      </c>
      <c r="L47" s="63">
        <f>'B) D RI'!S48</f>
        <v>67.3</v>
      </c>
      <c r="M47" s="63">
        <f t="shared" si="3"/>
        <v>43.911923808025279</v>
      </c>
      <c r="N47" s="223">
        <f>'J) Plafonnement effort'!G46+'J) Plafonnement effort'!H46-'K) Plafonnement aide'!I46</f>
        <v>18.056166236993654</v>
      </c>
      <c r="O47" s="223">
        <f t="shared" si="4"/>
        <v>61.968090045018933</v>
      </c>
      <c r="P47" s="80">
        <f t="shared" si="0"/>
        <v>0</v>
      </c>
      <c r="Q47" s="98">
        <f t="shared" si="5"/>
        <v>0</v>
      </c>
      <c r="R47" s="258">
        <f t="shared" si="6"/>
        <v>61.968090045018933</v>
      </c>
      <c r="S47" s="223">
        <f t="shared" si="7"/>
        <v>-5.3319099549810645</v>
      </c>
      <c r="T47" s="257"/>
    </row>
    <row r="48" spans="1:20" x14ac:dyDescent="0.25">
      <c r="A48" s="82">
        <f>'A) Base RI'!A49</f>
        <v>5478</v>
      </c>
      <c r="B48" s="95" t="str">
        <f>'A) Base RI'!B49</f>
        <v>Cottens</v>
      </c>
      <c r="C48" s="266">
        <v>219345.58106150501</v>
      </c>
      <c r="D48" s="267">
        <v>115134.02927857559</v>
      </c>
      <c r="E48" s="268">
        <v>0</v>
      </c>
      <c r="F48" s="267">
        <v>0</v>
      </c>
      <c r="G48" s="267">
        <v>0</v>
      </c>
      <c r="H48" s="269">
        <f t="shared" si="1"/>
        <v>334479.61034008057</v>
      </c>
      <c r="I48" s="353">
        <v>14609.359855072466</v>
      </c>
      <c r="J48" s="158">
        <f>'B) D RI'!U49</f>
        <v>15613.399583333334</v>
      </c>
      <c r="K48" s="115">
        <f t="shared" si="2"/>
        <v>22.894884762794522</v>
      </c>
      <c r="L48" s="63">
        <f>'B) D RI'!S49</f>
        <v>72</v>
      </c>
      <c r="M48" s="63">
        <f t="shared" si="3"/>
        <v>49.105115237205482</v>
      </c>
      <c r="N48" s="223">
        <f>'J) Plafonnement effort'!G47+'J) Plafonnement effort'!H47-'K) Plafonnement aide'!I47</f>
        <v>25.0835449652023</v>
      </c>
      <c r="O48" s="223">
        <f t="shared" si="4"/>
        <v>74.188660202407789</v>
      </c>
      <c r="P48" s="80">
        <f t="shared" si="0"/>
        <v>0</v>
      </c>
      <c r="Q48" s="98">
        <f t="shared" si="5"/>
        <v>0</v>
      </c>
      <c r="R48" s="258">
        <f t="shared" si="6"/>
        <v>74.188660202407789</v>
      </c>
      <c r="S48" s="223">
        <f t="shared" si="7"/>
        <v>2.1886602024077888</v>
      </c>
      <c r="T48" s="257"/>
    </row>
    <row r="49" spans="1:20" x14ac:dyDescent="0.25">
      <c r="A49" s="82">
        <f>'A) Base RI'!A50</f>
        <v>5479</v>
      </c>
      <c r="B49" s="95" t="str">
        <f>'A) Base RI'!B50</f>
        <v>Cuarnens</v>
      </c>
      <c r="C49" s="266">
        <v>213203.05639701957</v>
      </c>
      <c r="D49" s="267">
        <v>42820.37215716939</v>
      </c>
      <c r="E49" s="268">
        <v>0</v>
      </c>
      <c r="F49" s="267">
        <v>0</v>
      </c>
      <c r="G49" s="267">
        <v>0</v>
      </c>
      <c r="H49" s="269">
        <f t="shared" si="1"/>
        <v>256023.42855418895</v>
      </c>
      <c r="I49" s="353">
        <v>12044.428701298701</v>
      </c>
      <c r="J49" s="158">
        <f>'B) D RI'!U50</f>
        <v>12479.493246753247</v>
      </c>
      <c r="K49" s="115">
        <f t="shared" si="2"/>
        <v>21.256585505511193</v>
      </c>
      <c r="L49" s="63">
        <f>'B) D RI'!S50</f>
        <v>77</v>
      </c>
      <c r="M49" s="63">
        <f t="shared" si="3"/>
        <v>55.743414494488803</v>
      </c>
      <c r="N49" s="223">
        <f>'J) Plafonnement effort'!G48+'J) Plafonnement effort'!H48-'K) Plafonnement aide'!I48</f>
        <v>5.392120060211699</v>
      </c>
      <c r="O49" s="223">
        <f t="shared" si="4"/>
        <v>61.135534554700499</v>
      </c>
      <c r="P49" s="80">
        <f t="shared" si="0"/>
        <v>0</v>
      </c>
      <c r="Q49" s="98">
        <f t="shared" si="5"/>
        <v>0</v>
      </c>
      <c r="R49" s="258">
        <f t="shared" si="6"/>
        <v>61.135534554700499</v>
      </c>
      <c r="S49" s="223">
        <f t="shared" si="7"/>
        <v>-15.864465445299501</v>
      </c>
      <c r="T49" s="257"/>
    </row>
    <row r="50" spans="1:20" x14ac:dyDescent="0.25">
      <c r="A50" s="82">
        <f>'A) Base RI'!A51</f>
        <v>5480</v>
      </c>
      <c r="B50" s="95" t="str">
        <f>'A) Base RI'!B51</f>
        <v>Daillens</v>
      </c>
      <c r="C50" s="266">
        <v>607364.20080720726</v>
      </c>
      <c r="D50" s="267">
        <v>382994.94529314234</v>
      </c>
      <c r="E50" s="268">
        <v>0</v>
      </c>
      <c r="F50" s="267">
        <v>0</v>
      </c>
      <c r="G50" s="267">
        <v>0</v>
      </c>
      <c r="H50" s="269">
        <f t="shared" si="1"/>
        <v>990359.14610034961</v>
      </c>
      <c r="I50" s="353">
        <v>33366.198028169012</v>
      </c>
      <c r="J50" s="158">
        <f>'B) D RI'!U51</f>
        <v>38475.41492957747</v>
      </c>
      <c r="K50" s="115">
        <f t="shared" si="2"/>
        <v>29.68151016979072</v>
      </c>
      <c r="L50" s="63">
        <f>'B) D RI'!S51</f>
        <v>71</v>
      </c>
      <c r="M50" s="63">
        <f t="shared" si="3"/>
        <v>41.31848983020928</v>
      </c>
      <c r="N50" s="223">
        <f>'J) Plafonnement effort'!G49+'J) Plafonnement effort'!H49-'K) Plafonnement aide'!I49</f>
        <v>28.98447243731794</v>
      </c>
      <c r="O50" s="223">
        <f t="shared" si="4"/>
        <v>70.302962267527221</v>
      </c>
      <c r="P50" s="80">
        <f t="shared" si="0"/>
        <v>0</v>
      </c>
      <c r="Q50" s="98">
        <f t="shared" si="5"/>
        <v>0</v>
      </c>
      <c r="R50" s="258">
        <f t="shared" si="6"/>
        <v>70.302962267527221</v>
      </c>
      <c r="S50" s="223">
        <f t="shared" si="7"/>
        <v>-0.69703773247277923</v>
      </c>
      <c r="T50" s="257"/>
    </row>
    <row r="51" spans="1:20" x14ac:dyDescent="0.25">
      <c r="A51" s="82">
        <f>'A) Base RI'!A52</f>
        <v>5481</v>
      </c>
      <c r="B51" s="95" t="str">
        <f>'A) Base RI'!B52</f>
        <v>Dizy</v>
      </c>
      <c r="C51" s="266">
        <v>96934.410653739498</v>
      </c>
      <c r="D51" s="267">
        <v>61315.232713911653</v>
      </c>
      <c r="E51" s="268">
        <v>0</v>
      </c>
      <c r="F51" s="267">
        <v>0</v>
      </c>
      <c r="G51" s="267">
        <v>0</v>
      </c>
      <c r="H51" s="269">
        <f t="shared" si="1"/>
        <v>158249.64336765115</v>
      </c>
      <c r="I51" s="353">
        <v>7281.6897142857151</v>
      </c>
      <c r="J51" s="158">
        <f>'B) D RI'!U52</f>
        <v>8070.2010810810825</v>
      </c>
      <c r="K51" s="115">
        <f t="shared" si="2"/>
        <v>21.732544172705715</v>
      </c>
      <c r="L51" s="63">
        <f>'B) D RI'!S52</f>
        <v>74</v>
      </c>
      <c r="M51" s="63">
        <f t="shared" si="3"/>
        <v>52.267455827294285</v>
      </c>
      <c r="N51" s="223">
        <f>'J) Plafonnement effort'!G50+'J) Plafonnement effort'!H50-'K) Plafonnement aide'!I50</f>
        <v>27.083423703826671</v>
      </c>
      <c r="O51" s="223">
        <f t="shared" si="4"/>
        <v>79.350879531120952</v>
      </c>
      <c r="P51" s="80">
        <f t="shared" si="0"/>
        <v>0</v>
      </c>
      <c r="Q51" s="98">
        <f t="shared" si="5"/>
        <v>0</v>
      </c>
      <c r="R51" s="258">
        <f t="shared" si="6"/>
        <v>79.350879531120952</v>
      </c>
      <c r="S51" s="223">
        <f t="shared" si="7"/>
        <v>5.3508795311209525</v>
      </c>
      <c r="T51" s="257"/>
    </row>
    <row r="52" spans="1:20" x14ac:dyDescent="0.25">
      <c r="A52" s="82">
        <f>'A) Base RI'!A53</f>
        <v>5482</v>
      </c>
      <c r="B52" s="95" t="str">
        <f>'A) Base RI'!B53</f>
        <v>Eclépens</v>
      </c>
      <c r="C52" s="266">
        <v>894190.64514769183</v>
      </c>
      <c r="D52" s="267">
        <v>959668.52404499997</v>
      </c>
      <c r="E52" s="268">
        <v>0</v>
      </c>
      <c r="F52" s="267">
        <v>0</v>
      </c>
      <c r="G52" s="267">
        <v>0</v>
      </c>
      <c r="H52" s="269">
        <f t="shared" si="1"/>
        <v>1853859.1691926918</v>
      </c>
      <c r="I52" s="353">
        <v>58053.744103866498</v>
      </c>
      <c r="J52" s="158">
        <f>'B) D RI'!U53</f>
        <v>68499.201739130425</v>
      </c>
      <c r="K52" s="115">
        <f t="shared" si="2"/>
        <v>31.933498826120001</v>
      </c>
      <c r="L52" s="63">
        <f>'B) D RI'!S53</f>
        <v>46</v>
      </c>
      <c r="M52" s="63">
        <f t="shared" si="3"/>
        <v>14.066501173879999</v>
      </c>
      <c r="N52" s="223">
        <f>'J) Plafonnement effort'!G51+'J) Plafonnement effort'!H51-'K) Plafonnement aide'!I51</f>
        <v>33.654121943207691</v>
      </c>
      <c r="O52" s="223">
        <f t="shared" si="4"/>
        <v>47.72062311708769</v>
      </c>
      <c r="P52" s="80">
        <f t="shared" si="0"/>
        <v>0</v>
      </c>
      <c r="Q52" s="98">
        <f t="shared" si="5"/>
        <v>0</v>
      </c>
      <c r="R52" s="258">
        <f t="shared" si="6"/>
        <v>47.72062311708769</v>
      </c>
      <c r="S52" s="223">
        <f t="shared" si="7"/>
        <v>1.7206231170876904</v>
      </c>
      <c r="T52" s="257"/>
    </row>
    <row r="53" spans="1:20" x14ac:dyDescent="0.25">
      <c r="A53" s="82">
        <f>'A) Base RI'!A54</f>
        <v>5483</v>
      </c>
      <c r="B53" s="95" t="str">
        <f>'A) Base RI'!B54</f>
        <v>Ferreyres</v>
      </c>
      <c r="C53" s="266">
        <v>124523.01265240104</v>
      </c>
      <c r="D53" s="267">
        <v>17178.118327825534</v>
      </c>
      <c r="E53" s="268">
        <v>0</v>
      </c>
      <c r="F53" s="267">
        <v>0</v>
      </c>
      <c r="G53" s="267">
        <v>0</v>
      </c>
      <c r="H53" s="269">
        <f t="shared" si="1"/>
        <v>141701.13098022656</v>
      </c>
      <c r="I53" s="353">
        <v>8625.2417105263139</v>
      </c>
      <c r="J53" s="158">
        <f>'B) D RI'!U54</f>
        <v>10043.857368421051</v>
      </c>
      <c r="K53" s="115">
        <f t="shared" si="2"/>
        <v>16.428656232009519</v>
      </c>
      <c r="L53" s="63">
        <f>'B) D RI'!S54</f>
        <v>76</v>
      </c>
      <c r="M53" s="63">
        <f t="shared" si="3"/>
        <v>59.571343767990484</v>
      </c>
      <c r="N53" s="223">
        <f>'J) Plafonnement effort'!G52+'J) Plafonnement effort'!H52-'K) Plafonnement aide'!I52</f>
        <v>23.274245028017305</v>
      </c>
      <c r="O53" s="223">
        <f t="shared" si="4"/>
        <v>82.845588796007789</v>
      </c>
      <c r="P53" s="80">
        <f t="shared" si="0"/>
        <v>0</v>
      </c>
      <c r="Q53" s="98">
        <f t="shared" si="5"/>
        <v>0</v>
      </c>
      <c r="R53" s="258">
        <f t="shared" si="6"/>
        <v>82.845588796007789</v>
      </c>
      <c r="S53" s="223">
        <f t="shared" si="7"/>
        <v>6.8455887960077888</v>
      </c>
      <c r="T53" s="257"/>
    </row>
    <row r="54" spans="1:20" x14ac:dyDescent="0.25">
      <c r="A54" s="82">
        <f>'A) Base RI'!A55</f>
        <v>5484</v>
      </c>
      <c r="B54" s="95" t="str">
        <f>'A) Base RI'!B55</f>
        <v>Gollion</v>
      </c>
      <c r="C54" s="266">
        <v>551417.3161131104</v>
      </c>
      <c r="D54" s="267">
        <v>41890.935132612474</v>
      </c>
      <c r="E54" s="268">
        <v>0</v>
      </c>
      <c r="F54" s="267">
        <v>0</v>
      </c>
      <c r="G54" s="267">
        <v>0</v>
      </c>
      <c r="H54" s="269">
        <f t="shared" si="1"/>
        <v>593308.25124572287</v>
      </c>
      <c r="I54" s="353">
        <v>21992.347702702704</v>
      </c>
      <c r="J54" s="158">
        <f>'B) D RI'!U55</f>
        <v>24450.824189189188</v>
      </c>
      <c r="K54" s="115">
        <f t="shared" si="2"/>
        <v>26.977940657641089</v>
      </c>
      <c r="L54" s="63">
        <f>'B) D RI'!S55</f>
        <v>74</v>
      </c>
      <c r="M54" s="63">
        <f t="shared" si="3"/>
        <v>47.022059342358915</v>
      </c>
      <c r="N54" s="223">
        <f>'J) Plafonnement effort'!G53+'J) Plafonnement effort'!H53-'K) Plafonnement aide'!I53</f>
        <v>16.908627662726758</v>
      </c>
      <c r="O54" s="223">
        <f t="shared" si="4"/>
        <v>63.930687005085673</v>
      </c>
      <c r="P54" s="80">
        <f t="shared" si="0"/>
        <v>0</v>
      </c>
      <c r="Q54" s="98">
        <f t="shared" si="5"/>
        <v>0</v>
      </c>
      <c r="R54" s="258">
        <f t="shared" si="6"/>
        <v>63.930687005085673</v>
      </c>
      <c r="S54" s="223">
        <f t="shared" si="7"/>
        <v>-10.069312994914327</v>
      </c>
      <c r="T54" s="257"/>
    </row>
    <row r="55" spans="1:20" x14ac:dyDescent="0.25">
      <c r="A55" s="82">
        <f>'A) Base RI'!A56</f>
        <v>5485</v>
      </c>
      <c r="B55" s="95" t="str">
        <f>'A) Base RI'!B56</f>
        <v>Grancy</v>
      </c>
      <c r="C55" s="266">
        <v>314533.55463264434</v>
      </c>
      <c r="D55" s="267">
        <v>337023.35033499997</v>
      </c>
      <c r="E55" s="268">
        <v>0</v>
      </c>
      <c r="F55" s="267">
        <v>0</v>
      </c>
      <c r="G55" s="267">
        <v>0</v>
      </c>
      <c r="H55" s="269">
        <f t="shared" si="1"/>
        <v>651556.90496764425</v>
      </c>
      <c r="I55" s="353">
        <v>20574.010714285716</v>
      </c>
      <c r="J55" s="158">
        <f>'B) D RI'!U56</f>
        <v>18011.997142857144</v>
      </c>
      <c r="K55" s="115">
        <f t="shared" si="2"/>
        <v>31.668929992110431</v>
      </c>
      <c r="L55" s="63">
        <f>'B) D RI'!S56</f>
        <v>70</v>
      </c>
      <c r="M55" s="63">
        <f t="shared" si="3"/>
        <v>38.331070007889565</v>
      </c>
      <c r="N55" s="223">
        <f>'J) Plafonnement effort'!G54+'J) Plafonnement effort'!H54-'K) Plafonnement aide'!I54</f>
        <v>26.927335763065493</v>
      </c>
      <c r="O55" s="223">
        <f t="shared" si="4"/>
        <v>65.258405770955051</v>
      </c>
      <c r="P55" s="80">
        <f t="shared" si="0"/>
        <v>0</v>
      </c>
      <c r="Q55" s="98">
        <f t="shared" si="5"/>
        <v>0</v>
      </c>
      <c r="R55" s="258">
        <f t="shared" si="6"/>
        <v>65.258405770955051</v>
      </c>
      <c r="S55" s="223">
        <f t="shared" si="7"/>
        <v>-4.7415942290449493</v>
      </c>
      <c r="T55" s="257"/>
    </row>
    <row r="56" spans="1:20" x14ac:dyDescent="0.25">
      <c r="A56" s="82">
        <f>'A) Base RI'!A57</f>
        <v>5486</v>
      </c>
      <c r="B56" s="95" t="str">
        <f>'A) Base RI'!B57</f>
        <v>L'Isle</v>
      </c>
      <c r="C56" s="266">
        <v>476759.62924927252</v>
      </c>
      <c r="D56" s="267">
        <v>9023.0633105613524</v>
      </c>
      <c r="E56" s="268">
        <v>0</v>
      </c>
      <c r="F56" s="267">
        <v>0</v>
      </c>
      <c r="G56" s="267">
        <v>0</v>
      </c>
      <c r="H56" s="269">
        <f t="shared" si="1"/>
        <v>485782.69255983387</v>
      </c>
      <c r="I56" s="353">
        <v>26499.53871527778</v>
      </c>
      <c r="J56" s="158">
        <f>'B) D RI'!U57</f>
        <v>26627.790138888886</v>
      </c>
      <c r="K56" s="115">
        <f t="shared" si="2"/>
        <v>18.331741460834017</v>
      </c>
      <c r="L56" s="63">
        <f>'B) D RI'!S57</f>
        <v>72</v>
      </c>
      <c r="M56" s="63">
        <f t="shared" si="3"/>
        <v>53.668258539165983</v>
      </c>
      <c r="N56" s="223">
        <f>'J) Plafonnement effort'!G55+'J) Plafonnement effort'!H55-'K) Plafonnement aide'!I55</f>
        <v>11.669585748903121</v>
      </c>
      <c r="O56" s="223">
        <f t="shared" si="4"/>
        <v>65.337844288069107</v>
      </c>
      <c r="P56" s="80">
        <f t="shared" si="0"/>
        <v>0</v>
      </c>
      <c r="Q56" s="98">
        <f t="shared" si="5"/>
        <v>0</v>
      </c>
      <c r="R56" s="258">
        <f t="shared" si="6"/>
        <v>65.337844288069107</v>
      </c>
      <c r="S56" s="223">
        <f t="shared" si="7"/>
        <v>-6.6621557119308932</v>
      </c>
      <c r="T56" s="257"/>
    </row>
    <row r="57" spans="1:20" x14ac:dyDescent="0.25">
      <c r="A57" s="82">
        <f>'A) Base RI'!A58</f>
        <v>5487</v>
      </c>
      <c r="B57" s="95" t="str">
        <f>'A) Base RI'!B58</f>
        <v>Lussery-Villars</v>
      </c>
      <c r="C57" s="266">
        <v>186099.3446463203</v>
      </c>
      <c r="D57" s="267">
        <v>69489.611040120537</v>
      </c>
      <c r="E57" s="268">
        <v>0</v>
      </c>
      <c r="F57" s="267">
        <v>0</v>
      </c>
      <c r="G57" s="267">
        <v>0</v>
      </c>
      <c r="H57" s="269">
        <f t="shared" si="1"/>
        <v>255588.95568644084</v>
      </c>
      <c r="I57" s="353">
        <v>11198.899076923077</v>
      </c>
      <c r="J57" s="158">
        <f>'B) D RI'!U58</f>
        <v>14161.564</v>
      </c>
      <c r="K57" s="115">
        <f t="shared" si="2"/>
        <v>22.822685866784727</v>
      </c>
      <c r="L57" s="63">
        <f>'B) D RI'!S58</f>
        <v>65</v>
      </c>
      <c r="M57" s="63">
        <f t="shared" si="3"/>
        <v>42.177314133215276</v>
      </c>
      <c r="N57" s="223">
        <f>'J) Plafonnement effort'!G56+'J) Plafonnement effort'!H56-'K) Plafonnement aide'!I56</f>
        <v>29.074062644277294</v>
      </c>
      <c r="O57" s="223">
        <f t="shared" si="4"/>
        <v>71.251376777492567</v>
      </c>
      <c r="P57" s="80">
        <f t="shared" si="0"/>
        <v>0</v>
      </c>
      <c r="Q57" s="98">
        <f t="shared" si="5"/>
        <v>0</v>
      </c>
      <c r="R57" s="258">
        <f t="shared" si="6"/>
        <v>71.251376777492567</v>
      </c>
      <c r="S57" s="223">
        <f t="shared" si="7"/>
        <v>6.2513767774925668</v>
      </c>
      <c r="T57" s="257"/>
    </row>
    <row r="58" spans="1:20" x14ac:dyDescent="0.25">
      <c r="A58" s="82">
        <f>'A) Base RI'!A59</f>
        <v>5488</v>
      </c>
      <c r="B58" s="95" t="str">
        <f>'A) Base RI'!B59</f>
        <v>Mauraz</v>
      </c>
      <c r="C58" s="266">
        <v>16442.945153512919</v>
      </c>
      <c r="D58" s="267">
        <v>-4464.2260220505232</v>
      </c>
      <c r="E58" s="268">
        <v>0</v>
      </c>
      <c r="F58" s="267">
        <v>0</v>
      </c>
      <c r="G58" s="267">
        <v>0</v>
      </c>
      <c r="H58" s="269">
        <f t="shared" si="1"/>
        <v>11978.719131462396</v>
      </c>
      <c r="I58" s="353">
        <v>1256.3522522522521</v>
      </c>
      <c r="J58" s="158">
        <f>'B) D RI'!U59</f>
        <v>1648.4024324324325</v>
      </c>
      <c r="K58" s="115">
        <f t="shared" si="2"/>
        <v>9.5345227502782333</v>
      </c>
      <c r="L58" s="63">
        <f>'B) D RI'!S59</f>
        <v>74</v>
      </c>
      <c r="M58" s="63">
        <f t="shared" si="3"/>
        <v>64.465477249721772</v>
      </c>
      <c r="N58" s="223">
        <f>'J) Plafonnement effort'!G57+'J) Plafonnement effort'!H57-'K) Plafonnement aide'!I57</f>
        <v>22.279656963547406</v>
      </c>
      <c r="O58" s="223">
        <f t="shared" si="4"/>
        <v>86.745134213269182</v>
      </c>
      <c r="P58" s="80">
        <f t="shared" si="0"/>
        <v>0</v>
      </c>
      <c r="Q58" s="98">
        <f t="shared" si="5"/>
        <v>0</v>
      </c>
      <c r="R58" s="258">
        <f t="shared" si="6"/>
        <v>86.745134213269182</v>
      </c>
      <c r="S58" s="223">
        <f t="shared" si="7"/>
        <v>12.745134213269182</v>
      </c>
      <c r="T58" s="257"/>
    </row>
    <row r="59" spans="1:20" x14ac:dyDescent="0.25">
      <c r="A59" s="82">
        <f>'A) Base RI'!A60</f>
        <v>5489</v>
      </c>
      <c r="B59" s="95" t="str">
        <f>'A) Base RI'!B60</f>
        <v>Mex</v>
      </c>
      <c r="C59" s="266">
        <v>689986.69896026107</v>
      </c>
      <c r="D59" s="267">
        <v>614059.14736199996</v>
      </c>
      <c r="E59" s="268">
        <v>0</v>
      </c>
      <c r="F59" s="267">
        <v>0</v>
      </c>
      <c r="G59" s="267">
        <v>0</v>
      </c>
      <c r="H59" s="269">
        <f t="shared" si="1"/>
        <v>1304045.846322261</v>
      </c>
      <c r="I59" s="353">
        <v>36968.872584286124</v>
      </c>
      <c r="J59" s="158">
        <f>'B) D RI'!U60</f>
        <v>53932.616065573762</v>
      </c>
      <c r="K59" s="115">
        <f t="shared" si="2"/>
        <v>35.274157829648146</v>
      </c>
      <c r="L59" s="63">
        <f>'B) D RI'!S60</f>
        <v>61</v>
      </c>
      <c r="M59" s="63">
        <f t="shared" si="3"/>
        <v>25.725842170351854</v>
      </c>
      <c r="N59" s="223">
        <f>'J) Plafonnement effort'!G58+'J) Plafonnement effort'!H58-'K) Plafonnement aide'!I58</f>
        <v>39.225532494314159</v>
      </c>
      <c r="O59" s="223">
        <f t="shared" si="4"/>
        <v>64.951374664666019</v>
      </c>
      <c r="P59" s="80">
        <f t="shared" si="0"/>
        <v>0</v>
      </c>
      <c r="Q59" s="98">
        <f t="shared" si="5"/>
        <v>0</v>
      </c>
      <c r="R59" s="258">
        <f t="shared" si="6"/>
        <v>64.951374664666019</v>
      </c>
      <c r="S59" s="223">
        <f t="shared" si="7"/>
        <v>3.9513746646660195</v>
      </c>
      <c r="T59" s="257"/>
    </row>
    <row r="60" spans="1:20" x14ac:dyDescent="0.25">
      <c r="A60" s="82">
        <f>'A) Base RI'!A61</f>
        <v>5490</v>
      </c>
      <c r="B60" s="95" t="str">
        <f>'A) Base RI'!B61</f>
        <v>Moiry</v>
      </c>
      <c r="C60" s="266">
        <v>95584.542795681817</v>
      </c>
      <c r="D60" s="267">
        <v>-56497.269575824525</v>
      </c>
      <c r="E60" s="268">
        <v>0</v>
      </c>
      <c r="F60" s="267">
        <v>0</v>
      </c>
      <c r="G60" s="267">
        <v>0</v>
      </c>
      <c r="H60" s="269">
        <f t="shared" si="1"/>
        <v>39087.273219857292</v>
      </c>
      <c r="I60" s="353">
        <v>6065.5295061728393</v>
      </c>
      <c r="J60" s="158">
        <f>'B) D RI'!U61</f>
        <v>7150.2259259259263</v>
      </c>
      <c r="K60" s="115">
        <f t="shared" si="2"/>
        <v>6.4441650444661915</v>
      </c>
      <c r="L60" s="63">
        <f>'B) D RI'!S61</f>
        <v>81</v>
      </c>
      <c r="M60" s="63">
        <f t="shared" si="3"/>
        <v>74.555834955533811</v>
      </c>
      <c r="N60" s="223">
        <f>'J) Plafonnement effort'!G59+'J) Plafonnement effort'!H59-'K) Plafonnement aide'!I59</f>
        <v>16.063870066717406</v>
      </c>
      <c r="O60" s="223">
        <f t="shared" si="4"/>
        <v>90.619705022251225</v>
      </c>
      <c r="P60" s="80">
        <f t="shared" si="0"/>
        <v>-1.5724322279668002</v>
      </c>
      <c r="Q60" s="98">
        <f t="shared" si="5"/>
        <v>-11243.24568316968</v>
      </c>
      <c r="R60" s="258">
        <f t="shared" si="6"/>
        <v>89.047272794284424</v>
      </c>
      <c r="S60" s="223">
        <f t="shared" si="7"/>
        <v>8.0472727942844244</v>
      </c>
      <c r="T60" s="257"/>
    </row>
    <row r="61" spans="1:20" x14ac:dyDescent="0.25">
      <c r="A61" s="82">
        <f>'A) Base RI'!A62</f>
        <v>5491</v>
      </c>
      <c r="B61" s="95" t="str">
        <f>'A) Base RI'!B62</f>
        <v>Mont-la-Ville</v>
      </c>
      <c r="C61" s="266">
        <v>107953.56649846902</v>
      </c>
      <c r="D61" s="267">
        <v>-71535.3745565766</v>
      </c>
      <c r="E61" s="268">
        <v>0</v>
      </c>
      <c r="F61" s="267">
        <v>0</v>
      </c>
      <c r="G61" s="267">
        <v>0</v>
      </c>
      <c r="H61" s="269">
        <f t="shared" si="1"/>
        <v>36418.191941892423</v>
      </c>
      <c r="I61" s="353">
        <v>7513.4330263157899</v>
      </c>
      <c r="J61" s="158">
        <f>'B) D RI'!U62</f>
        <v>9158.0513157894729</v>
      </c>
      <c r="K61" s="115">
        <f t="shared" si="2"/>
        <v>4.8470774696916505</v>
      </c>
      <c r="L61" s="63">
        <f>'B) D RI'!S62</f>
        <v>76</v>
      </c>
      <c r="M61" s="63">
        <f t="shared" ref="M61:M114" si="8">L61-K61</f>
        <v>71.152922530308345</v>
      </c>
      <c r="N61" s="223">
        <f>'J) Plafonnement effort'!G60+'J) Plafonnement effort'!H60-'K) Plafonnement aide'!I60</f>
        <v>10.037301549167823</v>
      </c>
      <c r="O61" s="223">
        <f t="shared" ref="O61:O114" si="9">M61+N61</f>
        <v>81.190224079476167</v>
      </c>
      <c r="P61" s="80">
        <f t="shared" ref="P61:P114" si="10">IF(O61&gt;$P$5,$P$5-O61,0)</f>
        <v>0</v>
      </c>
      <c r="Q61" s="98">
        <f t="shared" si="5"/>
        <v>0</v>
      </c>
      <c r="R61" s="258">
        <f t="shared" ref="R61:R114" si="11">O61+P61</f>
        <v>81.190224079476167</v>
      </c>
      <c r="S61" s="223">
        <f t="shared" ref="S61:S114" si="12">R61-L61</f>
        <v>5.1902240794761667</v>
      </c>
      <c r="T61" s="257"/>
    </row>
    <row r="62" spans="1:20" x14ac:dyDescent="0.25">
      <c r="A62" s="82">
        <f>'A) Base RI'!A63</f>
        <v>5492</v>
      </c>
      <c r="B62" s="95" t="str">
        <f>'A) Base RI'!B63</f>
        <v>Montricher</v>
      </c>
      <c r="C62" s="266">
        <v>2141091.2548523583</v>
      </c>
      <c r="D62" s="267">
        <v>1282041.9443890001</v>
      </c>
      <c r="E62" s="268">
        <v>0</v>
      </c>
      <c r="F62" s="267">
        <v>0</v>
      </c>
      <c r="G62" s="267">
        <v>0</v>
      </c>
      <c r="H62" s="269">
        <f t="shared" si="1"/>
        <v>3423133.1992413583</v>
      </c>
      <c r="I62" s="353">
        <v>74641.195817327243</v>
      </c>
      <c r="J62" s="158">
        <f>'B) D RI'!U63</f>
        <v>150474.39203125</v>
      </c>
      <c r="K62" s="115">
        <f t="shared" ref="K62:K116" si="13">H62/I62</f>
        <v>45.861178425101151</v>
      </c>
      <c r="L62" s="63">
        <f>'B) D RI'!S63</f>
        <v>64</v>
      </c>
      <c r="M62" s="63">
        <f t="shared" si="8"/>
        <v>18.138821574898849</v>
      </c>
      <c r="N62" s="223">
        <f>'J) Plafonnement effort'!G61+'J) Plafonnement effort'!H61-'K) Plafonnement aide'!I61</f>
        <v>47.996470738406039</v>
      </c>
      <c r="O62" s="223">
        <f t="shared" si="9"/>
        <v>66.135292313304888</v>
      </c>
      <c r="P62" s="80">
        <f t="shared" si="10"/>
        <v>0</v>
      </c>
      <c r="Q62" s="98">
        <f t="shared" si="5"/>
        <v>0</v>
      </c>
      <c r="R62" s="258">
        <f t="shared" si="11"/>
        <v>66.135292313304888</v>
      </c>
      <c r="S62" s="223">
        <f t="shared" si="12"/>
        <v>2.1352923133048876</v>
      </c>
      <c r="T62" s="257"/>
    </row>
    <row r="63" spans="1:20" x14ac:dyDescent="0.25">
      <c r="A63" s="82">
        <f>'A) Base RI'!A64</f>
        <v>5493</v>
      </c>
      <c r="B63" s="95" t="str">
        <f>'A) Base RI'!B64</f>
        <v>Orny</v>
      </c>
      <c r="C63" s="266">
        <v>208091.84404303553</v>
      </c>
      <c r="D63" s="267">
        <v>-36454.704872267001</v>
      </c>
      <c r="E63" s="268">
        <v>0</v>
      </c>
      <c r="F63" s="267">
        <v>0</v>
      </c>
      <c r="G63" s="267">
        <v>0</v>
      </c>
      <c r="H63" s="269">
        <f t="shared" si="1"/>
        <v>171637.13917076853</v>
      </c>
      <c r="I63" s="353">
        <v>8581.5562486828221</v>
      </c>
      <c r="J63" s="158">
        <f>'B) D RI'!U64</f>
        <v>9474.9746364594321</v>
      </c>
      <c r="K63" s="115">
        <f t="shared" si="13"/>
        <v>20.000700828257461</v>
      </c>
      <c r="L63" s="63">
        <f>'B) D RI'!S64</f>
        <v>73</v>
      </c>
      <c r="M63" s="63">
        <f t="shared" si="8"/>
        <v>52.999299171742535</v>
      </c>
      <c r="N63" s="223">
        <f>'J) Plafonnement effort'!G62+'J) Plafonnement effort'!H62-'K) Plafonnement aide'!I62</f>
        <v>14.178314471646669</v>
      </c>
      <c r="O63" s="223">
        <f t="shared" si="9"/>
        <v>67.177613643389208</v>
      </c>
      <c r="P63" s="80">
        <f t="shared" si="10"/>
        <v>0</v>
      </c>
      <c r="Q63" s="98">
        <f t="shared" ref="Q63:Q117" si="14">P63*J63</f>
        <v>0</v>
      </c>
      <c r="R63" s="258">
        <f t="shared" si="11"/>
        <v>67.177613643389208</v>
      </c>
      <c r="S63" s="223">
        <f t="shared" si="12"/>
        <v>-5.8223863566107923</v>
      </c>
      <c r="T63" s="257"/>
    </row>
    <row r="64" spans="1:20" x14ac:dyDescent="0.25">
      <c r="A64" s="82">
        <f>'A) Base RI'!A65</f>
        <v>5494</v>
      </c>
      <c r="B64" s="95" t="str">
        <f>'A) Base RI'!B65</f>
        <v>Pampigny</v>
      </c>
      <c r="C64" s="266">
        <v>501385.42078528309</v>
      </c>
      <c r="D64" s="267">
        <v>172757.7373354031</v>
      </c>
      <c r="E64" s="268">
        <v>0</v>
      </c>
      <c r="F64" s="267">
        <v>0</v>
      </c>
      <c r="G64" s="267">
        <v>0</v>
      </c>
      <c r="H64" s="269">
        <f t="shared" si="1"/>
        <v>674143.15812068619</v>
      </c>
      <c r="I64" s="353">
        <v>34302.135822222219</v>
      </c>
      <c r="J64" s="158">
        <f>'B) D RI'!U65</f>
        <v>34918.82189206349</v>
      </c>
      <c r="K64" s="115">
        <f t="shared" si="13"/>
        <v>19.65309570268656</v>
      </c>
      <c r="L64" s="63">
        <f>'B) D RI'!S65</f>
        <v>75</v>
      </c>
      <c r="M64" s="63">
        <f t="shared" si="8"/>
        <v>55.346904297313444</v>
      </c>
      <c r="N64" s="223">
        <f>'J) Plafonnement effort'!G63+'J) Plafonnement effort'!H63-'K) Plafonnement aide'!I63</f>
        <v>17.006958190986644</v>
      </c>
      <c r="O64" s="223">
        <f t="shared" si="9"/>
        <v>72.353862488300081</v>
      </c>
      <c r="P64" s="80">
        <f t="shared" si="10"/>
        <v>0</v>
      </c>
      <c r="Q64" s="98">
        <f t="shared" si="14"/>
        <v>0</v>
      </c>
      <c r="R64" s="258">
        <f t="shared" si="11"/>
        <v>72.353862488300081</v>
      </c>
      <c r="S64" s="223">
        <f t="shared" si="12"/>
        <v>-2.6461375116999193</v>
      </c>
      <c r="T64" s="257"/>
    </row>
    <row r="65" spans="1:20" x14ac:dyDescent="0.25">
      <c r="A65" s="82">
        <f>'A) Base RI'!A66</f>
        <v>5495</v>
      </c>
      <c r="B65" s="95" t="str">
        <f>'A) Base RI'!B66</f>
        <v>Penthalaz</v>
      </c>
      <c r="C65" s="266">
        <v>1289475.7128195604</v>
      </c>
      <c r="D65" s="267">
        <v>-142074.04216740234</v>
      </c>
      <c r="E65" s="268">
        <v>0</v>
      </c>
      <c r="F65" s="267">
        <v>0</v>
      </c>
      <c r="G65" s="267">
        <v>0</v>
      </c>
      <c r="H65" s="269">
        <f t="shared" si="1"/>
        <v>1147401.6706521581</v>
      </c>
      <c r="I65" s="353">
        <v>88222.057162162178</v>
      </c>
      <c r="J65" s="158">
        <f>'B) D RI'!U66</f>
        <v>87716.055405405408</v>
      </c>
      <c r="K65" s="115">
        <f t="shared" si="13"/>
        <v>13.005836721117298</v>
      </c>
      <c r="L65" s="63">
        <f>'B) D RI'!S66</f>
        <v>74</v>
      </c>
      <c r="M65" s="63">
        <f t="shared" si="8"/>
        <v>60.994163278882702</v>
      </c>
      <c r="N65" s="223">
        <f>'J) Plafonnement effort'!G64+'J) Plafonnement effort'!H64-'K) Plafonnement aide'!I64</f>
        <v>8.3613671934994613</v>
      </c>
      <c r="O65" s="223">
        <f t="shared" si="9"/>
        <v>69.355530472382156</v>
      </c>
      <c r="P65" s="80">
        <f t="shared" si="10"/>
        <v>0</v>
      </c>
      <c r="Q65" s="98">
        <f t="shared" si="14"/>
        <v>0</v>
      </c>
      <c r="R65" s="258">
        <f t="shared" si="11"/>
        <v>69.355530472382156</v>
      </c>
      <c r="S65" s="223">
        <f t="shared" si="12"/>
        <v>-4.6444695276178436</v>
      </c>
      <c r="T65" s="257"/>
    </row>
    <row r="66" spans="1:20" x14ac:dyDescent="0.25">
      <c r="A66" s="82">
        <f>'A) Base RI'!A67</f>
        <v>5496</v>
      </c>
      <c r="B66" s="95" t="str">
        <f>'A) Base RI'!B67</f>
        <v>Penthaz</v>
      </c>
      <c r="C66" s="266">
        <v>737856.63654581062</v>
      </c>
      <c r="D66" s="267">
        <v>252147.51748691697</v>
      </c>
      <c r="E66" s="268">
        <v>0</v>
      </c>
      <c r="F66" s="267">
        <v>0</v>
      </c>
      <c r="G66" s="267">
        <v>0</v>
      </c>
      <c r="H66" s="269">
        <f t="shared" si="1"/>
        <v>990004.15403272759</v>
      </c>
      <c r="I66" s="353">
        <v>49949.550327868856</v>
      </c>
      <c r="J66" s="158">
        <f>'B) D RI'!U67</f>
        <v>51566.366901408452</v>
      </c>
      <c r="K66" s="115">
        <f t="shared" si="13"/>
        <v>19.820081412832351</v>
      </c>
      <c r="L66" s="63">
        <f>'B) D RI'!S67</f>
        <v>71</v>
      </c>
      <c r="M66" s="63">
        <f t="shared" si="8"/>
        <v>51.179918587167649</v>
      </c>
      <c r="N66" s="223">
        <f>'J) Plafonnement effort'!G65+'J) Plafonnement effort'!H65-'K) Plafonnement aide'!I65</f>
        <v>16.286234761198337</v>
      </c>
      <c r="O66" s="223">
        <f t="shared" si="9"/>
        <v>67.466153348365992</v>
      </c>
      <c r="P66" s="80">
        <f t="shared" si="10"/>
        <v>0</v>
      </c>
      <c r="Q66" s="98">
        <f t="shared" si="14"/>
        <v>0</v>
      </c>
      <c r="R66" s="258">
        <f t="shared" si="11"/>
        <v>67.466153348365992</v>
      </c>
      <c r="S66" s="223">
        <f t="shared" si="12"/>
        <v>-3.5338466516340077</v>
      </c>
      <c r="T66" s="257"/>
    </row>
    <row r="67" spans="1:20" x14ac:dyDescent="0.25">
      <c r="A67" s="82">
        <f>'A) Base RI'!A68</f>
        <v>5497</v>
      </c>
      <c r="B67" s="95" t="str">
        <f>'A) Base RI'!B68</f>
        <v>Pompaples</v>
      </c>
      <c r="C67" s="266">
        <v>398726.17311667011</v>
      </c>
      <c r="D67" s="267">
        <v>36475.449905965477</v>
      </c>
      <c r="E67" s="268">
        <v>0</v>
      </c>
      <c r="F67" s="267">
        <v>0</v>
      </c>
      <c r="G67" s="267">
        <v>0</v>
      </c>
      <c r="H67" s="269">
        <f t="shared" si="1"/>
        <v>435201.62302263558</v>
      </c>
      <c r="I67" s="353">
        <v>20429.709545454545</v>
      </c>
      <c r="J67" s="158">
        <f>'B) D RI'!U68</f>
        <v>20299.313939393938</v>
      </c>
      <c r="K67" s="115">
        <f t="shared" si="13"/>
        <v>21.302389153127468</v>
      </c>
      <c r="L67" s="63">
        <f>'B) D RI'!S68</f>
        <v>66</v>
      </c>
      <c r="M67" s="63">
        <f t="shared" si="8"/>
        <v>44.697610846872536</v>
      </c>
      <c r="N67" s="223">
        <f>'J) Plafonnement effort'!G66+'J) Plafonnement effort'!H66-'K) Plafonnement aide'!I66</f>
        <v>11.413008481759961</v>
      </c>
      <c r="O67" s="223">
        <f t="shared" si="9"/>
        <v>56.110619328632495</v>
      </c>
      <c r="P67" s="80">
        <f t="shared" si="10"/>
        <v>0</v>
      </c>
      <c r="Q67" s="98">
        <f t="shared" si="14"/>
        <v>0</v>
      </c>
      <c r="R67" s="258">
        <f t="shared" si="11"/>
        <v>56.110619328632495</v>
      </c>
      <c r="S67" s="223">
        <f t="shared" si="12"/>
        <v>-9.8893806713675048</v>
      </c>
      <c r="T67" s="257"/>
    </row>
    <row r="68" spans="1:20" x14ac:dyDescent="0.25">
      <c r="A68" s="82">
        <f>'A) Base RI'!A69</f>
        <v>5498</v>
      </c>
      <c r="B68" s="95" t="str">
        <f>'A) Base RI'!B69</f>
        <v>La Sarraz</v>
      </c>
      <c r="C68" s="266">
        <v>1272987.4681265084</v>
      </c>
      <c r="D68" s="267">
        <v>182955.81865463872</v>
      </c>
      <c r="E68" s="268">
        <v>0</v>
      </c>
      <c r="F68" s="267">
        <v>0</v>
      </c>
      <c r="G68" s="267">
        <v>0</v>
      </c>
      <c r="H68" s="269">
        <f t="shared" si="1"/>
        <v>1455943.2867811471</v>
      </c>
      <c r="I68" s="353">
        <v>73378.738750000004</v>
      </c>
      <c r="J68" s="158">
        <f>'B) D RI'!U69</f>
        <v>72296.623593750002</v>
      </c>
      <c r="K68" s="115">
        <f t="shared" si="13"/>
        <v>19.841486942716728</v>
      </c>
      <c r="L68" s="63">
        <f>'B) D RI'!S69</f>
        <v>64</v>
      </c>
      <c r="M68" s="63">
        <f t="shared" si="8"/>
        <v>44.158513057283272</v>
      </c>
      <c r="N68" s="223">
        <f>'J) Plafonnement effort'!G67+'J) Plafonnement effort'!H67-'K) Plafonnement aide'!I67</f>
        <v>11.887726838388627</v>
      </c>
      <c r="O68" s="223">
        <f t="shared" si="9"/>
        <v>56.046239895671903</v>
      </c>
      <c r="P68" s="80">
        <f t="shared" si="10"/>
        <v>0</v>
      </c>
      <c r="Q68" s="98">
        <f t="shared" si="14"/>
        <v>0</v>
      </c>
      <c r="R68" s="258">
        <f t="shared" si="11"/>
        <v>56.046239895671903</v>
      </c>
      <c r="S68" s="223">
        <f t="shared" si="12"/>
        <v>-7.9537601043280972</v>
      </c>
      <c r="T68" s="257"/>
    </row>
    <row r="69" spans="1:20" x14ac:dyDescent="0.25">
      <c r="A69" s="82">
        <f>'A) Base RI'!A70</f>
        <v>5499</v>
      </c>
      <c r="B69" s="95" t="str">
        <f>'A) Base RI'!B70</f>
        <v>Senarclens</v>
      </c>
      <c r="C69" s="266">
        <v>334585.21529775334</v>
      </c>
      <c r="D69" s="267">
        <v>309681.42937899998</v>
      </c>
      <c r="E69" s="268">
        <v>0</v>
      </c>
      <c r="F69" s="267">
        <v>0</v>
      </c>
      <c r="G69" s="267">
        <v>0</v>
      </c>
      <c r="H69" s="269">
        <f t="shared" si="1"/>
        <v>644266.64467675332</v>
      </c>
      <c r="I69" s="353">
        <v>19216.555182481756</v>
      </c>
      <c r="J69" s="158">
        <f>'B) D RI'!U70</f>
        <v>17459.062919708031</v>
      </c>
      <c r="K69" s="115">
        <f t="shared" si="13"/>
        <v>33.526646090246253</v>
      </c>
      <c r="L69" s="63">
        <f>'B) D RI'!S70</f>
        <v>68.5</v>
      </c>
      <c r="M69" s="63">
        <f t="shared" si="8"/>
        <v>34.973353909753747</v>
      </c>
      <c r="N69" s="223">
        <f>'J) Plafonnement effort'!G68+'J) Plafonnement effort'!H68-'K) Plafonnement aide'!I68</f>
        <v>28.984127435620451</v>
      </c>
      <c r="O69" s="223">
        <f t="shared" si="9"/>
        <v>63.957481345374198</v>
      </c>
      <c r="P69" s="80">
        <f t="shared" si="10"/>
        <v>0</v>
      </c>
      <c r="Q69" s="98">
        <f t="shared" si="14"/>
        <v>0</v>
      </c>
      <c r="R69" s="258">
        <f t="shared" si="11"/>
        <v>63.957481345374198</v>
      </c>
      <c r="S69" s="223">
        <f t="shared" si="12"/>
        <v>-4.5425186546258018</v>
      </c>
      <c r="T69" s="257"/>
    </row>
    <row r="70" spans="1:20" x14ac:dyDescent="0.25">
      <c r="A70" s="82">
        <f>'A) Base RI'!A71</f>
        <v>5500</v>
      </c>
      <c r="B70" s="95" t="str">
        <f>'A) Base RI'!B71</f>
        <v>Sévery</v>
      </c>
      <c r="C70" s="266">
        <v>88491.325468004361</v>
      </c>
      <c r="D70" s="267">
        <v>27835.274772768302</v>
      </c>
      <c r="E70" s="268">
        <v>0</v>
      </c>
      <c r="F70" s="267">
        <v>0</v>
      </c>
      <c r="G70" s="267">
        <v>0</v>
      </c>
      <c r="H70" s="269">
        <f t="shared" si="1"/>
        <v>116326.60024077266</v>
      </c>
      <c r="I70" s="353">
        <v>6421.440064102565</v>
      </c>
      <c r="J70" s="158">
        <f>'B) D RI'!U71</f>
        <v>6102.0277564102553</v>
      </c>
      <c r="K70" s="115">
        <f t="shared" si="13"/>
        <v>18.115344701427187</v>
      </c>
      <c r="L70" s="63">
        <f>'B) D RI'!S71</f>
        <v>78</v>
      </c>
      <c r="M70" s="63">
        <f t="shared" si="8"/>
        <v>59.88465529857281</v>
      </c>
      <c r="N70" s="223">
        <f>'J) Plafonnement effort'!G69+'J) Plafonnement effort'!H69-'K) Plafonnement aide'!I69</f>
        <v>14.637686009362197</v>
      </c>
      <c r="O70" s="223">
        <f t="shared" si="9"/>
        <v>74.522341307935008</v>
      </c>
      <c r="P70" s="80">
        <f t="shared" si="10"/>
        <v>0</v>
      </c>
      <c r="Q70" s="98">
        <f t="shared" si="14"/>
        <v>0</v>
      </c>
      <c r="R70" s="258">
        <f t="shared" si="11"/>
        <v>74.522341307935008</v>
      </c>
      <c r="S70" s="223">
        <f t="shared" si="12"/>
        <v>-3.4776586920649919</v>
      </c>
      <c r="T70" s="257"/>
    </row>
    <row r="71" spans="1:20" x14ac:dyDescent="0.25">
      <c r="A71" s="82">
        <f>'A) Base RI'!A72</f>
        <v>5501</v>
      </c>
      <c r="B71" s="95" t="str">
        <f>'A) Base RI'!B72</f>
        <v>Sullens</v>
      </c>
      <c r="C71" s="266">
        <v>548866.60836830642</v>
      </c>
      <c r="D71" s="267">
        <v>353282.80023405736</v>
      </c>
      <c r="E71" s="268">
        <v>0</v>
      </c>
      <c r="F71" s="267">
        <v>0</v>
      </c>
      <c r="G71" s="267">
        <v>0</v>
      </c>
      <c r="H71" s="269">
        <f t="shared" ref="H71:H134" si="15">SUM(C71:G71)</f>
        <v>902149.40860236378</v>
      </c>
      <c r="I71" s="353">
        <v>32159.960416666672</v>
      </c>
      <c r="J71" s="158">
        <f>'B) D RI'!U72</f>
        <v>37787.89666666666</v>
      </c>
      <c r="K71" s="115">
        <f t="shared" si="13"/>
        <v>28.051943998501667</v>
      </c>
      <c r="L71" s="63">
        <f>'B) D RI'!S72</f>
        <v>72</v>
      </c>
      <c r="M71" s="63">
        <f t="shared" si="8"/>
        <v>43.94805600149833</v>
      </c>
      <c r="N71" s="223">
        <f>'J) Plafonnement effort'!G70+'J) Plafonnement effort'!H70-'K) Plafonnement aide'!I70</f>
        <v>35.49709910278056</v>
      </c>
      <c r="O71" s="223">
        <f t="shared" si="9"/>
        <v>79.445155104278882</v>
      </c>
      <c r="P71" s="80">
        <f t="shared" si="10"/>
        <v>0</v>
      </c>
      <c r="Q71" s="98">
        <f t="shared" si="14"/>
        <v>0</v>
      </c>
      <c r="R71" s="258">
        <f t="shared" si="11"/>
        <v>79.445155104278882</v>
      </c>
      <c r="S71" s="223">
        <f t="shared" si="12"/>
        <v>7.4451551042788822</v>
      </c>
      <c r="T71" s="257"/>
    </row>
    <row r="72" spans="1:20" x14ac:dyDescent="0.25">
      <c r="A72" s="82">
        <f>'A) Base RI'!A73</f>
        <v>5503</v>
      </c>
      <c r="B72" s="95" t="str">
        <f>'A) Base RI'!B73</f>
        <v>Vufflens-la-Ville</v>
      </c>
      <c r="C72" s="266">
        <v>951748.86079954717</v>
      </c>
      <c r="D72" s="267">
        <v>707640.43514588301</v>
      </c>
      <c r="E72" s="268">
        <v>0</v>
      </c>
      <c r="F72" s="267">
        <v>0</v>
      </c>
      <c r="G72" s="267">
        <v>0</v>
      </c>
      <c r="H72" s="269">
        <f t="shared" si="15"/>
        <v>1659389.2959454302</v>
      </c>
      <c r="I72" s="353">
        <v>50948.873208955229</v>
      </c>
      <c r="J72" s="158">
        <f>'B) D RI'!U73</f>
        <v>57812.991915422885</v>
      </c>
      <c r="K72" s="115">
        <f t="shared" si="13"/>
        <v>32.56969568570873</v>
      </c>
      <c r="L72" s="63">
        <f>'B) D RI'!S73</f>
        <v>67</v>
      </c>
      <c r="M72" s="63">
        <f t="shared" si="8"/>
        <v>34.43030431429127</v>
      </c>
      <c r="N72" s="223">
        <f>'J) Plafonnement effort'!G71+'J) Plafonnement effort'!H71-'K) Plafonnement aide'!I71</f>
        <v>31.623355519614137</v>
      </c>
      <c r="O72" s="223">
        <f t="shared" si="9"/>
        <v>66.053659833905414</v>
      </c>
      <c r="P72" s="80">
        <f t="shared" si="10"/>
        <v>0</v>
      </c>
      <c r="Q72" s="98">
        <f t="shared" si="14"/>
        <v>0</v>
      </c>
      <c r="R72" s="258">
        <f t="shared" si="11"/>
        <v>66.053659833905414</v>
      </c>
      <c r="S72" s="223">
        <f t="shared" si="12"/>
        <v>-0.94634016609458627</v>
      </c>
      <c r="T72" s="257"/>
    </row>
    <row r="73" spans="1:20" x14ac:dyDescent="0.25">
      <c r="A73" s="82">
        <f>'A) Base RI'!A74</f>
        <v>5511</v>
      </c>
      <c r="B73" s="95" t="str">
        <f>'A) Base RI'!B74</f>
        <v>Assens</v>
      </c>
      <c r="C73" s="266">
        <v>587052.47442061221</v>
      </c>
      <c r="D73" s="267">
        <v>549749.19814373623</v>
      </c>
      <c r="E73" s="268">
        <v>0</v>
      </c>
      <c r="F73" s="267">
        <v>0</v>
      </c>
      <c r="G73" s="267">
        <v>0</v>
      </c>
      <c r="H73" s="269">
        <f t="shared" si="15"/>
        <v>1136801.6725643484</v>
      </c>
      <c r="I73" s="353">
        <v>40951.855857142858</v>
      </c>
      <c r="J73" s="158">
        <f>'B) D RI'!U74</f>
        <v>39783.593571428566</v>
      </c>
      <c r="K73" s="115">
        <f t="shared" si="13"/>
        <v>27.759466543591735</v>
      </c>
      <c r="L73" s="63">
        <f>'B) D RI'!S74</f>
        <v>70</v>
      </c>
      <c r="M73" s="63">
        <f t="shared" si="8"/>
        <v>42.240533456408265</v>
      </c>
      <c r="N73" s="223">
        <f>'J) Plafonnement effort'!G72+'J) Plafonnement effort'!H72-'K) Plafonnement aide'!I72</f>
        <v>25.53993057632584</v>
      </c>
      <c r="O73" s="223">
        <f t="shared" si="9"/>
        <v>67.780464032734102</v>
      </c>
      <c r="P73" s="80">
        <f t="shared" si="10"/>
        <v>0</v>
      </c>
      <c r="Q73" s="98">
        <f t="shared" si="14"/>
        <v>0</v>
      </c>
      <c r="R73" s="258">
        <f t="shared" si="11"/>
        <v>67.780464032734102</v>
      </c>
      <c r="S73" s="223">
        <f t="shared" si="12"/>
        <v>-2.2195359672658981</v>
      </c>
      <c r="T73" s="257"/>
    </row>
    <row r="74" spans="1:20" x14ac:dyDescent="0.25">
      <c r="A74" s="82">
        <f>'A) Base RI'!A75</f>
        <v>5512</v>
      </c>
      <c r="B74" s="95" t="str">
        <f>'A) Base RI'!B75</f>
        <v>Bercher</v>
      </c>
      <c r="C74" s="266">
        <v>470745.78688952327</v>
      </c>
      <c r="D74" s="267">
        <v>42093.911256862339</v>
      </c>
      <c r="E74" s="268">
        <v>0</v>
      </c>
      <c r="F74" s="267">
        <v>0</v>
      </c>
      <c r="G74" s="267">
        <v>0</v>
      </c>
      <c r="H74" s="269">
        <f t="shared" si="15"/>
        <v>512839.69814638561</v>
      </c>
      <c r="I74" s="353">
        <v>33478.413670886075</v>
      </c>
      <c r="J74" s="158">
        <f>'B) D RI'!U75</f>
        <v>36622.722911392411</v>
      </c>
      <c r="K74" s="115">
        <f t="shared" si="13"/>
        <v>15.318518469480763</v>
      </c>
      <c r="L74" s="63">
        <f>'B) D RI'!S75</f>
        <v>79</v>
      </c>
      <c r="M74" s="63">
        <f t="shared" si="8"/>
        <v>63.681481530519235</v>
      </c>
      <c r="N74" s="223">
        <f>'J) Plafonnement effort'!G73+'J) Plafonnement effort'!H73-'K) Plafonnement aide'!I73</f>
        <v>17.002717062077121</v>
      </c>
      <c r="O74" s="223">
        <f t="shared" si="9"/>
        <v>80.68419859259636</v>
      </c>
      <c r="P74" s="80">
        <f t="shared" si="10"/>
        <v>0</v>
      </c>
      <c r="Q74" s="98">
        <f t="shared" si="14"/>
        <v>0</v>
      </c>
      <c r="R74" s="258">
        <f t="shared" si="11"/>
        <v>80.68419859259636</v>
      </c>
      <c r="S74" s="223">
        <f t="shared" si="12"/>
        <v>1.6841985925963598</v>
      </c>
      <c r="T74" s="257"/>
    </row>
    <row r="75" spans="1:20" x14ac:dyDescent="0.25">
      <c r="A75" s="82">
        <f>'A) Base RI'!A76</f>
        <v>5513</v>
      </c>
      <c r="B75" s="95" t="str">
        <f>'A) Base RI'!B76</f>
        <v>Bioley-Orjulaz</v>
      </c>
      <c r="C75" s="266">
        <v>401112.85893582396</v>
      </c>
      <c r="D75" s="267">
        <v>398794.51171649998</v>
      </c>
      <c r="E75" s="268">
        <v>0</v>
      </c>
      <c r="F75" s="267">
        <v>0</v>
      </c>
      <c r="G75" s="267">
        <v>0</v>
      </c>
      <c r="H75" s="269">
        <f t="shared" si="15"/>
        <v>799907.37065232394</v>
      </c>
      <c r="I75" s="353">
        <v>24202.648939393941</v>
      </c>
      <c r="J75" s="158">
        <f>'B) D RI'!U76</f>
        <v>30506.038333333338</v>
      </c>
      <c r="K75" s="115">
        <f t="shared" si="13"/>
        <v>33.050405873149622</v>
      </c>
      <c r="L75" s="63">
        <f>'B) D RI'!S76</f>
        <v>66</v>
      </c>
      <c r="M75" s="63">
        <f t="shared" si="8"/>
        <v>32.949594126850378</v>
      </c>
      <c r="N75" s="223">
        <f>'J) Plafonnement effort'!G74+'J) Plafonnement effort'!H74-'K) Plafonnement aide'!I74</f>
        <v>41.823537456609913</v>
      </c>
      <c r="O75" s="223">
        <f t="shared" si="9"/>
        <v>74.773131583460298</v>
      </c>
      <c r="P75" s="80">
        <f t="shared" si="10"/>
        <v>0</v>
      </c>
      <c r="Q75" s="98">
        <f t="shared" si="14"/>
        <v>0</v>
      </c>
      <c r="R75" s="258">
        <f t="shared" si="11"/>
        <v>74.773131583460298</v>
      </c>
      <c r="S75" s="223">
        <f t="shared" si="12"/>
        <v>8.7731315834602981</v>
      </c>
      <c r="T75" s="257"/>
    </row>
    <row r="76" spans="1:20" x14ac:dyDescent="0.25">
      <c r="A76" s="82">
        <f>'A) Base RI'!A77</f>
        <v>5514</v>
      </c>
      <c r="B76" s="95" t="str">
        <f>'A) Base RI'!B77</f>
        <v>Bottens</v>
      </c>
      <c r="C76" s="266">
        <v>562103.0020658772</v>
      </c>
      <c r="D76" s="267">
        <v>207850.37261966633</v>
      </c>
      <c r="E76" s="268">
        <v>0</v>
      </c>
      <c r="F76" s="267">
        <v>0</v>
      </c>
      <c r="G76" s="267">
        <v>0</v>
      </c>
      <c r="H76" s="269">
        <f t="shared" si="15"/>
        <v>769953.37468554359</v>
      </c>
      <c r="I76" s="353">
        <v>37725.311821946168</v>
      </c>
      <c r="J76" s="158">
        <f>'B) D RI'!U77</f>
        <v>42846.050910973077</v>
      </c>
      <c r="K76" s="115">
        <f t="shared" si="13"/>
        <v>20.409463500779708</v>
      </c>
      <c r="L76" s="63">
        <f>'B) D RI'!S77</f>
        <v>69</v>
      </c>
      <c r="M76" s="63">
        <f t="shared" si="8"/>
        <v>48.590536499220292</v>
      </c>
      <c r="N76" s="223">
        <f>'J) Plafonnement effort'!G75+'J) Plafonnement effort'!H75-'K) Plafonnement aide'!I75</f>
        <v>24.388422419309695</v>
      </c>
      <c r="O76" s="223">
        <f t="shared" si="9"/>
        <v>72.978958918529983</v>
      </c>
      <c r="P76" s="80">
        <f t="shared" si="10"/>
        <v>0</v>
      </c>
      <c r="Q76" s="98">
        <f t="shared" si="14"/>
        <v>0</v>
      </c>
      <c r="R76" s="258">
        <f t="shared" si="11"/>
        <v>72.978958918529983</v>
      </c>
      <c r="S76" s="223">
        <f t="shared" si="12"/>
        <v>3.9789589185299832</v>
      </c>
      <c r="T76" s="257"/>
    </row>
    <row r="77" spans="1:20" x14ac:dyDescent="0.25">
      <c r="A77" s="82">
        <f>'A) Base RI'!A78</f>
        <v>5515</v>
      </c>
      <c r="B77" s="95" t="str">
        <f>'A) Base RI'!B78</f>
        <v>Bretigny-sur-Morrens</v>
      </c>
      <c r="C77" s="266">
        <v>297830.65466770879</v>
      </c>
      <c r="D77" s="267">
        <v>-35813.628878746298</v>
      </c>
      <c r="E77" s="268">
        <v>0</v>
      </c>
      <c r="F77" s="267">
        <v>0</v>
      </c>
      <c r="G77" s="267">
        <v>0</v>
      </c>
      <c r="H77" s="269">
        <f t="shared" si="15"/>
        <v>262017.02578896249</v>
      </c>
      <c r="I77" s="353">
        <v>18548.59</v>
      </c>
      <c r="J77" s="158">
        <f>'B) D RI'!U78</f>
        <v>22223.6698630137</v>
      </c>
      <c r="K77" s="115">
        <f t="shared" si="13"/>
        <v>14.12598077745869</v>
      </c>
      <c r="L77" s="63">
        <f>'B) D RI'!S78</f>
        <v>73</v>
      </c>
      <c r="M77" s="63">
        <f t="shared" si="8"/>
        <v>58.874019222541307</v>
      </c>
      <c r="N77" s="223">
        <f>'J) Plafonnement effort'!G76+'J) Plafonnement effort'!H76-'K) Plafonnement aide'!I76</f>
        <v>19.031903996295039</v>
      </c>
      <c r="O77" s="223">
        <f t="shared" si="9"/>
        <v>77.90592321883635</v>
      </c>
      <c r="P77" s="80">
        <f t="shared" si="10"/>
        <v>0</v>
      </c>
      <c r="Q77" s="98">
        <f t="shared" si="14"/>
        <v>0</v>
      </c>
      <c r="R77" s="258">
        <f t="shared" si="11"/>
        <v>77.90592321883635</v>
      </c>
      <c r="S77" s="223">
        <f t="shared" si="12"/>
        <v>4.9059232188363495</v>
      </c>
      <c r="T77" s="257"/>
    </row>
    <row r="78" spans="1:20" x14ac:dyDescent="0.25">
      <c r="A78" s="82">
        <f>'A) Base RI'!A79</f>
        <v>5516</v>
      </c>
      <c r="B78" s="95" t="str">
        <f>'A) Base RI'!B79</f>
        <v>Cugy</v>
      </c>
      <c r="C78" s="266">
        <v>1604021.3839378979</v>
      </c>
      <c r="D78" s="267">
        <v>838477.9832968649</v>
      </c>
      <c r="E78" s="268">
        <v>0</v>
      </c>
      <c r="F78" s="267">
        <v>0</v>
      </c>
      <c r="G78" s="267">
        <v>0</v>
      </c>
      <c r="H78" s="269">
        <f t="shared" si="15"/>
        <v>2442499.3672347628</v>
      </c>
      <c r="I78" s="353">
        <v>101070.60477611939</v>
      </c>
      <c r="J78" s="158">
        <f>'B) D RI'!U79</f>
        <v>117631.39925373136</v>
      </c>
      <c r="K78" s="115">
        <f t="shared" si="13"/>
        <v>24.16626844813209</v>
      </c>
      <c r="L78" s="63">
        <f>'B) D RI'!S79</f>
        <v>67</v>
      </c>
      <c r="M78" s="63">
        <f t="shared" si="8"/>
        <v>42.833731551867913</v>
      </c>
      <c r="N78" s="223">
        <f>'J) Plafonnement effort'!G77+'J) Plafonnement effort'!H77-'K) Plafonnement aide'!I77</f>
        <v>27.527036528697035</v>
      </c>
      <c r="O78" s="223">
        <f t="shared" si="9"/>
        <v>70.360768080564952</v>
      </c>
      <c r="P78" s="80">
        <f t="shared" si="10"/>
        <v>0</v>
      </c>
      <c r="Q78" s="98">
        <f t="shared" si="14"/>
        <v>0</v>
      </c>
      <c r="R78" s="258">
        <f t="shared" si="11"/>
        <v>70.360768080564952</v>
      </c>
      <c r="S78" s="223">
        <f t="shared" si="12"/>
        <v>3.3607680805649522</v>
      </c>
      <c r="T78" s="257"/>
    </row>
    <row r="79" spans="1:20" x14ac:dyDescent="0.25">
      <c r="A79" s="82">
        <f>'A) Base RI'!A80</f>
        <v>5518</v>
      </c>
      <c r="B79" s="95" t="str">
        <f>'A) Base RI'!B80</f>
        <v>Echallens</v>
      </c>
      <c r="C79" s="266">
        <v>2564621.7159765372</v>
      </c>
      <c r="D79" s="267">
        <v>-456751.52964148764</v>
      </c>
      <c r="E79" s="268">
        <v>0</v>
      </c>
      <c r="F79" s="267">
        <v>0</v>
      </c>
      <c r="G79" s="267">
        <v>0</v>
      </c>
      <c r="H79" s="269">
        <f t="shared" si="15"/>
        <v>2107870.1863350496</v>
      </c>
      <c r="I79" s="353">
        <v>167115.1672972973</v>
      </c>
      <c r="J79" s="158">
        <f>'B) D RI'!U80</f>
        <v>173156.24540540541</v>
      </c>
      <c r="K79" s="115">
        <f t="shared" si="13"/>
        <v>12.613278737202565</v>
      </c>
      <c r="L79" s="63">
        <f>'B) D RI'!S80</f>
        <v>74</v>
      </c>
      <c r="M79" s="63">
        <f t="shared" si="8"/>
        <v>61.386721262797437</v>
      </c>
      <c r="N79" s="223">
        <f>'J) Plafonnement effort'!G78+'J) Plafonnement effort'!H78-'K) Plafonnement aide'!I78</f>
        <v>11.621299537741393</v>
      </c>
      <c r="O79" s="223">
        <f t="shared" si="9"/>
        <v>73.00802080053883</v>
      </c>
      <c r="P79" s="80">
        <f t="shared" si="10"/>
        <v>0</v>
      </c>
      <c r="Q79" s="98">
        <f t="shared" si="14"/>
        <v>0</v>
      </c>
      <c r="R79" s="258">
        <f t="shared" si="11"/>
        <v>73.00802080053883</v>
      </c>
      <c r="S79" s="223">
        <f t="shared" si="12"/>
        <v>-0.99197919946116997</v>
      </c>
      <c r="T79" s="257"/>
    </row>
    <row r="80" spans="1:20" x14ac:dyDescent="0.25">
      <c r="A80" s="82">
        <f>'A) Base RI'!A81</f>
        <v>5520</v>
      </c>
      <c r="B80" s="95" t="str">
        <f>'A) Base RI'!B81</f>
        <v>Essertines-sur-Yverdon</v>
      </c>
      <c r="C80" s="266">
        <v>401544.08351044822</v>
      </c>
      <c r="D80" s="267">
        <v>151492.97033202578</v>
      </c>
      <c r="E80" s="268">
        <v>0</v>
      </c>
      <c r="F80" s="267">
        <v>0</v>
      </c>
      <c r="G80" s="267">
        <v>0</v>
      </c>
      <c r="H80" s="269">
        <f t="shared" si="15"/>
        <v>553037.05384247401</v>
      </c>
      <c r="I80" s="353">
        <v>26773.089014084508</v>
      </c>
      <c r="J80" s="158">
        <f>'B) D RI'!U81</f>
        <v>27983.283972602738</v>
      </c>
      <c r="K80" s="115">
        <f t="shared" si="13"/>
        <v>20.656452961088579</v>
      </c>
      <c r="L80" s="63">
        <f>'B) D RI'!S81</f>
        <v>73</v>
      </c>
      <c r="M80" s="63">
        <f t="shared" si="8"/>
        <v>52.343547038911424</v>
      </c>
      <c r="N80" s="223">
        <f>'J) Plafonnement effort'!G79+'J) Plafonnement effort'!H79-'K) Plafonnement aide'!I79</f>
        <v>20.197944120039267</v>
      </c>
      <c r="O80" s="223">
        <f t="shared" si="9"/>
        <v>72.541491158950691</v>
      </c>
      <c r="P80" s="80">
        <f t="shared" si="10"/>
        <v>0</v>
      </c>
      <c r="Q80" s="98">
        <f t="shared" si="14"/>
        <v>0</v>
      </c>
      <c r="R80" s="258">
        <f t="shared" si="11"/>
        <v>72.541491158950691</v>
      </c>
      <c r="S80" s="223">
        <f t="shared" si="12"/>
        <v>-0.45850884104930856</v>
      </c>
      <c r="T80" s="257"/>
    </row>
    <row r="81" spans="1:20" x14ac:dyDescent="0.25">
      <c r="A81" s="82">
        <f>'A) Base RI'!A82</f>
        <v>5521</v>
      </c>
      <c r="B81" s="95" t="str">
        <f>'A) Base RI'!B82</f>
        <v>Etagnières</v>
      </c>
      <c r="C81" s="266">
        <v>535631.3803941299</v>
      </c>
      <c r="D81" s="267">
        <v>235366.40772196604</v>
      </c>
      <c r="E81" s="268">
        <v>0</v>
      </c>
      <c r="F81" s="267">
        <v>0</v>
      </c>
      <c r="G81" s="267">
        <v>0</v>
      </c>
      <c r="H81" s="269">
        <f t="shared" si="15"/>
        <v>770997.78811609594</v>
      </c>
      <c r="I81" s="353">
        <v>34622.225890410955</v>
      </c>
      <c r="J81" s="158">
        <f>'B) D RI'!U82</f>
        <v>36300.178904109591</v>
      </c>
      <c r="K81" s="115">
        <f t="shared" si="13"/>
        <v>22.268868285838117</v>
      </c>
      <c r="L81" s="63">
        <f>'B) D RI'!S82</f>
        <v>73</v>
      </c>
      <c r="M81" s="63">
        <f t="shared" si="8"/>
        <v>50.731131714161883</v>
      </c>
      <c r="N81" s="223">
        <f>'J) Plafonnement effort'!G80+'J) Plafonnement effort'!H80-'K) Plafonnement aide'!I80</f>
        <v>24.851793953947684</v>
      </c>
      <c r="O81" s="223">
        <f t="shared" si="9"/>
        <v>75.582925668109567</v>
      </c>
      <c r="P81" s="80">
        <f t="shared" si="10"/>
        <v>0</v>
      </c>
      <c r="Q81" s="98">
        <f t="shared" si="14"/>
        <v>0</v>
      </c>
      <c r="R81" s="258">
        <f t="shared" si="11"/>
        <v>75.582925668109567</v>
      </c>
      <c r="S81" s="223">
        <f t="shared" si="12"/>
        <v>2.5829256681095671</v>
      </c>
      <c r="T81" s="257"/>
    </row>
    <row r="82" spans="1:20" x14ac:dyDescent="0.25">
      <c r="A82" s="82">
        <f>'A) Base RI'!A83</f>
        <v>5522</v>
      </c>
      <c r="B82" s="95" t="str">
        <f>'A) Base RI'!B83</f>
        <v>Fey</v>
      </c>
      <c r="C82" s="266">
        <v>262223.06294749968</v>
      </c>
      <c r="D82" s="267">
        <v>39345.926296959457</v>
      </c>
      <c r="E82" s="268">
        <v>0</v>
      </c>
      <c r="F82" s="267">
        <v>0</v>
      </c>
      <c r="G82" s="267">
        <v>0</v>
      </c>
      <c r="H82" s="269">
        <f t="shared" si="15"/>
        <v>301568.98924445914</v>
      </c>
      <c r="I82" s="353">
        <v>17538.036282051282</v>
      </c>
      <c r="J82" s="158">
        <f>'B) D RI'!U83</f>
        <v>16159.379733333333</v>
      </c>
      <c r="K82" s="115">
        <f t="shared" si="13"/>
        <v>17.195140002822885</v>
      </c>
      <c r="L82" s="63">
        <f>'B) D RI'!S83</f>
        <v>75</v>
      </c>
      <c r="M82" s="63">
        <f t="shared" si="8"/>
        <v>57.804859997177118</v>
      </c>
      <c r="N82" s="223">
        <f>'J) Plafonnement effort'!G81+'J) Plafonnement effort'!H81-'K) Plafonnement aide'!I81</f>
        <v>8.2147220216519763</v>
      </c>
      <c r="O82" s="223">
        <f t="shared" si="9"/>
        <v>66.019582018829098</v>
      </c>
      <c r="P82" s="80">
        <f t="shared" si="10"/>
        <v>0</v>
      </c>
      <c r="Q82" s="98">
        <f t="shared" si="14"/>
        <v>0</v>
      </c>
      <c r="R82" s="258">
        <f t="shared" si="11"/>
        <v>66.019582018829098</v>
      </c>
      <c r="S82" s="223">
        <f t="shared" si="12"/>
        <v>-8.980417981170902</v>
      </c>
      <c r="T82" s="257"/>
    </row>
    <row r="83" spans="1:20" x14ac:dyDescent="0.25">
      <c r="A83" s="82">
        <f>'A) Base RI'!A84</f>
        <v>5523</v>
      </c>
      <c r="B83" s="95" t="str">
        <f>'A) Base RI'!B84</f>
        <v>Froideville</v>
      </c>
      <c r="C83" s="266">
        <v>1101857.0138802733</v>
      </c>
      <c r="D83" s="267">
        <v>238626.76026570518</v>
      </c>
      <c r="E83" s="268">
        <v>0</v>
      </c>
      <c r="F83" s="267">
        <v>0</v>
      </c>
      <c r="G83" s="267">
        <v>0</v>
      </c>
      <c r="H83" s="269">
        <f t="shared" si="15"/>
        <v>1340483.7741459785</v>
      </c>
      <c r="I83" s="353">
        <v>65694.489402985055</v>
      </c>
      <c r="J83" s="158">
        <f>'B) D RI'!U84</f>
        <v>72242.876052631575</v>
      </c>
      <c r="K83" s="115">
        <f t="shared" si="13"/>
        <v>20.404813041823704</v>
      </c>
      <c r="L83" s="63">
        <f>'B) D RI'!S84</f>
        <v>76</v>
      </c>
      <c r="M83" s="63">
        <f t="shared" si="8"/>
        <v>55.595186958176299</v>
      </c>
      <c r="N83" s="223">
        <f>'J) Plafonnement effort'!G82+'J) Plafonnement effort'!H82-'K) Plafonnement aide'!I82</f>
        <v>17.076927510653189</v>
      </c>
      <c r="O83" s="223">
        <f t="shared" si="9"/>
        <v>72.672114468829491</v>
      </c>
      <c r="P83" s="80">
        <f t="shared" si="10"/>
        <v>0</v>
      </c>
      <c r="Q83" s="98">
        <f t="shared" si="14"/>
        <v>0</v>
      </c>
      <c r="R83" s="258">
        <f t="shared" si="11"/>
        <v>72.672114468829491</v>
      </c>
      <c r="S83" s="223">
        <f t="shared" si="12"/>
        <v>-3.3278855311705087</v>
      </c>
      <c r="T83" s="257"/>
    </row>
    <row r="84" spans="1:20" x14ac:dyDescent="0.25">
      <c r="A84" s="82">
        <f>'A) Base RI'!A85</f>
        <v>5527</v>
      </c>
      <c r="B84" s="95" t="str">
        <f>'A) Base RI'!B85</f>
        <v>Morrens</v>
      </c>
      <c r="C84" s="266">
        <v>596009.37015735183</v>
      </c>
      <c r="D84" s="267">
        <v>556788.27833539341</v>
      </c>
      <c r="E84" s="268">
        <v>0</v>
      </c>
      <c r="F84" s="267">
        <v>0</v>
      </c>
      <c r="G84" s="267">
        <v>0</v>
      </c>
      <c r="H84" s="269">
        <f t="shared" si="15"/>
        <v>1152797.6484927451</v>
      </c>
      <c r="I84" s="353">
        <v>40466.873521126763</v>
      </c>
      <c r="J84" s="158">
        <f>'B) D RI'!U85</f>
        <v>37759.681126760574</v>
      </c>
      <c r="K84" s="115">
        <f t="shared" si="13"/>
        <v>28.487440421877359</v>
      </c>
      <c r="L84" s="63">
        <f>'B) D RI'!S85</f>
        <v>71</v>
      </c>
      <c r="M84" s="63">
        <f t="shared" si="8"/>
        <v>42.512559578122641</v>
      </c>
      <c r="N84" s="223">
        <f>'J) Plafonnement effort'!G83+'J) Plafonnement effort'!H83-'K) Plafonnement aide'!I83</f>
        <v>27.662887046080353</v>
      </c>
      <c r="O84" s="223">
        <f t="shared" si="9"/>
        <v>70.175446624202991</v>
      </c>
      <c r="P84" s="80">
        <f t="shared" si="10"/>
        <v>0</v>
      </c>
      <c r="Q84" s="98">
        <f t="shared" si="14"/>
        <v>0</v>
      </c>
      <c r="R84" s="258">
        <f t="shared" si="11"/>
        <v>70.175446624202991</v>
      </c>
      <c r="S84" s="223">
        <f t="shared" si="12"/>
        <v>-0.82455337579700938</v>
      </c>
      <c r="T84" s="257"/>
    </row>
    <row r="85" spans="1:20" x14ac:dyDescent="0.25">
      <c r="A85" s="82">
        <f>'A) Base RI'!A86</f>
        <v>5529</v>
      </c>
      <c r="B85" s="95" t="str">
        <f>'A) Base RI'!B86</f>
        <v>Oulens-sous-Echallens</v>
      </c>
      <c r="C85" s="266">
        <v>253078.08277482356</v>
      </c>
      <c r="D85" s="267">
        <v>201334.61197349394</v>
      </c>
      <c r="E85" s="268">
        <v>0</v>
      </c>
      <c r="F85" s="267">
        <v>0</v>
      </c>
      <c r="G85" s="267">
        <v>0</v>
      </c>
      <c r="H85" s="269">
        <f t="shared" si="15"/>
        <v>454412.69474831747</v>
      </c>
      <c r="I85" s="353">
        <v>19249.810270270271</v>
      </c>
      <c r="J85" s="158">
        <f>'B) D RI'!U86</f>
        <v>19397.63972972973</v>
      </c>
      <c r="K85" s="115">
        <f t="shared" si="13"/>
        <v>23.606086936353865</v>
      </c>
      <c r="L85" s="63">
        <f>'B) D RI'!S86</f>
        <v>74</v>
      </c>
      <c r="M85" s="63">
        <f t="shared" si="8"/>
        <v>50.393913063646139</v>
      </c>
      <c r="N85" s="223">
        <f>'J) Plafonnement effort'!G84+'J) Plafonnement effort'!H84-'K) Plafonnement aide'!I84</f>
        <v>18.717451560705513</v>
      </c>
      <c r="O85" s="223">
        <f t="shared" si="9"/>
        <v>69.111364624351651</v>
      </c>
      <c r="P85" s="80">
        <f t="shared" si="10"/>
        <v>0</v>
      </c>
      <c r="Q85" s="98">
        <f t="shared" si="14"/>
        <v>0</v>
      </c>
      <c r="R85" s="258">
        <f t="shared" si="11"/>
        <v>69.111364624351651</v>
      </c>
      <c r="S85" s="223">
        <f t="shared" si="12"/>
        <v>-4.8886353756483487</v>
      </c>
      <c r="T85" s="257"/>
    </row>
    <row r="86" spans="1:20" x14ac:dyDescent="0.25">
      <c r="A86" s="82">
        <f>'A) Base RI'!A87</f>
        <v>5530</v>
      </c>
      <c r="B86" s="95" t="str">
        <f>'A) Base RI'!B87</f>
        <v>Pailly</v>
      </c>
      <c r="C86" s="266">
        <v>203156.33078108271</v>
      </c>
      <c r="D86" s="267">
        <v>19870.868638873391</v>
      </c>
      <c r="E86" s="268">
        <v>0</v>
      </c>
      <c r="F86" s="267">
        <v>0</v>
      </c>
      <c r="G86" s="267">
        <v>0</v>
      </c>
      <c r="H86" s="269">
        <f t="shared" si="15"/>
        <v>223027.1994199561</v>
      </c>
      <c r="I86" s="353">
        <v>14097.224387096772</v>
      </c>
      <c r="J86" s="158">
        <f>'B) D RI'!U87</f>
        <v>13906.482623655915</v>
      </c>
      <c r="K86" s="115">
        <f t="shared" si="13"/>
        <v>15.820646199268383</v>
      </c>
      <c r="L86" s="63">
        <f>'B) D RI'!S87</f>
        <v>77.5</v>
      </c>
      <c r="M86" s="63">
        <f t="shared" si="8"/>
        <v>61.679353800731619</v>
      </c>
      <c r="N86" s="223">
        <f>'J) Plafonnement effort'!G85+'J) Plafonnement effort'!H85-'K) Plafonnement aide'!I85</f>
        <v>3.7360052798499215</v>
      </c>
      <c r="O86" s="223">
        <f t="shared" si="9"/>
        <v>65.415359080581538</v>
      </c>
      <c r="P86" s="80">
        <f t="shared" si="10"/>
        <v>0</v>
      </c>
      <c r="Q86" s="98">
        <f t="shared" si="14"/>
        <v>0</v>
      </c>
      <c r="R86" s="258">
        <f t="shared" si="11"/>
        <v>65.415359080581538</v>
      </c>
      <c r="S86" s="223">
        <f t="shared" si="12"/>
        <v>-12.084640919418462</v>
      </c>
      <c r="T86" s="257"/>
    </row>
    <row r="87" spans="1:20" x14ac:dyDescent="0.25">
      <c r="A87" s="82">
        <f>'A) Base RI'!A88</f>
        <v>5531</v>
      </c>
      <c r="B87" s="95" t="str">
        <f>'A) Base RI'!B88</f>
        <v>Penthéréaz</v>
      </c>
      <c r="C87" s="266">
        <v>184218.84716653524</v>
      </c>
      <c r="D87" s="267">
        <v>95262.067168741196</v>
      </c>
      <c r="E87" s="268">
        <v>0</v>
      </c>
      <c r="F87" s="267">
        <v>0</v>
      </c>
      <c r="G87" s="267">
        <v>0</v>
      </c>
      <c r="H87" s="269">
        <f t="shared" si="15"/>
        <v>279480.91433527647</v>
      </c>
      <c r="I87" s="353">
        <v>12412.483205128206</v>
      </c>
      <c r="J87" s="158">
        <f>'B) D RI'!U88</f>
        <v>13188.510897435897</v>
      </c>
      <c r="K87" s="115">
        <f t="shared" si="13"/>
        <v>22.516116212734062</v>
      </c>
      <c r="L87" s="63">
        <f>'B) D RI'!S88</f>
        <v>78</v>
      </c>
      <c r="M87" s="63">
        <f t="shared" si="8"/>
        <v>55.483883787265938</v>
      </c>
      <c r="N87" s="223">
        <f>'J) Plafonnement effort'!G86+'J) Plafonnement effort'!H86-'K) Plafonnement aide'!I86</f>
        <v>22.715822945826162</v>
      </c>
      <c r="O87" s="223">
        <f t="shared" si="9"/>
        <v>78.1997067330921</v>
      </c>
      <c r="P87" s="80">
        <f t="shared" si="10"/>
        <v>0</v>
      </c>
      <c r="Q87" s="98">
        <f t="shared" si="14"/>
        <v>0</v>
      </c>
      <c r="R87" s="258">
        <f t="shared" si="11"/>
        <v>78.1997067330921</v>
      </c>
      <c r="S87" s="223">
        <f t="shared" si="12"/>
        <v>0.19970673309209985</v>
      </c>
      <c r="T87" s="257"/>
    </row>
    <row r="88" spans="1:20" x14ac:dyDescent="0.25">
      <c r="A88" s="82">
        <f>'A) Base RI'!A89</f>
        <v>5533</v>
      </c>
      <c r="B88" s="95" t="str">
        <f>'A) Base RI'!B89</f>
        <v>Poliez-Pittet</v>
      </c>
      <c r="C88" s="266">
        <v>300882.39181025495</v>
      </c>
      <c r="D88" s="267">
        <v>96637.597184807179</v>
      </c>
      <c r="E88" s="268">
        <v>0</v>
      </c>
      <c r="F88" s="267">
        <v>0</v>
      </c>
      <c r="G88" s="267">
        <v>0</v>
      </c>
      <c r="H88" s="269">
        <f t="shared" si="15"/>
        <v>397519.98899506213</v>
      </c>
      <c r="I88" s="353">
        <v>21842.402535211269</v>
      </c>
      <c r="J88" s="158">
        <f>'B) D RI'!U89</f>
        <v>23278.194178403755</v>
      </c>
      <c r="K88" s="115">
        <f t="shared" si="13"/>
        <v>18.199462644012531</v>
      </c>
      <c r="L88" s="63">
        <f>'B) D RI'!S89</f>
        <v>71</v>
      </c>
      <c r="M88" s="63">
        <f t="shared" si="8"/>
        <v>52.800537355987473</v>
      </c>
      <c r="N88" s="223">
        <f>'J) Plafonnement effort'!G87+'J) Plafonnement effort'!H87-'K) Plafonnement aide'!I87</f>
        <v>19.784460442111357</v>
      </c>
      <c r="O88" s="223">
        <f t="shared" si="9"/>
        <v>72.584997798098826</v>
      </c>
      <c r="P88" s="80">
        <f t="shared" si="10"/>
        <v>0</v>
      </c>
      <c r="Q88" s="98">
        <f t="shared" si="14"/>
        <v>0</v>
      </c>
      <c r="R88" s="258">
        <f t="shared" si="11"/>
        <v>72.584997798098826</v>
      </c>
      <c r="S88" s="223">
        <f t="shared" si="12"/>
        <v>1.5849977980988257</v>
      </c>
      <c r="T88" s="257"/>
    </row>
    <row r="89" spans="1:20" x14ac:dyDescent="0.25">
      <c r="A89" s="82">
        <f>'A) Base RI'!A90</f>
        <v>5534</v>
      </c>
      <c r="B89" s="95" t="str">
        <f>'A) Base RI'!B90</f>
        <v>Rueyres</v>
      </c>
      <c r="C89" s="266">
        <v>99285.897855971882</v>
      </c>
      <c r="D89" s="267">
        <v>-2724.6235832548118</v>
      </c>
      <c r="E89" s="268">
        <v>0</v>
      </c>
      <c r="F89" s="267">
        <v>0</v>
      </c>
      <c r="G89" s="267">
        <v>0</v>
      </c>
      <c r="H89" s="269">
        <f t="shared" si="15"/>
        <v>96561.27427271707</v>
      </c>
      <c r="I89" s="353">
        <v>6416.9872602739733</v>
      </c>
      <c r="J89" s="158">
        <f>'B) D RI'!U90</f>
        <v>7491.8463013698638</v>
      </c>
      <c r="K89" s="115">
        <f t="shared" si="13"/>
        <v>15.047758450527823</v>
      </c>
      <c r="L89" s="63">
        <f>'B) D RI'!S90</f>
        <v>73</v>
      </c>
      <c r="M89" s="63">
        <f t="shared" si="8"/>
        <v>57.952241549472177</v>
      </c>
      <c r="N89" s="223">
        <f>'J) Plafonnement effort'!G88+'J) Plafonnement effort'!H88-'K) Plafonnement aide'!I88</f>
        <v>13.413412937175313</v>
      </c>
      <c r="O89" s="223">
        <f t="shared" si="9"/>
        <v>71.365654486647486</v>
      </c>
      <c r="P89" s="80">
        <f t="shared" si="10"/>
        <v>0</v>
      </c>
      <c r="Q89" s="98">
        <f t="shared" si="14"/>
        <v>0</v>
      </c>
      <c r="R89" s="258">
        <f t="shared" si="11"/>
        <v>71.365654486647486</v>
      </c>
      <c r="S89" s="223">
        <f t="shared" si="12"/>
        <v>-1.634345513352514</v>
      </c>
      <c r="T89" s="257"/>
    </row>
    <row r="90" spans="1:20" x14ac:dyDescent="0.25">
      <c r="A90" s="82">
        <f>'A) Base RI'!A91</f>
        <v>5535</v>
      </c>
      <c r="B90" s="95" t="str">
        <f>'A) Base RI'!B91</f>
        <v>Saint-Barthélemy</v>
      </c>
      <c r="C90" s="266">
        <v>296250.01561521844</v>
      </c>
      <c r="D90" s="267">
        <v>-21448.458160989103</v>
      </c>
      <c r="E90" s="268">
        <v>0</v>
      </c>
      <c r="F90" s="267">
        <v>0</v>
      </c>
      <c r="G90" s="267">
        <v>0</v>
      </c>
      <c r="H90" s="269">
        <f t="shared" si="15"/>
        <v>274801.55745422933</v>
      </c>
      <c r="I90" s="353">
        <v>20465.857012987017</v>
      </c>
      <c r="J90" s="158">
        <f>'B) D RI'!U91</f>
        <v>20337.444935064934</v>
      </c>
      <c r="K90" s="115">
        <f t="shared" si="13"/>
        <v>13.427317374486128</v>
      </c>
      <c r="L90" s="63">
        <f>'B) D RI'!S91</f>
        <v>77</v>
      </c>
      <c r="M90" s="63">
        <f t="shared" si="8"/>
        <v>63.57268262551387</v>
      </c>
      <c r="N90" s="223">
        <f>'J) Plafonnement effort'!G89+'J) Plafonnement effort'!H89-'K) Plafonnement aide'!I89</f>
        <v>15.452189679736948</v>
      </c>
      <c r="O90" s="223">
        <f t="shared" si="9"/>
        <v>79.024872305250824</v>
      </c>
      <c r="P90" s="80">
        <f t="shared" si="10"/>
        <v>0</v>
      </c>
      <c r="Q90" s="98">
        <f t="shared" si="14"/>
        <v>0</v>
      </c>
      <c r="R90" s="258">
        <f t="shared" si="11"/>
        <v>79.024872305250824</v>
      </c>
      <c r="S90" s="223">
        <f t="shared" si="12"/>
        <v>2.024872305250824</v>
      </c>
      <c r="T90" s="257"/>
    </row>
    <row r="91" spans="1:20" x14ac:dyDescent="0.25">
      <c r="A91" s="82">
        <f>'A) Base RI'!A92</f>
        <v>5537</v>
      </c>
      <c r="B91" s="95" t="str">
        <f>'A) Base RI'!B92</f>
        <v>Villars-le-Terroir</v>
      </c>
      <c r="C91" s="266">
        <v>465964.21071746596</v>
      </c>
      <c r="D91" s="267">
        <v>276488.24704006576</v>
      </c>
      <c r="E91" s="268">
        <v>0</v>
      </c>
      <c r="F91" s="267">
        <v>0</v>
      </c>
      <c r="G91" s="267">
        <v>0</v>
      </c>
      <c r="H91" s="269">
        <f t="shared" si="15"/>
        <v>742452.45775753167</v>
      </c>
      <c r="I91" s="353">
        <v>29640.276739130437</v>
      </c>
      <c r="J91" s="158">
        <f>'B) D RI'!U92</f>
        <v>28392.00020547945</v>
      </c>
      <c r="K91" s="115">
        <f t="shared" si="13"/>
        <v>25.048769425872546</v>
      </c>
      <c r="L91" s="63">
        <f>'B) D RI'!S92</f>
        <v>73</v>
      </c>
      <c r="M91" s="63">
        <f t="shared" si="8"/>
        <v>47.95123057412745</v>
      </c>
      <c r="N91" s="223">
        <f>'J) Plafonnement effort'!G90+'J) Plafonnement effort'!H90-'K) Plafonnement aide'!I90</f>
        <v>24.34229511606512</v>
      </c>
      <c r="O91" s="223">
        <f t="shared" si="9"/>
        <v>72.293525690192567</v>
      </c>
      <c r="P91" s="80">
        <f t="shared" si="10"/>
        <v>0</v>
      </c>
      <c r="Q91" s="98">
        <f t="shared" si="14"/>
        <v>0</v>
      </c>
      <c r="R91" s="258">
        <f t="shared" si="11"/>
        <v>72.293525690192567</v>
      </c>
      <c r="S91" s="223">
        <f t="shared" si="12"/>
        <v>-0.70647430980743309</v>
      </c>
      <c r="T91" s="257"/>
    </row>
    <row r="92" spans="1:20" x14ac:dyDescent="0.25">
      <c r="A92" s="82">
        <f>'A) Base RI'!A93</f>
        <v>5539</v>
      </c>
      <c r="B92" s="95" t="str">
        <f>'A) Base RI'!B93</f>
        <v>Vuarrens</v>
      </c>
      <c r="C92" s="266">
        <v>357272.94553894299</v>
      </c>
      <c r="D92" s="267">
        <v>-73454.210988774081</v>
      </c>
      <c r="E92" s="268">
        <v>0</v>
      </c>
      <c r="F92" s="267">
        <v>0</v>
      </c>
      <c r="G92" s="267">
        <v>0</v>
      </c>
      <c r="H92" s="269">
        <f t="shared" si="15"/>
        <v>283818.73455016891</v>
      </c>
      <c r="I92" s="353">
        <v>21912.430766666668</v>
      </c>
      <c r="J92" s="158">
        <f>'B) D RI'!U93</f>
        <v>22715.815066666666</v>
      </c>
      <c r="K92" s="115">
        <f t="shared" si="13"/>
        <v>12.952407588751669</v>
      </c>
      <c r="L92" s="63">
        <f>'B) D RI'!S93</f>
        <v>75</v>
      </c>
      <c r="M92" s="63">
        <f t="shared" si="8"/>
        <v>62.047592411248331</v>
      </c>
      <c r="N92" s="223">
        <f>'J) Plafonnement effort'!G91+'J) Plafonnement effort'!H91-'K) Plafonnement aide'!I91</f>
        <v>14.889020249565018</v>
      </c>
      <c r="O92" s="223">
        <f t="shared" si="9"/>
        <v>76.936612660813353</v>
      </c>
      <c r="P92" s="80">
        <f t="shared" si="10"/>
        <v>0</v>
      </c>
      <c r="Q92" s="98">
        <f t="shared" si="14"/>
        <v>0</v>
      </c>
      <c r="R92" s="258">
        <f t="shared" si="11"/>
        <v>76.936612660813353</v>
      </c>
      <c r="S92" s="223">
        <f t="shared" si="12"/>
        <v>1.9366126608133527</v>
      </c>
      <c r="T92" s="257"/>
    </row>
    <row r="93" spans="1:20" x14ac:dyDescent="0.25">
      <c r="A93" s="82">
        <f>'A) Base RI'!A94</f>
        <v>5540</v>
      </c>
      <c r="B93" s="95" t="str">
        <f>'A) Base RI'!B94</f>
        <v>Montilliez</v>
      </c>
      <c r="C93" s="266">
        <v>727007.9619247521</v>
      </c>
      <c r="D93" s="267">
        <v>64729.38263343554</v>
      </c>
      <c r="E93" s="268">
        <v>0</v>
      </c>
      <c r="F93" s="267">
        <v>0</v>
      </c>
      <c r="G93" s="267">
        <v>0</v>
      </c>
      <c r="H93" s="269">
        <f t="shared" si="15"/>
        <v>791737.34455818764</v>
      </c>
      <c r="I93" s="353">
        <v>47050.976047297292</v>
      </c>
      <c r="J93" s="158">
        <f>'B) D RI'!U94</f>
        <v>49229.090304054065</v>
      </c>
      <c r="K93" s="115">
        <f>H93/I93</f>
        <v>16.827224662933784</v>
      </c>
      <c r="L93" s="63">
        <f>'B) D RI'!S94</f>
        <v>74</v>
      </c>
      <c r="M93" s="63">
        <f>L93-K93</f>
        <v>57.172775337066213</v>
      </c>
      <c r="N93" s="223">
        <f>'J) Plafonnement effort'!G92+'J) Plafonnement effort'!H92-'K) Plafonnement aide'!I92</f>
        <v>16.508571781561599</v>
      </c>
      <c r="O93" s="223">
        <f>M93+N93</f>
        <v>73.681347118627812</v>
      </c>
      <c r="P93" s="80">
        <f t="shared" si="10"/>
        <v>0</v>
      </c>
      <c r="Q93" s="98">
        <f>P93*J93</f>
        <v>0</v>
      </c>
      <c r="R93" s="258">
        <f>O93+P93</f>
        <v>73.681347118627812</v>
      </c>
      <c r="S93" s="223">
        <f>R93-L93</f>
        <v>-0.31865288137218784</v>
      </c>
      <c r="T93" s="257"/>
    </row>
    <row r="94" spans="1:20" x14ac:dyDescent="0.25">
      <c r="A94" s="82">
        <f>'A) Base RI'!A95</f>
        <v>5541</v>
      </c>
      <c r="B94" s="95" t="str">
        <f>'A) Base RI'!B95</f>
        <v>Goumoëns</v>
      </c>
      <c r="C94" s="266">
        <v>568478.97256986704</v>
      </c>
      <c r="D94" s="267">
        <v>330597.66607446887</v>
      </c>
      <c r="E94" s="268">
        <v>0</v>
      </c>
      <c r="F94" s="267">
        <v>0</v>
      </c>
      <c r="G94" s="267">
        <v>0</v>
      </c>
      <c r="H94" s="269">
        <f t="shared" si="15"/>
        <v>899076.63864433591</v>
      </c>
      <c r="I94" s="353">
        <v>32479.948450704222</v>
      </c>
      <c r="J94" s="158">
        <f>'B) D RI'!U95</f>
        <v>28419.250909090908</v>
      </c>
      <c r="K94" s="115">
        <f>H94/I94</f>
        <v>27.680974925464895</v>
      </c>
      <c r="L94" s="63">
        <f>'B) D RI'!S95</f>
        <v>77</v>
      </c>
      <c r="M94" s="63">
        <f>L94-K94</f>
        <v>49.319025074535105</v>
      </c>
      <c r="N94" s="223">
        <f>'J) Plafonnement effort'!G93+'J) Plafonnement effort'!H93-'K) Plafonnement aide'!I93</f>
        <v>19.106213099910839</v>
      </c>
      <c r="O94" s="223">
        <f>M94+N94</f>
        <v>68.425238174445951</v>
      </c>
      <c r="P94" s="80">
        <f t="shared" si="10"/>
        <v>0</v>
      </c>
      <c r="Q94" s="98">
        <f>P94*J94</f>
        <v>0</v>
      </c>
      <c r="R94" s="258">
        <f>O94+P94</f>
        <v>68.425238174445951</v>
      </c>
      <c r="S94" s="223">
        <f>R94-L94</f>
        <v>-8.5747618255540488</v>
      </c>
      <c r="T94" s="257"/>
    </row>
    <row r="95" spans="1:20" x14ac:dyDescent="0.25">
      <c r="A95" s="82">
        <f>'A) Base RI'!A96</f>
        <v>5551</v>
      </c>
      <c r="B95" s="95" t="str">
        <f>'A) Base RI'!B96</f>
        <v>Bonvillars</v>
      </c>
      <c r="C95" s="266">
        <v>231989.25548199317</v>
      </c>
      <c r="D95" s="267">
        <v>166331.18294590118</v>
      </c>
      <c r="E95" s="268">
        <v>0</v>
      </c>
      <c r="F95" s="267">
        <v>0</v>
      </c>
      <c r="G95" s="267">
        <v>0</v>
      </c>
      <c r="H95" s="269">
        <f t="shared" si="15"/>
        <v>398320.43842789438</v>
      </c>
      <c r="I95" s="353">
        <v>16062.073999999997</v>
      </c>
      <c r="J95" s="158">
        <f>'B) D RI'!U96</f>
        <v>20657.866545454548</v>
      </c>
      <c r="K95" s="115">
        <f t="shared" si="13"/>
        <v>24.798817290213858</v>
      </c>
      <c r="L95" s="63">
        <f>'B) D RI'!S96</f>
        <v>55</v>
      </c>
      <c r="M95" s="63">
        <f>L95-K95</f>
        <v>30.201182709786142</v>
      </c>
      <c r="N95" s="223">
        <f>'J) Plafonnement effort'!G94+'J) Plafonnement effort'!H94-'K) Plafonnement aide'!I94</f>
        <v>31.722574301408159</v>
      </c>
      <c r="O95" s="223">
        <f>M95+N95</f>
        <v>61.923757011194297</v>
      </c>
      <c r="P95" s="80">
        <f t="shared" si="10"/>
        <v>0</v>
      </c>
      <c r="Q95" s="98">
        <f>P95*J95</f>
        <v>0</v>
      </c>
      <c r="R95" s="258">
        <f>O95+P95</f>
        <v>61.923757011194297</v>
      </c>
      <c r="S95" s="223">
        <f>R95-L95</f>
        <v>6.9237570111942972</v>
      </c>
      <c r="T95" s="257"/>
    </row>
    <row r="96" spans="1:20" x14ac:dyDescent="0.25">
      <c r="A96" s="82">
        <f>'A) Base RI'!A97</f>
        <v>5552</v>
      </c>
      <c r="B96" s="95" t="str">
        <f>'A) Base RI'!B97</f>
        <v>Bullet</v>
      </c>
      <c r="C96" s="266">
        <v>317533.8326805731</v>
      </c>
      <c r="D96" s="267">
        <v>15757.456007347093</v>
      </c>
      <c r="E96" s="268">
        <v>0</v>
      </c>
      <c r="F96" s="267">
        <v>0</v>
      </c>
      <c r="G96" s="267">
        <v>0</v>
      </c>
      <c r="H96" s="269">
        <f t="shared" si="15"/>
        <v>333291.2886879202</v>
      </c>
      <c r="I96" s="353">
        <v>15663.215571428569</v>
      </c>
      <c r="J96" s="158">
        <f>'B) D RI'!U97</f>
        <v>15344.039999999997</v>
      </c>
      <c r="K96" s="115">
        <f t="shared" si="13"/>
        <v>21.278599350690175</v>
      </c>
      <c r="L96" s="63">
        <f>'B) D RI'!S97</f>
        <v>70</v>
      </c>
      <c r="M96" s="63">
        <f t="shared" si="8"/>
        <v>48.721400649309828</v>
      </c>
      <c r="N96" s="223">
        <f>'J) Plafonnement effort'!G95+'J) Plafonnement effort'!H95-'K) Plafonnement aide'!I95</f>
        <v>10.830382099468336</v>
      </c>
      <c r="O96" s="223">
        <f t="shared" si="9"/>
        <v>59.551782748778166</v>
      </c>
      <c r="P96" s="80">
        <f t="shared" si="10"/>
        <v>0</v>
      </c>
      <c r="Q96" s="98">
        <f t="shared" si="14"/>
        <v>0</v>
      </c>
      <c r="R96" s="258">
        <f t="shared" si="11"/>
        <v>59.551782748778166</v>
      </c>
      <c r="S96" s="223">
        <f t="shared" si="12"/>
        <v>-10.448217251221834</v>
      </c>
      <c r="T96" s="257"/>
    </row>
    <row r="97" spans="1:20" x14ac:dyDescent="0.25">
      <c r="A97" s="82">
        <f>'A) Base RI'!A98</f>
        <v>5553</v>
      </c>
      <c r="B97" s="95" t="str">
        <f>'A) Base RI'!B98</f>
        <v>Champagne</v>
      </c>
      <c r="C97" s="266">
        <v>514939.18585584324</v>
      </c>
      <c r="D97" s="267">
        <v>434769.39306120452</v>
      </c>
      <c r="E97" s="268">
        <v>0</v>
      </c>
      <c r="F97" s="267">
        <v>0</v>
      </c>
      <c r="G97" s="267">
        <v>0</v>
      </c>
      <c r="H97" s="269">
        <f t="shared" si="15"/>
        <v>949708.57891704771</v>
      </c>
      <c r="I97" s="353">
        <v>36056.025238095237</v>
      </c>
      <c r="J97" s="158">
        <f>'B) D RI'!U98</f>
        <v>34561.95904761905</v>
      </c>
      <c r="K97" s="115">
        <f t="shared" si="13"/>
        <v>26.339802367167934</v>
      </c>
      <c r="L97" s="63">
        <f>'B) D RI'!S98</f>
        <v>63</v>
      </c>
      <c r="M97" s="63">
        <f t="shared" si="8"/>
        <v>36.660197632832066</v>
      </c>
      <c r="N97" s="223">
        <f>'J) Plafonnement effort'!G96+'J) Plafonnement effort'!H96-'K) Plafonnement aide'!I96</f>
        <v>24.842567978462895</v>
      </c>
      <c r="O97" s="223">
        <f t="shared" si="9"/>
        <v>61.502765611294961</v>
      </c>
      <c r="P97" s="80">
        <f t="shared" si="10"/>
        <v>0</v>
      </c>
      <c r="Q97" s="98">
        <f t="shared" si="14"/>
        <v>0</v>
      </c>
      <c r="R97" s="258">
        <f t="shared" si="11"/>
        <v>61.502765611294961</v>
      </c>
      <c r="S97" s="223">
        <f t="shared" si="12"/>
        <v>-1.4972343887050386</v>
      </c>
      <c r="T97" s="257"/>
    </row>
    <row r="98" spans="1:20" x14ac:dyDescent="0.25">
      <c r="A98" s="82">
        <f>'A) Base RI'!A99</f>
        <v>5554</v>
      </c>
      <c r="B98" s="95" t="str">
        <f>'A) Base RI'!B99</f>
        <v>Concise</v>
      </c>
      <c r="C98" s="266">
        <v>471461.77244503819</v>
      </c>
      <c r="D98" s="267">
        <v>142513.14509754855</v>
      </c>
      <c r="E98" s="268">
        <v>0</v>
      </c>
      <c r="F98" s="267">
        <v>0</v>
      </c>
      <c r="G98" s="267">
        <v>0</v>
      </c>
      <c r="H98" s="269">
        <f t="shared" si="15"/>
        <v>613974.9175425868</v>
      </c>
      <c r="I98" s="353">
        <v>28650.767999999996</v>
      </c>
      <c r="J98" s="158">
        <f>'B) D RI'!U99</f>
        <v>28927.786533333336</v>
      </c>
      <c r="K98" s="115">
        <f t="shared" si="13"/>
        <v>21.429614645673265</v>
      </c>
      <c r="L98" s="63">
        <f>'B) D RI'!S99</f>
        <v>75</v>
      </c>
      <c r="M98" s="63">
        <f t="shared" si="8"/>
        <v>53.570385354326731</v>
      </c>
      <c r="N98" s="223">
        <f>'J) Plafonnement effort'!G97+'J) Plafonnement effort'!H97-'K) Plafonnement aide'!I97</f>
        <v>20.792521234215716</v>
      </c>
      <c r="O98" s="223">
        <f t="shared" si="9"/>
        <v>74.362906588542444</v>
      </c>
      <c r="P98" s="80">
        <f t="shared" si="10"/>
        <v>0</v>
      </c>
      <c r="Q98" s="98">
        <f t="shared" si="14"/>
        <v>0</v>
      </c>
      <c r="R98" s="258">
        <f t="shared" si="11"/>
        <v>74.362906588542444</v>
      </c>
      <c r="S98" s="223">
        <f t="shared" si="12"/>
        <v>-0.63709341145755616</v>
      </c>
      <c r="T98" s="257"/>
    </row>
    <row r="99" spans="1:20" x14ac:dyDescent="0.25">
      <c r="A99" s="82">
        <f>'A) Base RI'!A100</f>
        <v>5555</v>
      </c>
      <c r="B99" s="95" t="str">
        <f>'A) Base RI'!B100</f>
        <v>Corcelles-près-Concise</v>
      </c>
      <c r="C99" s="266">
        <v>167596.03822737801</v>
      </c>
      <c r="D99" s="267">
        <v>60872.513495836145</v>
      </c>
      <c r="E99" s="268">
        <v>0</v>
      </c>
      <c r="F99" s="267">
        <v>0</v>
      </c>
      <c r="G99" s="267">
        <v>0</v>
      </c>
      <c r="H99" s="269">
        <f t="shared" si="15"/>
        <v>228468.55172321416</v>
      </c>
      <c r="I99" s="353">
        <v>9501.9956338028169</v>
      </c>
      <c r="J99" s="158">
        <f>'B) D RI'!U100</f>
        <v>9553.9681690140824</v>
      </c>
      <c r="K99" s="115">
        <f t="shared" si="13"/>
        <v>24.044270333112983</v>
      </c>
      <c r="L99" s="63">
        <f>'B) D RI'!S100</f>
        <v>71</v>
      </c>
      <c r="M99" s="63">
        <f t="shared" si="8"/>
        <v>46.955729666887017</v>
      </c>
      <c r="N99" s="223">
        <f>'J) Plafonnement effort'!G98+'J) Plafonnement effort'!H98-'K) Plafonnement aide'!I98</f>
        <v>11.102575577792308</v>
      </c>
      <c r="O99" s="223">
        <f t="shared" si="9"/>
        <v>58.058305244679325</v>
      </c>
      <c r="P99" s="80">
        <f t="shared" si="10"/>
        <v>0</v>
      </c>
      <c r="Q99" s="98">
        <f t="shared" si="14"/>
        <v>0</v>
      </c>
      <c r="R99" s="258">
        <f t="shared" si="11"/>
        <v>58.058305244679325</v>
      </c>
      <c r="S99" s="223">
        <f t="shared" si="12"/>
        <v>-12.941694755320675</v>
      </c>
      <c r="T99" s="257"/>
    </row>
    <row r="100" spans="1:20" x14ac:dyDescent="0.25">
      <c r="A100" s="82">
        <f>'A) Base RI'!A101</f>
        <v>5556</v>
      </c>
      <c r="B100" s="95" t="str">
        <f>'A) Base RI'!B101</f>
        <v>Fiez</v>
      </c>
      <c r="C100" s="266">
        <v>147765.23832716211</v>
      </c>
      <c r="D100" s="267">
        <v>-17240.173942948168</v>
      </c>
      <c r="E100" s="268">
        <v>0</v>
      </c>
      <c r="F100" s="267">
        <v>0</v>
      </c>
      <c r="G100" s="267">
        <v>0</v>
      </c>
      <c r="H100" s="269">
        <f t="shared" si="15"/>
        <v>130525.06438421394</v>
      </c>
      <c r="I100" s="353">
        <v>9744.8835797101437</v>
      </c>
      <c r="J100" s="158">
        <f>'B) D RI'!U101</f>
        <v>10930.395096618358</v>
      </c>
      <c r="K100" s="115">
        <f t="shared" si="13"/>
        <v>13.394214853010727</v>
      </c>
      <c r="L100" s="63">
        <f>'B) D RI'!S101</f>
        <v>69</v>
      </c>
      <c r="M100" s="63">
        <f t="shared" si="8"/>
        <v>55.605785146989277</v>
      </c>
      <c r="N100" s="223">
        <f>'J) Plafonnement effort'!G99+'J) Plafonnement effort'!H99-'K) Plafonnement aide'!I99</f>
        <v>16.81175241212982</v>
      </c>
      <c r="O100" s="223">
        <f t="shared" si="9"/>
        <v>72.417537559119097</v>
      </c>
      <c r="P100" s="80">
        <f t="shared" si="10"/>
        <v>0</v>
      </c>
      <c r="Q100" s="98">
        <f t="shared" si="14"/>
        <v>0</v>
      </c>
      <c r="R100" s="258">
        <f t="shared" si="11"/>
        <v>72.417537559119097</v>
      </c>
      <c r="S100" s="223">
        <f t="shared" si="12"/>
        <v>3.4175375591190971</v>
      </c>
      <c r="T100" s="257"/>
    </row>
    <row r="101" spans="1:20" x14ac:dyDescent="0.25">
      <c r="A101" s="82">
        <f>'A) Base RI'!A102</f>
        <v>5557</v>
      </c>
      <c r="B101" s="95" t="str">
        <f>'A) Base RI'!B102</f>
        <v>Fontaines-sur-Grandson</v>
      </c>
      <c r="C101" s="266">
        <v>85450.535831796078</v>
      </c>
      <c r="D101" s="267">
        <v>-4304.4196362119983</v>
      </c>
      <c r="E101" s="268">
        <v>0</v>
      </c>
      <c r="F101" s="267">
        <v>0</v>
      </c>
      <c r="G101" s="267">
        <v>0</v>
      </c>
      <c r="H101" s="269">
        <f t="shared" si="15"/>
        <v>81146.11619558408</v>
      </c>
      <c r="I101" s="353">
        <v>3728.144782608696</v>
      </c>
      <c r="J101" s="158">
        <f>'B) D RI'!U102</f>
        <v>4594.8315942028985</v>
      </c>
      <c r="K101" s="115">
        <f t="shared" si="13"/>
        <v>21.7658167606902</v>
      </c>
      <c r="L101" s="63">
        <f>'B) D RI'!S102</f>
        <v>69</v>
      </c>
      <c r="M101" s="63">
        <f t="shared" si="8"/>
        <v>47.2341832393098</v>
      </c>
      <c r="N101" s="223">
        <f>'J) Plafonnement effort'!G100+'J) Plafonnement effort'!H100-'K) Plafonnement aide'!I100</f>
        <v>22.401853275518171</v>
      </c>
      <c r="O101" s="223">
        <f t="shared" si="9"/>
        <v>69.636036514827964</v>
      </c>
      <c r="P101" s="80">
        <f t="shared" si="10"/>
        <v>0</v>
      </c>
      <c r="Q101" s="98">
        <f t="shared" si="14"/>
        <v>0</v>
      </c>
      <c r="R101" s="258">
        <f t="shared" si="11"/>
        <v>69.636036514827964</v>
      </c>
      <c r="S101" s="223">
        <f t="shared" si="12"/>
        <v>0.63603651482796408</v>
      </c>
      <c r="T101" s="257"/>
    </row>
    <row r="102" spans="1:20" x14ac:dyDescent="0.25">
      <c r="A102" s="82">
        <f>'A) Base RI'!A103</f>
        <v>5559</v>
      </c>
      <c r="B102" s="95" t="str">
        <f>'A) Base RI'!B103</f>
        <v>Giez</v>
      </c>
      <c r="C102" s="266">
        <v>257948.64224720269</v>
      </c>
      <c r="D102" s="267">
        <v>230948.32128855941</v>
      </c>
      <c r="E102" s="268">
        <v>0</v>
      </c>
      <c r="F102" s="267">
        <v>0</v>
      </c>
      <c r="G102" s="267">
        <v>0</v>
      </c>
      <c r="H102" s="269">
        <f t="shared" si="15"/>
        <v>488896.9635357621</v>
      </c>
      <c r="I102" s="353">
        <v>15925.809545454544</v>
      </c>
      <c r="J102" s="158">
        <f>'B) D RI'!U103</f>
        <v>14748.809242424242</v>
      </c>
      <c r="K102" s="115">
        <f t="shared" si="13"/>
        <v>30.698405763322743</v>
      </c>
      <c r="L102" s="63">
        <f>'B) D RI'!S103</f>
        <v>66</v>
      </c>
      <c r="M102" s="63">
        <f t="shared" si="8"/>
        <v>35.301594236677261</v>
      </c>
      <c r="N102" s="223">
        <f>'J) Plafonnement effort'!G101+'J) Plafonnement effort'!H101-'K) Plafonnement aide'!I101</f>
        <v>36.39194529159586</v>
      </c>
      <c r="O102" s="223">
        <f t="shared" si="9"/>
        <v>71.693539528273121</v>
      </c>
      <c r="P102" s="80">
        <f t="shared" si="10"/>
        <v>0</v>
      </c>
      <c r="Q102" s="98">
        <f t="shared" si="14"/>
        <v>0</v>
      </c>
      <c r="R102" s="258">
        <f t="shared" si="11"/>
        <v>71.693539528273121</v>
      </c>
      <c r="S102" s="223">
        <f t="shared" si="12"/>
        <v>5.6935395282731207</v>
      </c>
      <c r="T102" s="257"/>
    </row>
    <row r="103" spans="1:20" x14ac:dyDescent="0.25">
      <c r="A103" s="82">
        <f>'A) Base RI'!A104</f>
        <v>5560</v>
      </c>
      <c r="B103" s="95" t="str">
        <f>'A) Base RI'!B104</f>
        <v>Grandevent</v>
      </c>
      <c r="C103" s="266">
        <v>96232.82646295664</v>
      </c>
      <c r="D103" s="267">
        <v>19278.432639344959</v>
      </c>
      <c r="E103" s="268">
        <v>0</v>
      </c>
      <c r="F103" s="267">
        <v>0</v>
      </c>
      <c r="G103" s="267">
        <v>0</v>
      </c>
      <c r="H103" s="269">
        <f t="shared" si="15"/>
        <v>115511.2591023016</v>
      </c>
      <c r="I103" s="353">
        <v>6086.3834848484858</v>
      </c>
      <c r="J103" s="158">
        <f>'B) D RI'!U104</f>
        <v>6117.1622727272734</v>
      </c>
      <c r="K103" s="115">
        <f t="shared" si="13"/>
        <v>18.978636392178817</v>
      </c>
      <c r="L103" s="63">
        <f>'B) D RI'!S104</f>
        <v>66</v>
      </c>
      <c r="M103" s="63">
        <f t="shared" si="8"/>
        <v>47.021363607821186</v>
      </c>
      <c r="N103" s="223">
        <f>'J) Plafonnement effort'!G102+'J) Plafonnement effort'!H102-'K) Plafonnement aide'!I102</f>
        <v>26.449023497331666</v>
      </c>
      <c r="O103" s="223">
        <f t="shared" si="9"/>
        <v>73.470387105152852</v>
      </c>
      <c r="P103" s="80">
        <f t="shared" si="10"/>
        <v>0</v>
      </c>
      <c r="Q103" s="98">
        <f t="shared" si="14"/>
        <v>0</v>
      </c>
      <c r="R103" s="258">
        <f t="shared" si="11"/>
        <v>73.470387105152852</v>
      </c>
      <c r="S103" s="223">
        <f t="shared" si="12"/>
        <v>7.4703871051528523</v>
      </c>
      <c r="T103" s="257"/>
    </row>
    <row r="104" spans="1:20" x14ac:dyDescent="0.25">
      <c r="A104" s="82">
        <f>'A) Base RI'!A105</f>
        <v>5561</v>
      </c>
      <c r="B104" s="95" t="str">
        <f>'A) Base RI'!B105</f>
        <v>Grandson</v>
      </c>
      <c r="C104" s="266">
        <v>1759210.5836718231</v>
      </c>
      <c r="D104" s="267">
        <v>328313.57855879352</v>
      </c>
      <c r="E104" s="268">
        <v>0</v>
      </c>
      <c r="F104" s="267">
        <v>0</v>
      </c>
      <c r="G104" s="267">
        <v>0</v>
      </c>
      <c r="H104" s="269">
        <f t="shared" si="15"/>
        <v>2087524.1622306167</v>
      </c>
      <c r="I104" s="353">
        <v>103670.29260869566</v>
      </c>
      <c r="J104" s="158">
        <f>'B) D RI'!U105</f>
        <v>108535.21144927538</v>
      </c>
      <c r="K104" s="115">
        <f t="shared" si="13"/>
        <v>20.136184722753637</v>
      </c>
      <c r="L104" s="63">
        <f>'B) D RI'!S105</f>
        <v>69</v>
      </c>
      <c r="M104" s="63">
        <f t="shared" si="8"/>
        <v>48.86381527724636</v>
      </c>
      <c r="N104" s="223">
        <f>'J) Plafonnement effort'!G103+'J) Plafonnement effort'!H103-'K) Plafonnement aide'!I103</f>
        <v>16.917075014344306</v>
      </c>
      <c r="O104" s="223">
        <f t="shared" si="9"/>
        <v>65.780890291590666</v>
      </c>
      <c r="P104" s="80">
        <f t="shared" si="10"/>
        <v>0</v>
      </c>
      <c r="Q104" s="98">
        <f t="shared" si="14"/>
        <v>0</v>
      </c>
      <c r="R104" s="258">
        <f t="shared" si="11"/>
        <v>65.780890291590666</v>
      </c>
      <c r="S104" s="223">
        <f t="shared" si="12"/>
        <v>-3.2191097084093343</v>
      </c>
      <c r="T104" s="257"/>
    </row>
    <row r="105" spans="1:20" x14ac:dyDescent="0.25">
      <c r="A105" s="82">
        <f>'A) Base RI'!A106</f>
        <v>5562</v>
      </c>
      <c r="B105" s="95" t="str">
        <f>'A) Base RI'!B106</f>
        <v>Mauborget</v>
      </c>
      <c r="C105" s="266">
        <v>63587.418181966474</v>
      </c>
      <c r="D105" s="267">
        <v>27184.003931499152</v>
      </c>
      <c r="E105" s="268">
        <v>0</v>
      </c>
      <c r="F105" s="267">
        <v>0</v>
      </c>
      <c r="G105" s="267">
        <v>0</v>
      </c>
      <c r="H105" s="269">
        <f t="shared" si="15"/>
        <v>90771.422113465625</v>
      </c>
      <c r="I105" s="353">
        <v>3498.1342380952378</v>
      </c>
      <c r="J105" s="158">
        <f>'B) D RI'!U106</f>
        <v>3378.0009047619046</v>
      </c>
      <c r="K105" s="115">
        <f t="shared" si="13"/>
        <v>25.948524537723685</v>
      </c>
      <c r="L105" s="63">
        <f>'B) D RI'!S106</f>
        <v>70</v>
      </c>
      <c r="M105" s="63">
        <f t="shared" si="8"/>
        <v>44.051475462276315</v>
      </c>
      <c r="N105" s="223">
        <f>'J) Plafonnement effort'!G104+'J) Plafonnement effort'!H104-'K) Plafonnement aide'!I104</f>
        <v>25.428852581313066</v>
      </c>
      <c r="O105" s="223">
        <f t="shared" si="9"/>
        <v>69.480328043589381</v>
      </c>
      <c r="P105" s="80">
        <f t="shared" si="10"/>
        <v>0</v>
      </c>
      <c r="Q105" s="98">
        <f t="shared" si="14"/>
        <v>0</v>
      </c>
      <c r="R105" s="258">
        <f t="shared" si="11"/>
        <v>69.480328043589381</v>
      </c>
      <c r="S105" s="223">
        <f t="shared" si="12"/>
        <v>-0.51967195641061892</v>
      </c>
      <c r="T105" s="257"/>
    </row>
    <row r="106" spans="1:20" x14ac:dyDescent="0.25">
      <c r="A106" s="82">
        <f>'A) Base RI'!A107</f>
        <v>5563</v>
      </c>
      <c r="B106" s="95" t="str">
        <f>'A) Base RI'!B107</f>
        <v>Mutrux</v>
      </c>
      <c r="C106" s="266">
        <v>52083.240513914352</v>
      </c>
      <c r="D106" s="267">
        <v>-21781.42345534591</v>
      </c>
      <c r="E106" s="268">
        <v>0</v>
      </c>
      <c r="F106" s="267">
        <v>0</v>
      </c>
      <c r="G106" s="267">
        <v>0</v>
      </c>
      <c r="H106" s="269">
        <f t="shared" si="15"/>
        <v>30301.817058568442</v>
      </c>
      <c r="I106" s="353">
        <v>3275.5038216560511</v>
      </c>
      <c r="J106" s="158">
        <f>'B) D RI'!U107</f>
        <v>3733.6552866242037</v>
      </c>
      <c r="K106" s="115">
        <f t="shared" si="13"/>
        <v>9.2510400562586579</v>
      </c>
      <c r="L106" s="63">
        <f>'B) D RI'!S107</f>
        <v>78.5</v>
      </c>
      <c r="M106" s="63">
        <f t="shared" si="8"/>
        <v>69.24895994374134</v>
      </c>
      <c r="N106" s="223">
        <f>'J) Plafonnement effort'!G105+'J) Plafonnement effort'!H105-'K) Plafonnement aide'!I105</f>
        <v>2.6895298026051915</v>
      </c>
      <c r="O106" s="223">
        <f t="shared" si="9"/>
        <v>71.938489746346534</v>
      </c>
      <c r="P106" s="80">
        <f t="shared" si="10"/>
        <v>0</v>
      </c>
      <c r="Q106" s="98">
        <f t="shared" si="14"/>
        <v>0</v>
      </c>
      <c r="R106" s="258">
        <f t="shared" si="11"/>
        <v>71.938489746346534</v>
      </c>
      <c r="S106" s="223">
        <f t="shared" si="12"/>
        <v>-6.5615102536534664</v>
      </c>
      <c r="T106" s="257"/>
    </row>
    <row r="107" spans="1:20" x14ac:dyDescent="0.25">
      <c r="A107" s="82">
        <f>'A) Base RI'!A108</f>
        <v>5564</v>
      </c>
      <c r="B107" s="95" t="str">
        <f>'A) Base RI'!B108</f>
        <v>Novalles</v>
      </c>
      <c r="C107" s="266">
        <v>34798.338095451727</v>
      </c>
      <c r="D107" s="267">
        <v>-6472.2277953927696</v>
      </c>
      <c r="E107" s="268">
        <v>0</v>
      </c>
      <c r="F107" s="267">
        <v>0</v>
      </c>
      <c r="G107" s="267">
        <v>0</v>
      </c>
      <c r="H107" s="269">
        <f t="shared" si="15"/>
        <v>28326.110300058957</v>
      </c>
      <c r="I107" s="353">
        <v>2658.8284539473684</v>
      </c>
      <c r="J107" s="158">
        <f>'B) D RI'!U108</f>
        <v>2399.5770723684213</v>
      </c>
      <c r="K107" s="115">
        <f t="shared" si="13"/>
        <v>10.653605823273498</v>
      </c>
      <c r="L107" s="63">
        <f>'B) D RI'!S108</f>
        <v>76</v>
      </c>
      <c r="M107" s="63">
        <f t="shared" si="8"/>
        <v>65.346394176726506</v>
      </c>
      <c r="N107" s="223">
        <f>'J) Plafonnement effort'!G106+'J) Plafonnement effort'!H106-'K) Plafonnement aide'!I106</f>
        <v>9.1490568478982262</v>
      </c>
      <c r="O107" s="223">
        <f t="shared" si="9"/>
        <v>74.495451024624728</v>
      </c>
      <c r="P107" s="80">
        <f t="shared" si="10"/>
        <v>0</v>
      </c>
      <c r="Q107" s="98">
        <f t="shared" si="14"/>
        <v>0</v>
      </c>
      <c r="R107" s="258">
        <f t="shared" si="11"/>
        <v>74.495451024624728</v>
      </c>
      <c r="S107" s="223">
        <f t="shared" si="12"/>
        <v>-1.5045489753752719</v>
      </c>
      <c r="T107" s="257"/>
    </row>
    <row r="108" spans="1:20" x14ac:dyDescent="0.25">
      <c r="A108" s="82">
        <f>'A) Base RI'!A109</f>
        <v>5565</v>
      </c>
      <c r="B108" s="95" t="str">
        <f>'A) Base RI'!B109</f>
        <v>Onnens</v>
      </c>
      <c r="C108" s="266">
        <v>257088.4839472204</v>
      </c>
      <c r="D108" s="267">
        <v>154244.78816192804</v>
      </c>
      <c r="E108" s="268">
        <v>0</v>
      </c>
      <c r="F108" s="267">
        <v>0</v>
      </c>
      <c r="G108" s="267">
        <v>0</v>
      </c>
      <c r="H108" s="269">
        <f t="shared" si="15"/>
        <v>411333.27210914844</v>
      </c>
      <c r="I108" s="353">
        <v>16453.239846153847</v>
      </c>
      <c r="J108" s="158">
        <f>'B) D RI'!U109</f>
        <v>18028.040615384612</v>
      </c>
      <c r="K108" s="115">
        <f t="shared" si="13"/>
        <v>25.000138328701432</v>
      </c>
      <c r="L108" s="63">
        <f>'B) D RI'!S109</f>
        <v>65</v>
      </c>
      <c r="M108" s="63">
        <f t="shared" si="8"/>
        <v>39.999861671298568</v>
      </c>
      <c r="N108" s="223">
        <f>'J) Plafonnement effort'!G107+'J) Plafonnement effort'!H107-'K) Plafonnement aide'!I107</f>
        <v>42.954694909006733</v>
      </c>
      <c r="O108" s="223">
        <f t="shared" si="9"/>
        <v>82.954556580305308</v>
      </c>
      <c r="P108" s="80">
        <f t="shared" si="10"/>
        <v>0</v>
      </c>
      <c r="Q108" s="98">
        <f t="shared" si="14"/>
        <v>0</v>
      </c>
      <c r="R108" s="258">
        <f t="shared" si="11"/>
        <v>82.954556580305308</v>
      </c>
      <c r="S108" s="223">
        <f t="shared" si="12"/>
        <v>17.954556580305308</v>
      </c>
      <c r="T108" s="257"/>
    </row>
    <row r="109" spans="1:20" x14ac:dyDescent="0.25">
      <c r="A109" s="82">
        <f>'A) Base RI'!A110</f>
        <v>5566</v>
      </c>
      <c r="B109" s="95" t="str">
        <f>'A) Base RI'!B110</f>
        <v>Provence</v>
      </c>
      <c r="C109" s="266">
        <v>109363.76192547104</v>
      </c>
      <c r="D109" s="267">
        <v>-94614.09246389952</v>
      </c>
      <c r="E109" s="268">
        <v>0</v>
      </c>
      <c r="F109" s="267">
        <v>0</v>
      </c>
      <c r="G109" s="267">
        <v>0</v>
      </c>
      <c r="H109" s="269">
        <f t="shared" si="15"/>
        <v>14749.669461571524</v>
      </c>
      <c r="I109" s="353">
        <v>7557.6771604938285</v>
      </c>
      <c r="J109" s="158">
        <f>'B) D RI'!U110</f>
        <v>6953.5259259259255</v>
      </c>
      <c r="K109" s="115">
        <f t="shared" si="13"/>
        <v>1.9516141200992716</v>
      </c>
      <c r="L109" s="63">
        <f>'B) D RI'!S110</f>
        <v>81</v>
      </c>
      <c r="M109" s="63">
        <f t="shared" si="8"/>
        <v>79.048385879900735</v>
      </c>
      <c r="N109" s="223">
        <f>'J) Plafonnement effort'!G108+'J) Plafonnement effort'!H108-'K) Plafonnement aide'!I108</f>
        <v>-20.254813905845278</v>
      </c>
      <c r="O109" s="223">
        <f t="shared" si="9"/>
        <v>58.793571974055453</v>
      </c>
      <c r="P109" s="80">
        <f t="shared" si="10"/>
        <v>0</v>
      </c>
      <c r="Q109" s="98">
        <f t="shared" si="14"/>
        <v>0</v>
      </c>
      <c r="R109" s="258">
        <f t="shared" si="11"/>
        <v>58.793571974055453</v>
      </c>
      <c r="S109" s="223">
        <f t="shared" si="12"/>
        <v>-22.206428025944547</v>
      </c>
      <c r="T109" s="257"/>
    </row>
    <row r="110" spans="1:20" x14ac:dyDescent="0.25">
      <c r="A110" s="82">
        <f>'A) Base RI'!A111</f>
        <v>5568</v>
      </c>
      <c r="B110" s="95" t="str">
        <f>'A) Base RI'!B111</f>
        <v>Sainte-Croix</v>
      </c>
      <c r="C110" s="266">
        <v>2187763.5113507342</v>
      </c>
      <c r="D110" s="267">
        <v>-1989165.8609166611</v>
      </c>
      <c r="E110" s="268">
        <v>0</v>
      </c>
      <c r="F110" s="267">
        <v>0</v>
      </c>
      <c r="G110" s="267">
        <v>0</v>
      </c>
      <c r="H110" s="269">
        <f t="shared" si="15"/>
        <v>198597.65043407306</v>
      </c>
      <c r="I110" s="353">
        <v>96568.175857142851</v>
      </c>
      <c r="J110" s="158">
        <f>'B) D RI'!U111</f>
        <v>95577.709714285724</v>
      </c>
      <c r="K110" s="115">
        <f t="shared" si="13"/>
        <v>2.0565538146631916</v>
      </c>
      <c r="L110" s="63">
        <f>'B) D RI'!S111</f>
        <v>70</v>
      </c>
      <c r="M110" s="63">
        <f t="shared" si="8"/>
        <v>67.943446185336811</v>
      </c>
      <c r="N110" s="223">
        <f>'J) Plafonnement effort'!G109+'J) Plafonnement effort'!H109-'K) Plafonnement aide'!I109</f>
        <v>-5.3498574430486769</v>
      </c>
      <c r="O110" s="223">
        <f t="shared" si="9"/>
        <v>62.593588742288134</v>
      </c>
      <c r="P110" s="80">
        <f t="shared" si="10"/>
        <v>0</v>
      </c>
      <c r="Q110" s="98">
        <f t="shared" si="14"/>
        <v>0</v>
      </c>
      <c r="R110" s="258">
        <f t="shared" si="11"/>
        <v>62.593588742288134</v>
      </c>
      <c r="S110" s="223">
        <f t="shared" si="12"/>
        <v>-7.4064112577118664</v>
      </c>
      <c r="T110" s="257"/>
    </row>
    <row r="111" spans="1:20" x14ac:dyDescent="0.25">
      <c r="A111" s="82">
        <f>'A) Base RI'!A112</f>
        <v>5571</v>
      </c>
      <c r="B111" s="95" t="str">
        <f>'A) Base RI'!B112</f>
        <v>Tévenon</v>
      </c>
      <c r="C111" s="266">
        <v>330839.68096057221</v>
      </c>
      <c r="D111" s="267">
        <v>-21862.153371077322</v>
      </c>
      <c r="E111" s="268">
        <v>0</v>
      </c>
      <c r="F111" s="267">
        <v>0</v>
      </c>
      <c r="G111" s="267">
        <v>0</v>
      </c>
      <c r="H111" s="269">
        <f t="shared" si="15"/>
        <v>308977.52758949489</v>
      </c>
      <c r="I111" s="353">
        <v>18851.007694063926</v>
      </c>
      <c r="J111" s="158">
        <f>'B) D RI'!U112</f>
        <v>19746.460639269408</v>
      </c>
      <c r="K111" s="115">
        <f t="shared" si="13"/>
        <v>16.390504561026205</v>
      </c>
      <c r="L111" s="63">
        <f>'B) D RI'!S112</f>
        <v>73</v>
      </c>
      <c r="M111" s="63">
        <f t="shared" si="8"/>
        <v>56.609495438973795</v>
      </c>
      <c r="N111" s="223">
        <f>'J) Plafonnement effort'!G110+'J) Plafonnement effort'!H110-'K) Plafonnement aide'!I110</f>
        <v>14.847194896095891</v>
      </c>
      <c r="O111" s="223">
        <f t="shared" si="9"/>
        <v>71.45669033506968</v>
      </c>
      <c r="P111" s="80">
        <f t="shared" si="10"/>
        <v>0</v>
      </c>
      <c r="Q111" s="98">
        <f t="shared" si="14"/>
        <v>0</v>
      </c>
      <c r="R111" s="258">
        <f t="shared" si="11"/>
        <v>71.45669033506968</v>
      </c>
      <c r="S111" s="223">
        <f t="shared" si="12"/>
        <v>-1.5433096649303195</v>
      </c>
      <c r="T111" s="257"/>
    </row>
    <row r="112" spans="1:20" x14ac:dyDescent="0.25">
      <c r="A112" s="82">
        <f>'A) Base RI'!A113</f>
        <v>5581</v>
      </c>
      <c r="B112" s="95" t="str">
        <f>'A) Base RI'!B113</f>
        <v>Belmont-sur-Lausanne</v>
      </c>
      <c r="C112" s="266">
        <v>2921845.3585250233</v>
      </c>
      <c r="D112" s="267">
        <v>2286337.1745799999</v>
      </c>
      <c r="E112" s="268">
        <v>0</v>
      </c>
      <c r="F112" s="267">
        <v>0</v>
      </c>
      <c r="G112" s="267">
        <v>0</v>
      </c>
      <c r="H112" s="269">
        <f t="shared" si="15"/>
        <v>5208182.5331050232</v>
      </c>
      <c r="I112" s="353">
        <v>182559.47403755868</v>
      </c>
      <c r="J112" s="158">
        <f>'B) D RI'!U113</f>
        <v>180220.53318944844</v>
      </c>
      <c r="K112" s="115">
        <f t="shared" si="13"/>
        <v>28.528689406902668</v>
      </c>
      <c r="L112" s="63">
        <f>'B) D RI'!S113</f>
        <v>69.5</v>
      </c>
      <c r="M112" s="63">
        <f t="shared" si="8"/>
        <v>40.971310593097328</v>
      </c>
      <c r="N112" s="223">
        <f>'J) Plafonnement effort'!G111+'J) Plafonnement effort'!H111-'K) Plafonnement aide'!I111</f>
        <v>27.264294971659361</v>
      </c>
      <c r="O112" s="223">
        <f t="shared" si="9"/>
        <v>68.235605564756696</v>
      </c>
      <c r="P112" s="80">
        <f t="shared" si="10"/>
        <v>0</v>
      </c>
      <c r="Q112" s="98">
        <f t="shared" si="14"/>
        <v>0</v>
      </c>
      <c r="R112" s="258">
        <f t="shared" si="11"/>
        <v>68.235605564756696</v>
      </c>
      <c r="S112" s="223">
        <f t="shared" si="12"/>
        <v>-1.2643944352433039</v>
      </c>
      <c r="T112" s="257"/>
    </row>
    <row r="113" spans="1:20" x14ac:dyDescent="0.25">
      <c r="A113" s="82">
        <f>'A) Base RI'!A114</f>
        <v>5582</v>
      </c>
      <c r="B113" s="95" t="str">
        <f>'A) Base RI'!B114</f>
        <v>Cheseaux-sur-Lausanne</v>
      </c>
      <c r="C113" s="266">
        <v>2311653.7583386484</v>
      </c>
      <c r="D113" s="267">
        <v>780363.26566931885</v>
      </c>
      <c r="E113" s="268">
        <v>0</v>
      </c>
      <c r="F113" s="267">
        <v>0</v>
      </c>
      <c r="G113" s="267">
        <v>0</v>
      </c>
      <c r="H113" s="269">
        <f t="shared" si="15"/>
        <v>3092017.0240079672</v>
      </c>
      <c r="I113" s="353">
        <v>148298.74308724832</v>
      </c>
      <c r="J113" s="158">
        <f>'B) D RI'!U114</f>
        <v>145388.39302013422</v>
      </c>
      <c r="K113" s="115">
        <f t="shared" si="13"/>
        <v>20.849920637485422</v>
      </c>
      <c r="L113" s="63">
        <f>'B) D RI'!S114</f>
        <v>74.5</v>
      </c>
      <c r="M113" s="63">
        <f t="shared" si="8"/>
        <v>53.650079362514575</v>
      </c>
      <c r="N113" s="223">
        <f>'J) Plafonnement effort'!G112+'J) Plafonnement effort'!H112-'K) Plafonnement aide'!I112</f>
        <v>19.776030265601712</v>
      </c>
      <c r="O113" s="223">
        <f t="shared" si="9"/>
        <v>73.426109628116279</v>
      </c>
      <c r="P113" s="80">
        <f t="shared" si="10"/>
        <v>0</v>
      </c>
      <c r="Q113" s="98">
        <f t="shared" si="14"/>
        <v>0</v>
      </c>
      <c r="R113" s="258">
        <f t="shared" si="11"/>
        <v>73.426109628116279</v>
      </c>
      <c r="S113" s="223">
        <f t="shared" si="12"/>
        <v>-1.0738903718837207</v>
      </c>
      <c r="T113" s="257"/>
    </row>
    <row r="114" spans="1:20" x14ac:dyDescent="0.25">
      <c r="A114" s="82">
        <f>'A) Base RI'!A115</f>
        <v>5583</v>
      </c>
      <c r="B114" s="95" t="str">
        <f>'A) Base RI'!B115</f>
        <v>Crissier</v>
      </c>
      <c r="C114" s="266">
        <v>5250256.931292383</v>
      </c>
      <c r="D114" s="267">
        <v>2757766.0494759995</v>
      </c>
      <c r="E114" s="268">
        <v>0</v>
      </c>
      <c r="F114" s="267">
        <v>0</v>
      </c>
      <c r="G114" s="267">
        <v>0</v>
      </c>
      <c r="H114" s="269">
        <f t="shared" si="15"/>
        <v>8008022.9807683825</v>
      </c>
      <c r="I114" s="353">
        <v>323682.45584615384</v>
      </c>
      <c r="J114" s="158">
        <f>'B) D RI'!U115</f>
        <v>300610.54815384618</v>
      </c>
      <c r="K114" s="115">
        <f t="shared" si="13"/>
        <v>24.740367715742348</v>
      </c>
      <c r="L114" s="63">
        <f>'B) D RI'!S115</f>
        <v>65</v>
      </c>
      <c r="M114" s="63">
        <f t="shared" si="8"/>
        <v>40.259632284257648</v>
      </c>
      <c r="N114" s="223">
        <f>'J) Plafonnement effort'!G113+'J) Plafonnement effort'!H113-'K) Plafonnement aide'!I113</f>
        <v>18.337154222598969</v>
      </c>
      <c r="O114" s="223">
        <f t="shared" si="9"/>
        <v>58.596786506856617</v>
      </c>
      <c r="P114" s="80">
        <f t="shared" si="10"/>
        <v>0</v>
      </c>
      <c r="Q114" s="98">
        <f t="shared" si="14"/>
        <v>0</v>
      </c>
      <c r="R114" s="258">
        <f t="shared" si="11"/>
        <v>58.596786506856617</v>
      </c>
      <c r="S114" s="223">
        <f t="shared" si="12"/>
        <v>-6.4032134931433831</v>
      </c>
      <c r="T114" s="257"/>
    </row>
    <row r="115" spans="1:20" x14ac:dyDescent="0.25">
      <c r="A115" s="82">
        <f>'A) Base RI'!A116</f>
        <v>5584</v>
      </c>
      <c r="B115" s="95" t="str">
        <f>'A) Base RI'!B116</f>
        <v>Epalinges</v>
      </c>
      <c r="C115" s="266">
        <v>6999782.7252313821</v>
      </c>
      <c r="D115" s="267">
        <v>3570730.7856419994</v>
      </c>
      <c r="E115" s="268">
        <v>0</v>
      </c>
      <c r="F115" s="267">
        <v>0</v>
      </c>
      <c r="G115" s="267">
        <v>0</v>
      </c>
      <c r="H115" s="269">
        <f t="shared" si="15"/>
        <v>10570513.510873381</v>
      </c>
      <c r="I115" s="353">
        <v>420371.08181818185</v>
      </c>
      <c r="J115" s="158">
        <f>'B) D RI'!U116</f>
        <v>461506.63590909087</v>
      </c>
      <c r="K115" s="115">
        <f t="shared" si="13"/>
        <v>25.14567240247349</v>
      </c>
      <c r="L115" s="63">
        <f>'B) D RI'!S116</f>
        <v>66</v>
      </c>
      <c r="M115" s="63">
        <f t="shared" ref="M115:M169" si="16">L115-K115</f>
        <v>40.854327597526506</v>
      </c>
      <c r="N115" s="223">
        <f>'J) Plafonnement effort'!G114+'J) Plafonnement effort'!H114-'K) Plafonnement aide'!I114</f>
        <v>21.098378903120597</v>
      </c>
      <c r="O115" s="223">
        <f t="shared" ref="O115:O169" si="17">M115+N115</f>
        <v>61.952706500647103</v>
      </c>
      <c r="P115" s="80">
        <f t="shared" ref="P115:P169" si="18">IF(O115&gt;$P$5,$P$5-O115,0)</f>
        <v>0</v>
      </c>
      <c r="Q115" s="98">
        <f t="shared" si="14"/>
        <v>0</v>
      </c>
      <c r="R115" s="258">
        <f t="shared" ref="R115:R169" si="19">O115+P115</f>
        <v>61.952706500647103</v>
      </c>
      <c r="S115" s="223">
        <f t="shared" ref="S115:S169" si="20">R115-L115</f>
        <v>-4.0472934993528966</v>
      </c>
      <c r="T115" s="257"/>
    </row>
    <row r="116" spans="1:20" x14ac:dyDescent="0.25">
      <c r="A116" s="82">
        <f>'A) Base RI'!A117</f>
        <v>5585</v>
      </c>
      <c r="B116" s="95" t="str">
        <f>'A) Base RI'!B117</f>
        <v>Jouxtens-Mézery</v>
      </c>
      <c r="C116" s="266">
        <v>7395232.2693844186</v>
      </c>
      <c r="D116" s="267">
        <v>2741045.73149125</v>
      </c>
      <c r="E116" s="268">
        <v>0</v>
      </c>
      <c r="F116" s="267">
        <v>0</v>
      </c>
      <c r="G116" s="267">
        <v>0</v>
      </c>
      <c r="H116" s="269">
        <f t="shared" si="15"/>
        <v>10136278.000875669</v>
      </c>
      <c r="I116" s="353">
        <v>161958.65136175969</v>
      </c>
      <c r="J116" s="158">
        <f>'B) D RI'!U117</f>
        <v>191565.37515151518</v>
      </c>
      <c r="K116" s="115">
        <f t="shared" si="13"/>
        <v>62.58559154234203</v>
      </c>
      <c r="L116" s="63">
        <f>'B) D RI'!S117</f>
        <v>55</v>
      </c>
      <c r="M116" s="63">
        <f t="shared" si="16"/>
        <v>-7.5855915423420299</v>
      </c>
      <c r="N116" s="223">
        <f>'J) Plafonnement effort'!G115+'J) Plafonnement effort'!H115-'K) Plafonnement aide'!I115</f>
        <v>45.561695956439515</v>
      </c>
      <c r="O116" s="223">
        <f t="shared" si="17"/>
        <v>37.976104414097485</v>
      </c>
      <c r="P116" s="80">
        <f t="shared" si="18"/>
        <v>0</v>
      </c>
      <c r="Q116" s="98">
        <f t="shared" si="14"/>
        <v>0</v>
      </c>
      <c r="R116" s="258">
        <f t="shared" si="19"/>
        <v>37.976104414097485</v>
      </c>
      <c r="S116" s="223">
        <f t="shared" si="20"/>
        <v>-17.023895585902515</v>
      </c>
      <c r="T116" s="257"/>
    </row>
    <row r="117" spans="1:20" x14ac:dyDescent="0.25">
      <c r="A117" s="82">
        <f>'A) Base RI'!A118</f>
        <v>5586</v>
      </c>
      <c r="B117" s="95" t="str">
        <f>'A) Base RI'!B118</f>
        <v>Lausanne</v>
      </c>
      <c r="C117" s="266">
        <v>98273607.055008858</v>
      </c>
      <c r="D117" s="267">
        <v>-20192265.170824513</v>
      </c>
      <c r="E117" s="268">
        <v>0</v>
      </c>
      <c r="F117" s="267">
        <v>0</v>
      </c>
      <c r="G117" s="267">
        <v>0</v>
      </c>
      <c r="H117" s="269">
        <f t="shared" si="15"/>
        <v>78081341.884184346</v>
      </c>
      <c r="I117" s="353">
        <v>6153378.3607172994</v>
      </c>
      <c r="J117" s="158">
        <f>'B) D RI'!U118</f>
        <v>6035853.3985654004</v>
      </c>
      <c r="K117" s="115">
        <f t="shared" ref="K117:K170" si="21">H117/I117</f>
        <v>12.689182641953192</v>
      </c>
      <c r="L117" s="63">
        <f>'B) D RI'!S118</f>
        <v>79</v>
      </c>
      <c r="M117" s="63">
        <f t="shared" si="16"/>
        <v>66.310817358046805</v>
      </c>
      <c r="N117" s="223">
        <f>'J) Plafonnement effort'!G116+'J) Plafonnement effort'!H116-'K) Plafonnement aide'!I116</f>
        <v>6.3363013314035781</v>
      </c>
      <c r="O117" s="223">
        <f t="shared" si="17"/>
        <v>72.64711868945038</v>
      </c>
      <c r="P117" s="80">
        <f t="shared" si="18"/>
        <v>0</v>
      </c>
      <c r="Q117" s="98">
        <f t="shared" si="14"/>
        <v>0</v>
      </c>
      <c r="R117" s="258">
        <f t="shared" si="19"/>
        <v>72.64711868945038</v>
      </c>
      <c r="S117" s="223">
        <f t="shared" si="20"/>
        <v>-6.3528813105496198</v>
      </c>
      <c r="T117" s="257"/>
    </row>
    <row r="118" spans="1:20" x14ac:dyDescent="0.25">
      <c r="A118" s="82">
        <f>'A) Base RI'!A119</f>
        <v>5587</v>
      </c>
      <c r="B118" s="95" t="str">
        <f>'A) Base RI'!B119</f>
        <v>Le Mont-sur-Lausanne</v>
      </c>
      <c r="C118" s="266">
        <v>6098552.2207040424</v>
      </c>
      <c r="D118" s="267">
        <v>3946769.3826749995</v>
      </c>
      <c r="E118" s="268">
        <v>0</v>
      </c>
      <c r="F118" s="267">
        <v>0</v>
      </c>
      <c r="G118" s="267">
        <v>0</v>
      </c>
      <c r="H118" s="269">
        <f t="shared" si="15"/>
        <v>10045321.603379041</v>
      </c>
      <c r="I118" s="353">
        <v>367463.18603158148</v>
      </c>
      <c r="J118" s="158">
        <f>'B) D RI'!U119</f>
        <v>349051.38502222218</v>
      </c>
      <c r="K118" s="115">
        <f t="shared" si="21"/>
        <v>27.336946897629357</v>
      </c>
      <c r="L118" s="63">
        <f>'B) D RI'!S119</f>
        <v>75</v>
      </c>
      <c r="M118" s="63">
        <f t="shared" si="16"/>
        <v>47.66305310237064</v>
      </c>
      <c r="N118" s="223">
        <f>'J) Plafonnement effort'!G117+'J) Plafonnement effort'!H117-'K) Plafonnement aide'!I117</f>
        <v>22.295926483007783</v>
      </c>
      <c r="O118" s="223">
        <f t="shared" si="17"/>
        <v>69.958979585378415</v>
      </c>
      <c r="P118" s="80">
        <f t="shared" si="18"/>
        <v>0</v>
      </c>
      <c r="Q118" s="98">
        <f t="shared" ref="Q118:Q171" si="22">P118*J118</f>
        <v>0</v>
      </c>
      <c r="R118" s="258">
        <f t="shared" si="19"/>
        <v>69.958979585378415</v>
      </c>
      <c r="S118" s="223">
        <f t="shared" si="20"/>
        <v>-5.0410204146215847</v>
      </c>
      <c r="T118" s="257"/>
    </row>
    <row r="119" spans="1:20" x14ac:dyDescent="0.25">
      <c r="A119" s="82">
        <f>'A) Base RI'!A120</f>
        <v>5588</v>
      </c>
      <c r="B119" s="95" t="str">
        <f>'A) Base RI'!B120</f>
        <v>Paudex</v>
      </c>
      <c r="C119" s="266">
        <v>3304019.4494611137</v>
      </c>
      <c r="D119" s="267">
        <v>1911618.0888359998</v>
      </c>
      <c r="E119" s="268">
        <v>0</v>
      </c>
      <c r="F119" s="267">
        <v>0</v>
      </c>
      <c r="G119" s="267">
        <v>0</v>
      </c>
      <c r="H119" s="269">
        <f t="shared" si="15"/>
        <v>5215637.538297113</v>
      </c>
      <c r="I119" s="353">
        <v>117407.14854035065</v>
      </c>
      <c r="J119" s="158">
        <f>'B) D RI'!U120</f>
        <v>152550.33605110337</v>
      </c>
      <c r="K119" s="115">
        <f t="shared" si="21"/>
        <v>44.423509157149795</v>
      </c>
      <c r="L119" s="63">
        <f>'B) D RI'!S120</f>
        <v>61.5</v>
      </c>
      <c r="M119" s="63">
        <f t="shared" si="16"/>
        <v>17.076490842850205</v>
      </c>
      <c r="N119" s="223">
        <f>'J) Plafonnement effort'!G118+'J) Plafonnement effort'!H118-'K) Plafonnement aide'!I118</f>
        <v>41.726335241494724</v>
      </c>
      <c r="O119" s="223">
        <f t="shared" si="17"/>
        <v>58.802826084344929</v>
      </c>
      <c r="P119" s="80">
        <f t="shared" si="18"/>
        <v>0</v>
      </c>
      <c r="Q119" s="98">
        <f t="shared" si="22"/>
        <v>0</v>
      </c>
      <c r="R119" s="258">
        <f t="shared" si="19"/>
        <v>58.802826084344929</v>
      </c>
      <c r="S119" s="223">
        <f t="shared" si="20"/>
        <v>-2.6971739156550711</v>
      </c>
      <c r="T119" s="257"/>
    </row>
    <row r="120" spans="1:20" x14ac:dyDescent="0.25">
      <c r="A120" s="82">
        <f>'A) Base RI'!A121</f>
        <v>5589</v>
      </c>
      <c r="B120" s="95" t="str">
        <f>'A) Base RI'!B121</f>
        <v>Prilly</v>
      </c>
      <c r="C120" s="266">
        <v>6719661.3185499609</v>
      </c>
      <c r="D120" s="267">
        <v>-795580.97166076116</v>
      </c>
      <c r="E120" s="268">
        <v>0</v>
      </c>
      <c r="F120" s="267">
        <v>0</v>
      </c>
      <c r="G120" s="267">
        <v>0</v>
      </c>
      <c r="H120" s="269">
        <f t="shared" si="15"/>
        <v>5924080.3468891997</v>
      </c>
      <c r="I120" s="353">
        <v>416463.67523809522</v>
      </c>
      <c r="J120" s="158">
        <f>'B) D RI'!U121</f>
        <v>409964.00829931977</v>
      </c>
      <c r="K120" s="115">
        <f t="shared" si="21"/>
        <v>14.224722824871488</v>
      </c>
      <c r="L120" s="63">
        <f>'B) D RI'!S121</f>
        <v>73.5</v>
      </c>
      <c r="M120" s="63">
        <f t="shared" si="16"/>
        <v>59.275277175128508</v>
      </c>
      <c r="N120" s="223">
        <f>'J) Plafonnement effort'!G119+'J) Plafonnement effort'!H119-'K) Plafonnement aide'!I119</f>
        <v>6.8497899820117887</v>
      </c>
      <c r="O120" s="223">
        <f t="shared" si="17"/>
        <v>66.125067157140293</v>
      </c>
      <c r="P120" s="80">
        <f t="shared" si="18"/>
        <v>0</v>
      </c>
      <c r="Q120" s="98">
        <f t="shared" si="22"/>
        <v>0</v>
      </c>
      <c r="R120" s="258">
        <f t="shared" si="19"/>
        <v>66.125067157140293</v>
      </c>
      <c r="S120" s="223">
        <f t="shared" si="20"/>
        <v>-7.3749328428597067</v>
      </c>
      <c r="T120" s="257"/>
    </row>
    <row r="121" spans="1:20" x14ac:dyDescent="0.25">
      <c r="A121" s="82">
        <f>'A) Base RI'!A122</f>
        <v>5590</v>
      </c>
      <c r="B121" s="95" t="str">
        <f>'A) Base RI'!B122</f>
        <v>Pully</v>
      </c>
      <c r="C121" s="266">
        <v>29454377.385051582</v>
      </c>
      <c r="D121" s="267">
        <v>9710998.9567657486</v>
      </c>
      <c r="E121" s="268">
        <v>0</v>
      </c>
      <c r="F121" s="267">
        <v>0</v>
      </c>
      <c r="G121" s="267">
        <v>0</v>
      </c>
      <c r="H121" s="269">
        <f t="shared" si="15"/>
        <v>39165376.341817334</v>
      </c>
      <c r="I121" s="353">
        <v>1205961.5746530143</v>
      </c>
      <c r="J121" s="158">
        <f>'B) D RI'!U122</f>
        <v>1412228.1927210884</v>
      </c>
      <c r="K121" s="115">
        <f t="shared" si="21"/>
        <v>32.476471195266903</v>
      </c>
      <c r="L121" s="63">
        <f>'B) D RI'!S122</f>
        <v>63</v>
      </c>
      <c r="M121" s="63">
        <f t="shared" si="16"/>
        <v>30.523528804733097</v>
      </c>
      <c r="N121" s="223">
        <f>'J) Plafonnement effort'!G120+'J) Plafonnement effort'!H120-'K) Plafonnement aide'!I120</f>
        <v>31.863031340243239</v>
      </c>
      <c r="O121" s="223">
        <f t="shared" si="17"/>
        <v>62.386560144976336</v>
      </c>
      <c r="P121" s="80">
        <f t="shared" si="18"/>
        <v>0</v>
      </c>
      <c r="Q121" s="98">
        <f t="shared" si="22"/>
        <v>0</v>
      </c>
      <c r="R121" s="258">
        <f t="shared" si="19"/>
        <v>62.386560144976336</v>
      </c>
      <c r="S121" s="223">
        <f t="shared" si="20"/>
        <v>-0.61343985502366394</v>
      </c>
      <c r="T121" s="257"/>
    </row>
    <row r="122" spans="1:20" x14ac:dyDescent="0.25">
      <c r="A122" s="82">
        <f>'A) Base RI'!A123</f>
        <v>5591</v>
      </c>
      <c r="B122" s="95" t="str">
        <f>'A) Base RI'!B123</f>
        <v>Renens</v>
      </c>
      <c r="C122" s="266">
        <v>11079517.300064217</v>
      </c>
      <c r="D122" s="267">
        <v>-11996663.831564866</v>
      </c>
      <c r="E122" s="268">
        <v>0</v>
      </c>
      <c r="F122" s="267">
        <v>0</v>
      </c>
      <c r="G122" s="267">
        <v>0</v>
      </c>
      <c r="H122" s="269">
        <f t="shared" si="15"/>
        <v>-917146.53150064871</v>
      </c>
      <c r="I122" s="353">
        <v>578792.53979981807</v>
      </c>
      <c r="J122" s="158">
        <f>'B) D RI'!U123</f>
        <v>507224.92132848047</v>
      </c>
      <c r="K122" s="115">
        <f t="shared" si="21"/>
        <v>-1.5845859585851854</v>
      </c>
      <c r="L122" s="63">
        <f>'B) D RI'!S123</f>
        <v>78.5</v>
      </c>
      <c r="M122" s="63">
        <f t="shared" si="16"/>
        <v>80.08458595858518</v>
      </c>
      <c r="N122" s="223">
        <f>'J) Plafonnement effort'!G121+'J) Plafonnement effort'!H121-'K) Plafonnement aide'!I121</f>
        <v>-15.561246570128752</v>
      </c>
      <c r="O122" s="223">
        <f t="shared" si="17"/>
        <v>64.523339388456435</v>
      </c>
      <c r="P122" s="80">
        <f t="shared" si="18"/>
        <v>0</v>
      </c>
      <c r="Q122" s="98">
        <f t="shared" si="22"/>
        <v>0</v>
      </c>
      <c r="R122" s="258">
        <f t="shared" si="19"/>
        <v>64.523339388456435</v>
      </c>
      <c r="S122" s="223">
        <f t="shared" si="20"/>
        <v>-13.976660611543565</v>
      </c>
      <c r="T122" s="257"/>
    </row>
    <row r="123" spans="1:20" x14ac:dyDescent="0.25">
      <c r="A123" s="82">
        <f>'A) Base RI'!A124</f>
        <v>5592</v>
      </c>
      <c r="B123" s="95" t="str">
        <f>'A) Base RI'!B124</f>
        <v>Romanel-sur-Lausanne</v>
      </c>
      <c r="C123" s="266">
        <v>1813643.8095782571</v>
      </c>
      <c r="D123" s="267">
        <v>741821.65862169233</v>
      </c>
      <c r="E123" s="268">
        <v>0</v>
      </c>
      <c r="F123" s="267">
        <v>0</v>
      </c>
      <c r="G123" s="267">
        <v>0</v>
      </c>
      <c r="H123" s="269">
        <f t="shared" si="15"/>
        <v>2555465.4681999497</v>
      </c>
      <c r="I123" s="353">
        <v>118695.34957142857</v>
      </c>
      <c r="J123" s="158">
        <f>'B) D RI'!U124</f>
        <v>115467.46028571429</v>
      </c>
      <c r="K123" s="115">
        <f t="shared" si="21"/>
        <v>21.529617440168707</v>
      </c>
      <c r="L123" s="63">
        <f>'B) D RI'!S124</f>
        <v>70</v>
      </c>
      <c r="M123" s="63">
        <f t="shared" si="16"/>
        <v>48.470382559831293</v>
      </c>
      <c r="N123" s="223">
        <f>'J) Plafonnement effort'!G122+'J) Plafonnement effort'!H122-'K) Plafonnement aide'!I122</f>
        <v>21.967384570359474</v>
      </c>
      <c r="O123" s="223">
        <f t="shared" si="17"/>
        <v>70.437767130190764</v>
      </c>
      <c r="P123" s="80">
        <f t="shared" si="18"/>
        <v>0</v>
      </c>
      <c r="Q123" s="98">
        <f t="shared" si="22"/>
        <v>0</v>
      </c>
      <c r="R123" s="258">
        <f t="shared" si="19"/>
        <v>70.437767130190764</v>
      </c>
      <c r="S123" s="223">
        <f t="shared" si="20"/>
        <v>0.43776713019076396</v>
      </c>
      <c r="T123" s="257"/>
    </row>
    <row r="124" spans="1:20" x14ac:dyDescent="0.25">
      <c r="A124" s="82">
        <f>'A) Base RI'!A125</f>
        <v>5601</v>
      </c>
      <c r="B124" s="95" t="str">
        <f>'A) Base RI'!B125</f>
        <v>Chexbres</v>
      </c>
      <c r="C124" s="266">
        <v>1894091.2509608106</v>
      </c>
      <c r="D124" s="267">
        <v>1264472.9965295</v>
      </c>
      <c r="E124" s="268">
        <v>0</v>
      </c>
      <c r="F124" s="267">
        <v>0</v>
      </c>
      <c r="G124" s="267">
        <v>0</v>
      </c>
      <c r="H124" s="269">
        <f t="shared" si="15"/>
        <v>3158564.2474903106</v>
      </c>
      <c r="I124" s="353">
        <v>95253.083593750009</v>
      </c>
      <c r="J124" s="158">
        <f>'B) D RI'!U125</f>
        <v>102004.96828125001</v>
      </c>
      <c r="K124" s="115">
        <f t="shared" si="21"/>
        <v>33.159705999245553</v>
      </c>
      <c r="L124" s="63">
        <f>'B) D RI'!S125</f>
        <v>64</v>
      </c>
      <c r="M124" s="63">
        <f t="shared" si="16"/>
        <v>30.840294000754447</v>
      </c>
      <c r="N124" s="223">
        <f>'J) Plafonnement effort'!G123+'J) Plafonnement effort'!H123-'K) Plafonnement aide'!I123</f>
        <v>30.344336546061722</v>
      </c>
      <c r="O124" s="223">
        <f t="shared" si="17"/>
        <v>61.184630546816166</v>
      </c>
      <c r="P124" s="80">
        <f t="shared" si="18"/>
        <v>0</v>
      </c>
      <c r="Q124" s="98">
        <f t="shared" si="22"/>
        <v>0</v>
      </c>
      <c r="R124" s="258">
        <f t="shared" si="19"/>
        <v>61.184630546816166</v>
      </c>
      <c r="S124" s="223">
        <f t="shared" si="20"/>
        <v>-2.815369453183834</v>
      </c>
      <c r="T124" s="257"/>
    </row>
    <row r="125" spans="1:20" x14ac:dyDescent="0.25">
      <c r="A125" s="82">
        <f>'A) Base RI'!A126</f>
        <v>5604</v>
      </c>
      <c r="B125" s="95" t="str">
        <f>'A) Base RI'!B126</f>
        <v>Forel (Lavaux)</v>
      </c>
      <c r="C125" s="266">
        <v>1098547.459851065</v>
      </c>
      <c r="D125" s="267">
        <v>424730.47293831385</v>
      </c>
      <c r="E125" s="268">
        <v>0</v>
      </c>
      <c r="F125" s="267">
        <v>0</v>
      </c>
      <c r="G125" s="267">
        <v>0</v>
      </c>
      <c r="H125" s="269">
        <f t="shared" si="15"/>
        <v>1523277.9327893788</v>
      </c>
      <c r="I125" s="353">
        <v>68508.2874242424</v>
      </c>
      <c r="J125" s="158">
        <f>'B) D RI'!U126</f>
        <v>73679.184999999969</v>
      </c>
      <c r="K125" s="115">
        <f t="shared" si="21"/>
        <v>22.234943976286733</v>
      </c>
      <c r="L125" s="63">
        <f>'B) D RI'!S126</f>
        <v>66</v>
      </c>
      <c r="M125" s="63">
        <f t="shared" si="16"/>
        <v>43.765056023713271</v>
      </c>
      <c r="N125" s="223">
        <f>'J) Plafonnement effort'!G124+'J) Plafonnement effort'!H124-'K) Plafonnement aide'!I124</f>
        <v>22.373494796665565</v>
      </c>
      <c r="O125" s="223">
        <f t="shared" si="17"/>
        <v>66.138550820378839</v>
      </c>
      <c r="P125" s="80">
        <f t="shared" si="18"/>
        <v>0</v>
      </c>
      <c r="Q125" s="98">
        <f t="shared" si="22"/>
        <v>0</v>
      </c>
      <c r="R125" s="258">
        <f t="shared" si="19"/>
        <v>66.138550820378839</v>
      </c>
      <c r="S125" s="223">
        <f t="shared" si="20"/>
        <v>0.13855082037883903</v>
      </c>
      <c r="T125" s="257"/>
    </row>
    <row r="126" spans="1:20" x14ac:dyDescent="0.25">
      <c r="A126" s="82">
        <f>'A) Base RI'!A127</f>
        <v>5606</v>
      </c>
      <c r="B126" s="95" t="str">
        <f>'A) Base RI'!B127</f>
        <v>Lutry</v>
      </c>
      <c r="C126" s="266">
        <v>19772746.163480382</v>
      </c>
      <c r="D126" s="267">
        <v>8918984.3120022491</v>
      </c>
      <c r="E126" s="268">
        <v>0</v>
      </c>
      <c r="F126" s="267">
        <v>0</v>
      </c>
      <c r="G126" s="267">
        <v>0</v>
      </c>
      <c r="H126" s="269">
        <f t="shared" si="15"/>
        <v>28691730.475482631</v>
      </c>
      <c r="I126" s="353">
        <v>740413.86452351348</v>
      </c>
      <c r="J126" s="158">
        <f>'B) D RI'!U127</f>
        <v>810972.19494897977</v>
      </c>
      <c r="K126" s="115">
        <f t="shared" si="21"/>
        <v>38.750936267173941</v>
      </c>
      <c r="L126" s="63">
        <f>'B) D RI'!S127</f>
        <v>56</v>
      </c>
      <c r="M126" s="63">
        <f t="shared" si="16"/>
        <v>17.249063732826059</v>
      </c>
      <c r="N126" s="223">
        <f>'J) Plafonnement effort'!G125+'J) Plafonnement effort'!H125-'K) Plafonnement aide'!I125</f>
        <v>33.675139992497719</v>
      </c>
      <c r="O126" s="223">
        <f t="shared" si="17"/>
        <v>50.924203725323778</v>
      </c>
      <c r="P126" s="80">
        <f t="shared" si="18"/>
        <v>0</v>
      </c>
      <c r="Q126" s="98">
        <f t="shared" si="22"/>
        <v>0</v>
      </c>
      <c r="R126" s="258">
        <f t="shared" si="19"/>
        <v>50.924203725323778</v>
      </c>
      <c r="S126" s="223">
        <f t="shared" si="20"/>
        <v>-5.0757962746762217</v>
      </c>
      <c r="T126" s="257"/>
    </row>
    <row r="127" spans="1:20" x14ac:dyDescent="0.25">
      <c r="A127" s="82">
        <f>'A) Base RI'!A128</f>
        <v>5607</v>
      </c>
      <c r="B127" s="95" t="str">
        <f>'A) Base RI'!B128</f>
        <v>Puidoux</v>
      </c>
      <c r="C127" s="266">
        <v>1869832.0535184094</v>
      </c>
      <c r="D127" s="267">
        <v>1171751.6616387139</v>
      </c>
      <c r="E127" s="268">
        <v>0</v>
      </c>
      <c r="F127" s="267">
        <v>0</v>
      </c>
      <c r="G127" s="267">
        <v>0</v>
      </c>
      <c r="H127" s="269">
        <f t="shared" si="15"/>
        <v>3041583.7151571233</v>
      </c>
      <c r="I127" s="353">
        <v>113516.40342555994</v>
      </c>
      <c r="J127" s="158">
        <f>'B) D RI'!U128</f>
        <v>102046.9552557545</v>
      </c>
      <c r="K127" s="115">
        <f t="shared" si="21"/>
        <v>26.794222009964283</v>
      </c>
      <c r="L127" s="63">
        <f>'B) D RI'!S128</f>
        <v>68</v>
      </c>
      <c r="M127" s="63">
        <f t="shared" si="16"/>
        <v>41.205777990035713</v>
      </c>
      <c r="N127" s="223">
        <f>'J) Plafonnement effort'!G126+'J) Plafonnement effort'!H126-'K) Plafonnement aide'!I126</f>
        <v>19.986837665588691</v>
      </c>
      <c r="O127" s="223">
        <f t="shared" si="17"/>
        <v>61.192615655624408</v>
      </c>
      <c r="P127" s="80">
        <f t="shared" si="18"/>
        <v>0</v>
      </c>
      <c r="Q127" s="98">
        <f t="shared" si="22"/>
        <v>0</v>
      </c>
      <c r="R127" s="258">
        <f t="shared" si="19"/>
        <v>61.192615655624408</v>
      </c>
      <c r="S127" s="223">
        <f t="shared" si="20"/>
        <v>-6.8073843443755919</v>
      </c>
      <c r="T127" s="257"/>
    </row>
    <row r="128" spans="1:20" x14ac:dyDescent="0.25">
      <c r="A128" s="82">
        <f>'A) Base RI'!A129</f>
        <v>5609</v>
      </c>
      <c r="B128" s="95" t="str">
        <f>'A) Base RI'!B129</f>
        <v>Rivaz</v>
      </c>
      <c r="C128" s="266">
        <v>264072.93868592218</v>
      </c>
      <c r="D128" s="267">
        <v>325140.16260549997</v>
      </c>
      <c r="E128" s="268">
        <v>0</v>
      </c>
      <c r="F128" s="267">
        <v>0</v>
      </c>
      <c r="G128" s="267">
        <v>0</v>
      </c>
      <c r="H128" s="269">
        <f t="shared" si="15"/>
        <v>589213.10129142215</v>
      </c>
      <c r="I128" s="353">
        <v>19617.037031306798</v>
      </c>
      <c r="J128" s="158">
        <f>'B) D RI'!U129</f>
        <v>17457.580472440943</v>
      </c>
      <c r="K128" s="115">
        <f t="shared" si="21"/>
        <v>30.035784728911807</v>
      </c>
      <c r="L128" s="63">
        <f>'B) D RI'!S129</f>
        <v>63.5</v>
      </c>
      <c r="M128" s="63">
        <f t="shared" si="16"/>
        <v>33.464215271088193</v>
      </c>
      <c r="N128" s="223">
        <f>'J) Plafonnement effort'!G127+'J) Plafonnement effort'!H127-'K) Plafonnement aide'!I127</f>
        <v>32.658724724394695</v>
      </c>
      <c r="O128" s="223">
        <f t="shared" si="17"/>
        <v>66.122939995482881</v>
      </c>
      <c r="P128" s="80">
        <f t="shared" si="18"/>
        <v>0</v>
      </c>
      <c r="Q128" s="98">
        <f t="shared" si="22"/>
        <v>0</v>
      </c>
      <c r="R128" s="258">
        <f t="shared" si="19"/>
        <v>66.122939995482881</v>
      </c>
      <c r="S128" s="223">
        <f t="shared" si="20"/>
        <v>2.6229399954828807</v>
      </c>
      <c r="T128" s="257"/>
    </row>
    <row r="129" spans="1:20" x14ac:dyDescent="0.25">
      <c r="A129" s="82">
        <f>'A) Base RI'!A130</f>
        <v>5610</v>
      </c>
      <c r="B129" s="95" t="str">
        <f>'A) Base RI'!B130</f>
        <v>St-Saphorin (Lavaux)</v>
      </c>
      <c r="C129" s="266">
        <v>422878.83266488521</v>
      </c>
      <c r="D129" s="267">
        <v>357239.2350625</v>
      </c>
      <c r="E129" s="268">
        <v>0</v>
      </c>
      <c r="F129" s="267">
        <v>0</v>
      </c>
      <c r="G129" s="267">
        <v>0</v>
      </c>
      <c r="H129" s="269">
        <f t="shared" si="15"/>
        <v>780118.06772738521</v>
      </c>
      <c r="I129" s="353">
        <v>21483.814501266814</v>
      </c>
      <c r="J129" s="158">
        <f>'B) D RI'!U130</f>
        <v>20355.755166666662</v>
      </c>
      <c r="K129" s="115">
        <f t="shared" si="21"/>
        <v>36.311897390539507</v>
      </c>
      <c r="L129" s="63">
        <f>'B) D RI'!S130</f>
        <v>60</v>
      </c>
      <c r="M129" s="63">
        <f t="shared" si="16"/>
        <v>23.688102609460493</v>
      </c>
      <c r="N129" s="223">
        <f>'J) Plafonnement effort'!G128+'J) Plafonnement effort'!H128-'K) Plafonnement aide'!I128</f>
        <v>31.243798353712247</v>
      </c>
      <c r="O129" s="223">
        <f t="shared" si="17"/>
        <v>54.931900963172737</v>
      </c>
      <c r="P129" s="80">
        <f t="shared" si="18"/>
        <v>0</v>
      </c>
      <c r="Q129" s="98">
        <f t="shared" si="22"/>
        <v>0</v>
      </c>
      <c r="R129" s="258">
        <f t="shared" si="19"/>
        <v>54.931900963172737</v>
      </c>
      <c r="S129" s="223">
        <f t="shared" si="20"/>
        <v>-5.0680990368272631</v>
      </c>
      <c r="T129" s="257"/>
    </row>
    <row r="130" spans="1:20" x14ac:dyDescent="0.25">
      <c r="A130" s="82">
        <f>'A) Base RI'!A131</f>
        <v>5611</v>
      </c>
      <c r="B130" s="95" t="str">
        <f>'A) Base RI'!B131</f>
        <v>Savigny</v>
      </c>
      <c r="C130" s="266">
        <v>2200212.1832343871</v>
      </c>
      <c r="D130" s="267">
        <v>1575030.7106585647</v>
      </c>
      <c r="E130" s="268">
        <v>0</v>
      </c>
      <c r="F130" s="267">
        <v>0</v>
      </c>
      <c r="G130" s="267">
        <v>0</v>
      </c>
      <c r="H130" s="269">
        <f t="shared" si="15"/>
        <v>3775242.8938929518</v>
      </c>
      <c r="I130" s="353">
        <v>143483.61279411765</v>
      </c>
      <c r="J130" s="158">
        <f>'B) D RI'!U131</f>
        <v>133649.01597014922</v>
      </c>
      <c r="K130" s="115">
        <f t="shared" si="21"/>
        <v>26.311317511289513</v>
      </c>
      <c r="L130" s="63">
        <f>'B) D RI'!S131</f>
        <v>67</v>
      </c>
      <c r="M130" s="63">
        <f t="shared" si="16"/>
        <v>40.688682488710484</v>
      </c>
      <c r="N130" s="223">
        <f>'J) Plafonnement effort'!G129+'J) Plafonnement effort'!H129-'K) Plafonnement aide'!I129</f>
        <v>23.139902421538384</v>
      </c>
      <c r="O130" s="223">
        <f t="shared" si="17"/>
        <v>63.828584910248864</v>
      </c>
      <c r="P130" s="80">
        <f t="shared" si="18"/>
        <v>0</v>
      </c>
      <c r="Q130" s="98">
        <f t="shared" si="22"/>
        <v>0</v>
      </c>
      <c r="R130" s="258">
        <f t="shared" si="19"/>
        <v>63.828584910248864</v>
      </c>
      <c r="S130" s="223">
        <f t="shared" si="20"/>
        <v>-3.171415089751136</v>
      </c>
      <c r="T130" s="257"/>
    </row>
    <row r="131" spans="1:20" x14ac:dyDescent="0.25">
      <c r="A131" s="82">
        <f>'A) Base RI'!A132</f>
        <v>5613</v>
      </c>
      <c r="B131" s="95" t="str">
        <f>'A) Base RI'!B132</f>
        <v>Bourg-en-Lavaux</v>
      </c>
      <c r="C131" s="266">
        <v>5497534.166575212</v>
      </c>
      <c r="D131" s="267">
        <v>3398151.3579049995</v>
      </c>
      <c r="E131" s="268">
        <v>0</v>
      </c>
      <c r="F131" s="267">
        <v>0</v>
      </c>
      <c r="G131" s="267">
        <v>0</v>
      </c>
      <c r="H131" s="269">
        <f t="shared" si="15"/>
        <v>8895685.5244802125</v>
      </c>
      <c r="I131" s="353">
        <v>286337.26098329533</v>
      </c>
      <c r="J131" s="158">
        <f>'B) D RI'!U132</f>
        <v>319171.56765027321</v>
      </c>
      <c r="K131" s="115">
        <f t="shared" si="21"/>
        <v>31.067160082247135</v>
      </c>
      <c r="L131" s="63">
        <f>'B) D RI'!S132</f>
        <v>61</v>
      </c>
      <c r="M131" s="63">
        <f t="shared" si="16"/>
        <v>29.932839917752865</v>
      </c>
      <c r="N131" s="223">
        <f>'J) Plafonnement effort'!G130+'J) Plafonnement effort'!H130-'K) Plafonnement aide'!I130</f>
        <v>30.865110837136129</v>
      </c>
      <c r="O131" s="223">
        <f t="shared" si="17"/>
        <v>60.797950754888994</v>
      </c>
      <c r="P131" s="80">
        <f t="shared" si="18"/>
        <v>0</v>
      </c>
      <c r="Q131" s="98">
        <f t="shared" si="22"/>
        <v>0</v>
      </c>
      <c r="R131" s="258">
        <f t="shared" si="19"/>
        <v>60.797950754888994</v>
      </c>
      <c r="S131" s="223">
        <f t="shared" si="20"/>
        <v>-0.20204924511100586</v>
      </c>
      <c r="T131" s="257"/>
    </row>
    <row r="132" spans="1:20" x14ac:dyDescent="0.25">
      <c r="A132" s="82">
        <f>'A) Base RI'!A133</f>
        <v>5621</v>
      </c>
      <c r="B132" s="95" t="str">
        <f>'A) Base RI'!B133</f>
        <v>Aclens</v>
      </c>
      <c r="C132" s="266">
        <v>779460.59958257468</v>
      </c>
      <c r="D132" s="267">
        <v>552897.74555500003</v>
      </c>
      <c r="E132" s="268">
        <v>0</v>
      </c>
      <c r="F132" s="267">
        <v>0</v>
      </c>
      <c r="G132" s="267">
        <v>0</v>
      </c>
      <c r="H132" s="269">
        <f t="shared" si="15"/>
        <v>1332358.3451375747</v>
      </c>
      <c r="I132" s="353">
        <v>32976.156948417993</v>
      </c>
      <c r="J132" s="158">
        <f>'B) D RI'!U133</f>
        <v>40747.294721407634</v>
      </c>
      <c r="K132" s="115">
        <f t="shared" si="21"/>
        <v>40.403687646855815</v>
      </c>
      <c r="L132" s="63">
        <f>'B) D RI'!S133</f>
        <v>62</v>
      </c>
      <c r="M132" s="63">
        <f t="shared" si="16"/>
        <v>21.596312353144185</v>
      </c>
      <c r="N132" s="223">
        <f>'J) Plafonnement effort'!G131+'J) Plafonnement effort'!H131-'K) Plafonnement aide'!I131</f>
        <v>38.603263365510742</v>
      </c>
      <c r="O132" s="223">
        <f t="shared" si="17"/>
        <v>60.199575718654927</v>
      </c>
      <c r="P132" s="80">
        <f t="shared" si="18"/>
        <v>0</v>
      </c>
      <c r="Q132" s="98">
        <f t="shared" si="22"/>
        <v>0</v>
      </c>
      <c r="R132" s="258">
        <f t="shared" si="19"/>
        <v>60.199575718654927</v>
      </c>
      <c r="S132" s="223">
        <f t="shared" si="20"/>
        <v>-1.800424281345073</v>
      </c>
      <c r="T132" s="257"/>
    </row>
    <row r="133" spans="1:20" x14ac:dyDescent="0.25">
      <c r="A133" s="82">
        <f>'A) Base RI'!A134</f>
        <v>5622</v>
      </c>
      <c r="B133" s="95" t="str">
        <f>'A) Base RI'!B134</f>
        <v>Bremblens</v>
      </c>
      <c r="C133" s="266">
        <v>415918.31182382675</v>
      </c>
      <c r="D133" s="267">
        <v>457389.60393450002</v>
      </c>
      <c r="E133" s="268">
        <v>0</v>
      </c>
      <c r="F133" s="267">
        <v>0</v>
      </c>
      <c r="G133" s="267">
        <v>0</v>
      </c>
      <c r="H133" s="269">
        <f t="shared" si="15"/>
        <v>873307.91575832677</v>
      </c>
      <c r="I133" s="353">
        <v>27544.096975213106</v>
      </c>
      <c r="J133" s="158">
        <f>'B) D RI'!U134</f>
        <v>25805.300909090911</v>
      </c>
      <c r="K133" s="115">
        <f t="shared" si="21"/>
        <v>31.705810379052011</v>
      </c>
      <c r="L133" s="63">
        <f>'B) D RI'!S134</f>
        <v>66</v>
      </c>
      <c r="M133" s="63">
        <f t="shared" si="16"/>
        <v>34.294189620947989</v>
      </c>
      <c r="N133" s="223">
        <f>'J) Plafonnement effort'!G132+'J) Plafonnement effort'!H132-'K) Plafonnement aide'!I132</f>
        <v>33.57687500970173</v>
      </c>
      <c r="O133" s="223">
        <f t="shared" si="17"/>
        <v>67.871064630649727</v>
      </c>
      <c r="P133" s="80">
        <f t="shared" si="18"/>
        <v>0</v>
      </c>
      <c r="Q133" s="98">
        <f t="shared" si="22"/>
        <v>0</v>
      </c>
      <c r="R133" s="258">
        <f t="shared" si="19"/>
        <v>67.871064630649727</v>
      </c>
      <c r="S133" s="223">
        <f t="shared" si="20"/>
        <v>1.8710646306497267</v>
      </c>
      <c r="T133" s="257"/>
    </row>
    <row r="134" spans="1:20" x14ac:dyDescent="0.25">
      <c r="A134" s="82">
        <f>'A) Base RI'!A135</f>
        <v>5623</v>
      </c>
      <c r="B134" s="95" t="str">
        <f>'A) Base RI'!B135</f>
        <v>Buchillon</v>
      </c>
      <c r="C134" s="266">
        <v>2715890.554907687</v>
      </c>
      <c r="D134" s="267">
        <v>1006531.134188</v>
      </c>
      <c r="E134" s="268">
        <v>0</v>
      </c>
      <c r="F134" s="267">
        <v>-38370.692304672266</v>
      </c>
      <c r="G134" s="267">
        <v>0</v>
      </c>
      <c r="H134" s="269">
        <f t="shared" si="15"/>
        <v>3684050.9967910149</v>
      </c>
      <c r="I134" s="353">
        <v>58307.565448224799</v>
      </c>
      <c r="J134" s="158">
        <f>'B) D RI'!U135</f>
        <v>91715.647358490576</v>
      </c>
      <c r="K134" s="115">
        <f t="shared" si="21"/>
        <v>63.183070129421388</v>
      </c>
      <c r="L134" s="63">
        <f>'B) D RI'!S135</f>
        <v>53</v>
      </c>
      <c r="M134" s="63">
        <f t="shared" si="16"/>
        <v>-10.183070129421388</v>
      </c>
      <c r="N134" s="223">
        <f>'J) Plafonnement effort'!G133+'J) Plafonnement effort'!H133-'K) Plafonnement aide'!I133</f>
        <v>46.173363293657928</v>
      </c>
      <c r="O134" s="223">
        <f t="shared" si="17"/>
        <v>35.99029316423654</v>
      </c>
      <c r="P134" s="80">
        <f t="shared" si="18"/>
        <v>0</v>
      </c>
      <c r="Q134" s="98">
        <f t="shared" si="22"/>
        <v>0</v>
      </c>
      <c r="R134" s="258">
        <f t="shared" si="19"/>
        <v>35.99029316423654</v>
      </c>
      <c r="S134" s="223">
        <f t="shared" si="20"/>
        <v>-17.00970683576346</v>
      </c>
      <c r="T134" s="257"/>
    </row>
    <row r="135" spans="1:20" x14ac:dyDescent="0.25">
      <c r="A135" s="82">
        <f>'A) Base RI'!A136</f>
        <v>5624</v>
      </c>
      <c r="B135" s="95" t="str">
        <f>'A) Base RI'!B136</f>
        <v>Bussigny</v>
      </c>
      <c r="C135" s="266">
        <v>6209697.4271317376</v>
      </c>
      <c r="D135" s="267">
        <v>3653572.1744519994</v>
      </c>
      <c r="E135" s="268">
        <v>0</v>
      </c>
      <c r="F135" s="267">
        <v>0</v>
      </c>
      <c r="G135" s="267">
        <v>0</v>
      </c>
      <c r="H135" s="269">
        <f t="shared" ref="H135:H198" si="23">SUM(C135:G135)</f>
        <v>9863269.6015837379</v>
      </c>
      <c r="I135" s="353">
        <v>399082.95983870962</v>
      </c>
      <c r="J135" s="158">
        <f>'B) D RI'!U136</f>
        <v>356632.38967741939</v>
      </c>
      <c r="K135" s="115">
        <f t="shared" si="21"/>
        <v>24.714835245208171</v>
      </c>
      <c r="L135" s="63">
        <f>'B) D RI'!S136</f>
        <v>62</v>
      </c>
      <c r="M135" s="63">
        <f t="shared" si="16"/>
        <v>37.285164754791829</v>
      </c>
      <c r="N135" s="223">
        <f>'J) Plafonnement effort'!G134+'J) Plafonnement effort'!H134-'K) Plafonnement aide'!I134</f>
        <v>22.195451705209535</v>
      </c>
      <c r="O135" s="223">
        <f t="shared" si="17"/>
        <v>59.480616460001364</v>
      </c>
      <c r="P135" s="80">
        <f t="shared" si="18"/>
        <v>0</v>
      </c>
      <c r="Q135" s="98">
        <f t="shared" si="22"/>
        <v>0</v>
      </c>
      <c r="R135" s="258">
        <f t="shared" si="19"/>
        <v>59.480616460001364</v>
      </c>
      <c r="S135" s="223">
        <f t="shared" si="20"/>
        <v>-2.5193835399986355</v>
      </c>
      <c r="T135" s="257"/>
    </row>
    <row r="136" spans="1:20" x14ac:dyDescent="0.25">
      <c r="A136" s="82">
        <f>'A) Base RI'!A137</f>
        <v>5625</v>
      </c>
      <c r="B136" s="95" t="str">
        <f>'A) Base RI'!B137</f>
        <v>Bussy-Chardonney</v>
      </c>
      <c r="C136" s="266">
        <v>215265.33088384866</v>
      </c>
      <c r="D136" s="267">
        <v>201303.49946907369</v>
      </c>
      <c r="E136" s="268">
        <v>0</v>
      </c>
      <c r="F136" s="267">
        <v>0</v>
      </c>
      <c r="G136" s="267">
        <v>0</v>
      </c>
      <c r="H136" s="269">
        <f t="shared" si="23"/>
        <v>416568.83035292232</v>
      </c>
      <c r="I136" s="353">
        <v>15014.201851851851</v>
      </c>
      <c r="J136" s="158">
        <f>'B) D RI'!U137</f>
        <v>13870.18990740741</v>
      </c>
      <c r="K136" s="115">
        <f t="shared" si="21"/>
        <v>27.744986677499792</v>
      </c>
      <c r="L136" s="63">
        <f>'B) D RI'!S137</f>
        <v>72</v>
      </c>
      <c r="M136" s="63">
        <f t="shared" si="16"/>
        <v>44.255013322500204</v>
      </c>
      <c r="N136" s="223">
        <f>'J) Plafonnement effort'!G135+'J) Plafonnement effort'!H135-'K) Plafonnement aide'!I135</f>
        <v>23.989569757371079</v>
      </c>
      <c r="O136" s="223">
        <f t="shared" si="17"/>
        <v>68.24458307987129</v>
      </c>
      <c r="P136" s="80">
        <f t="shared" si="18"/>
        <v>0</v>
      </c>
      <c r="Q136" s="98">
        <f t="shared" si="22"/>
        <v>0</v>
      </c>
      <c r="R136" s="258">
        <f t="shared" si="19"/>
        <v>68.24458307987129</v>
      </c>
      <c r="S136" s="223">
        <f t="shared" si="20"/>
        <v>-3.7554169201287095</v>
      </c>
      <c r="T136" s="257"/>
    </row>
    <row r="137" spans="1:20" x14ac:dyDescent="0.25">
      <c r="A137" s="82">
        <f>'A) Base RI'!A138</f>
        <v>5627</v>
      </c>
      <c r="B137" s="95" t="str">
        <f>'A) Base RI'!B138</f>
        <v>Chavannes-près-Renens</v>
      </c>
      <c r="C137" s="266">
        <v>2523709.4146052944</v>
      </c>
      <c r="D137" s="267">
        <v>-3905326.8221595911</v>
      </c>
      <c r="E137" s="268">
        <v>742754.70713235601</v>
      </c>
      <c r="F137" s="267">
        <v>0</v>
      </c>
      <c r="G137" s="267">
        <v>0</v>
      </c>
      <c r="H137" s="269">
        <f t="shared" si="23"/>
        <v>-638862.70042194077</v>
      </c>
      <c r="I137" s="353">
        <v>159715.67510548522</v>
      </c>
      <c r="J137" s="158">
        <f>'B) D RI'!U138</f>
        <v>170689.33978902953</v>
      </c>
      <c r="K137" s="115">
        <f t="shared" si="21"/>
        <v>-3.9999999999999991</v>
      </c>
      <c r="L137" s="63">
        <f>'B) D RI'!S138</f>
        <v>79</v>
      </c>
      <c r="M137" s="63">
        <f t="shared" si="16"/>
        <v>83</v>
      </c>
      <c r="N137" s="223">
        <f>'J) Plafonnement effort'!G136+'J) Plafonnement effort'!H136-'K) Plafonnement aide'!I136</f>
        <v>-10.222457455490515</v>
      </c>
      <c r="O137" s="223">
        <f t="shared" si="17"/>
        <v>72.777542544509487</v>
      </c>
      <c r="P137" s="80">
        <f t="shared" si="18"/>
        <v>0</v>
      </c>
      <c r="Q137" s="98">
        <f t="shared" si="22"/>
        <v>0</v>
      </c>
      <c r="R137" s="258">
        <f t="shared" si="19"/>
        <v>72.777542544509487</v>
      </c>
      <c r="S137" s="223">
        <f t="shared" si="20"/>
        <v>-6.2224574554905132</v>
      </c>
      <c r="T137" s="257"/>
    </row>
    <row r="138" spans="1:20" x14ac:dyDescent="0.25">
      <c r="A138" s="82">
        <f>'A) Base RI'!A139</f>
        <v>5628</v>
      </c>
      <c r="B138" s="95" t="str">
        <f>'A) Base RI'!B139</f>
        <v>Chigny</v>
      </c>
      <c r="C138" s="266">
        <v>316816.05174834956</v>
      </c>
      <c r="D138" s="267">
        <v>305536.1099095</v>
      </c>
      <c r="E138" s="268">
        <v>0</v>
      </c>
      <c r="F138" s="267">
        <v>0</v>
      </c>
      <c r="G138" s="267">
        <v>0</v>
      </c>
      <c r="H138" s="269">
        <f t="shared" si="23"/>
        <v>622352.16165784956</v>
      </c>
      <c r="I138" s="353">
        <v>18463.016491935483</v>
      </c>
      <c r="J138" s="158">
        <f>'B) D RI'!U139</f>
        <v>19182.221249999991</v>
      </c>
      <c r="K138" s="115">
        <f t="shared" si="21"/>
        <v>33.708043424523218</v>
      </c>
      <c r="L138" s="63">
        <f>'B) D RI'!S139</f>
        <v>62</v>
      </c>
      <c r="M138" s="63">
        <f t="shared" si="16"/>
        <v>28.291956575476782</v>
      </c>
      <c r="N138" s="223">
        <f>'J) Plafonnement effort'!G137+'J) Plafonnement effort'!H137-'K) Plafonnement aide'!I137</f>
        <v>32.994693599795717</v>
      </c>
      <c r="O138" s="223">
        <f t="shared" si="17"/>
        <v>61.286650175272499</v>
      </c>
      <c r="P138" s="80">
        <f t="shared" si="18"/>
        <v>0</v>
      </c>
      <c r="Q138" s="98">
        <f t="shared" si="22"/>
        <v>0</v>
      </c>
      <c r="R138" s="258">
        <f t="shared" si="19"/>
        <v>61.286650175272499</v>
      </c>
      <c r="S138" s="223">
        <f t="shared" si="20"/>
        <v>-0.71334982472750141</v>
      </c>
      <c r="T138" s="257"/>
    </row>
    <row r="139" spans="1:20" x14ac:dyDescent="0.25">
      <c r="A139" s="82">
        <f>'A) Base RI'!A140</f>
        <v>5629</v>
      </c>
      <c r="B139" s="95" t="str">
        <f>'A) Base RI'!B140</f>
        <v>Clarmont</v>
      </c>
      <c r="C139" s="266">
        <v>114453.80418813729</v>
      </c>
      <c r="D139" s="267">
        <v>112195.480851</v>
      </c>
      <c r="E139" s="268">
        <v>0</v>
      </c>
      <c r="F139" s="267">
        <v>0</v>
      </c>
      <c r="G139" s="267">
        <v>0</v>
      </c>
      <c r="H139" s="269">
        <f t="shared" si="23"/>
        <v>226649.28503913729</v>
      </c>
      <c r="I139" s="353">
        <v>6900.8588</v>
      </c>
      <c r="J139" s="158">
        <f>'B) D RI'!U140</f>
        <v>7795.3318666666655</v>
      </c>
      <c r="K139" s="115">
        <f t="shared" si="21"/>
        <v>32.8436346269159</v>
      </c>
      <c r="L139" s="63">
        <f>'B) D RI'!S140</f>
        <v>75</v>
      </c>
      <c r="M139" s="63">
        <f t="shared" si="16"/>
        <v>42.1563653730841</v>
      </c>
      <c r="N139" s="223">
        <f>'J) Plafonnement effort'!G138+'J) Plafonnement effort'!H138-'K) Plafonnement aide'!I138</f>
        <v>23.603195908090342</v>
      </c>
      <c r="O139" s="223">
        <f t="shared" si="17"/>
        <v>65.759561281174442</v>
      </c>
      <c r="P139" s="80">
        <f t="shared" si="18"/>
        <v>0</v>
      </c>
      <c r="Q139" s="98">
        <f t="shared" si="22"/>
        <v>0</v>
      </c>
      <c r="R139" s="258">
        <f t="shared" si="19"/>
        <v>65.759561281174442</v>
      </c>
      <c r="S139" s="223">
        <f t="shared" si="20"/>
        <v>-9.2404387188255583</v>
      </c>
      <c r="T139" s="257"/>
    </row>
    <row r="140" spans="1:20" x14ac:dyDescent="0.25">
      <c r="A140" s="82">
        <f>'A) Base RI'!A141</f>
        <v>5631</v>
      </c>
      <c r="B140" s="95" t="str">
        <f>'A) Base RI'!B141</f>
        <v>Denens</v>
      </c>
      <c r="C140" s="266">
        <v>484515.98619484459</v>
      </c>
      <c r="D140" s="267">
        <v>550948.20993849996</v>
      </c>
      <c r="E140" s="268">
        <v>0</v>
      </c>
      <c r="F140" s="267">
        <v>0</v>
      </c>
      <c r="G140" s="267">
        <v>0</v>
      </c>
      <c r="H140" s="269">
        <f t="shared" si="23"/>
        <v>1035464.1961333446</v>
      </c>
      <c r="I140" s="353">
        <v>33637.426029411763</v>
      </c>
      <c r="J140" s="158">
        <f>'B) D RI'!U141</f>
        <v>35350.552500000005</v>
      </c>
      <c r="K140" s="115">
        <f t="shared" si="21"/>
        <v>30.783098422214572</v>
      </c>
      <c r="L140" s="63">
        <f>'B) D RI'!S141</f>
        <v>68</v>
      </c>
      <c r="M140" s="63">
        <f t="shared" si="16"/>
        <v>37.216901577785428</v>
      </c>
      <c r="N140" s="223">
        <f>'J) Plafonnement effort'!G139+'J) Plafonnement effort'!H139-'K) Plafonnement aide'!I139</f>
        <v>33.356419624123632</v>
      </c>
      <c r="O140" s="223">
        <f t="shared" si="17"/>
        <v>70.573321201909067</v>
      </c>
      <c r="P140" s="80">
        <f t="shared" si="18"/>
        <v>0</v>
      </c>
      <c r="Q140" s="98">
        <f t="shared" si="22"/>
        <v>0</v>
      </c>
      <c r="R140" s="258">
        <f t="shared" si="19"/>
        <v>70.573321201909067</v>
      </c>
      <c r="S140" s="223">
        <f t="shared" si="20"/>
        <v>2.5733212019090672</v>
      </c>
      <c r="T140" s="257"/>
    </row>
    <row r="141" spans="1:20" x14ac:dyDescent="0.25">
      <c r="A141" s="82">
        <f>'A) Base RI'!A142</f>
        <v>5632</v>
      </c>
      <c r="B141" s="95" t="str">
        <f>'A) Base RI'!B142</f>
        <v>Denges</v>
      </c>
      <c r="C141" s="266">
        <v>893907.91108725476</v>
      </c>
      <c r="D141" s="267">
        <v>695947.65630911489</v>
      </c>
      <c r="E141" s="268">
        <v>0</v>
      </c>
      <c r="F141" s="267">
        <v>0</v>
      </c>
      <c r="G141" s="267">
        <v>0</v>
      </c>
      <c r="H141" s="269">
        <f t="shared" si="23"/>
        <v>1589855.5673963698</v>
      </c>
      <c r="I141" s="353">
        <v>62828.699112903218</v>
      </c>
      <c r="J141" s="158">
        <f>'B) D RI'!U142</f>
        <v>61597.331370967739</v>
      </c>
      <c r="K141" s="115">
        <f t="shared" si="21"/>
        <v>25.304607446023962</v>
      </c>
      <c r="L141" s="63">
        <f>'B) D RI'!S142</f>
        <v>62</v>
      </c>
      <c r="M141" s="63">
        <f t="shared" si="16"/>
        <v>36.695392553976035</v>
      </c>
      <c r="N141" s="223">
        <f>'J) Plafonnement effort'!G140+'J) Plafonnement effort'!H140-'K) Plafonnement aide'!I140</f>
        <v>28.027209264228574</v>
      </c>
      <c r="O141" s="223">
        <f t="shared" si="17"/>
        <v>64.722601818204609</v>
      </c>
      <c r="P141" s="80">
        <f t="shared" si="18"/>
        <v>0</v>
      </c>
      <c r="Q141" s="98">
        <f t="shared" si="22"/>
        <v>0</v>
      </c>
      <c r="R141" s="258">
        <f t="shared" si="19"/>
        <v>64.722601818204609</v>
      </c>
      <c r="S141" s="223">
        <f t="shared" si="20"/>
        <v>2.722601818204609</v>
      </c>
      <c r="T141" s="257"/>
    </row>
    <row r="142" spans="1:20" x14ac:dyDescent="0.25">
      <c r="A142" s="82">
        <f>'A) Base RI'!A143</f>
        <v>5633</v>
      </c>
      <c r="B142" s="95" t="str">
        <f>'A) Base RI'!B143</f>
        <v>Echandens</v>
      </c>
      <c r="C142" s="266">
        <v>1820427.2638583262</v>
      </c>
      <c r="D142" s="267">
        <v>1381872.5296537499</v>
      </c>
      <c r="E142" s="268">
        <v>0</v>
      </c>
      <c r="F142" s="267">
        <v>0</v>
      </c>
      <c r="G142" s="267">
        <v>0</v>
      </c>
      <c r="H142" s="269">
        <f t="shared" si="23"/>
        <v>3202299.7935120761</v>
      </c>
      <c r="I142" s="353">
        <v>104176.07790322581</v>
      </c>
      <c r="J142" s="158">
        <f>'B) D RI'!U143</f>
        <v>124899.1516129032</v>
      </c>
      <c r="K142" s="115">
        <f t="shared" si="21"/>
        <v>30.739300787334756</v>
      </c>
      <c r="L142" s="63">
        <f>'B) D RI'!S143</f>
        <v>62</v>
      </c>
      <c r="M142" s="63">
        <f t="shared" si="16"/>
        <v>31.260699212665244</v>
      </c>
      <c r="N142" s="223">
        <f>'J) Plafonnement effort'!G141+'J) Plafonnement effort'!H141-'K) Plafonnement aide'!I141</f>
        <v>28.446193790741482</v>
      </c>
      <c r="O142" s="223">
        <f t="shared" si="17"/>
        <v>59.706893003406726</v>
      </c>
      <c r="P142" s="80">
        <f t="shared" si="18"/>
        <v>0</v>
      </c>
      <c r="Q142" s="98">
        <f t="shared" si="22"/>
        <v>0</v>
      </c>
      <c r="R142" s="258">
        <f t="shared" si="19"/>
        <v>59.706893003406726</v>
      </c>
      <c r="S142" s="223">
        <f t="shared" si="20"/>
        <v>-2.2931069965932735</v>
      </c>
      <c r="T142" s="257"/>
    </row>
    <row r="143" spans="1:20" x14ac:dyDescent="0.25">
      <c r="A143" s="82">
        <f>'A) Base RI'!A144</f>
        <v>5634</v>
      </c>
      <c r="B143" s="95" t="str">
        <f>'A) Base RI'!B144</f>
        <v>Echichens</v>
      </c>
      <c r="C143" s="266">
        <v>2107235.6601007921</v>
      </c>
      <c r="D143" s="267">
        <v>1459903.1607375001</v>
      </c>
      <c r="E143" s="268">
        <v>0</v>
      </c>
      <c r="F143" s="267">
        <v>0</v>
      </c>
      <c r="G143" s="267">
        <v>0</v>
      </c>
      <c r="H143" s="269">
        <f t="shared" si="23"/>
        <v>3567138.8208382921</v>
      </c>
      <c r="I143" s="353">
        <v>114423.1386764706</v>
      </c>
      <c r="J143" s="158">
        <f>'B) D RI'!U144</f>
        <v>128757.51117647058</v>
      </c>
      <c r="K143" s="115">
        <f t="shared" si="21"/>
        <v>31.174977911804309</v>
      </c>
      <c r="L143" s="63">
        <f>'B) D RI'!S144</f>
        <v>68</v>
      </c>
      <c r="M143" s="63">
        <f t="shared" si="16"/>
        <v>36.825022088195695</v>
      </c>
      <c r="N143" s="223">
        <f>'J) Plafonnement effort'!G142+'J) Plafonnement effort'!H142-'K) Plafonnement aide'!I142</f>
        <v>30.578452056866368</v>
      </c>
      <c r="O143" s="223">
        <f t="shared" si="17"/>
        <v>67.403474145062063</v>
      </c>
      <c r="P143" s="80">
        <f t="shared" si="18"/>
        <v>0</v>
      </c>
      <c r="Q143" s="98">
        <f t="shared" si="22"/>
        <v>0</v>
      </c>
      <c r="R143" s="258">
        <f t="shared" si="19"/>
        <v>67.403474145062063</v>
      </c>
      <c r="S143" s="223">
        <f t="shared" si="20"/>
        <v>-0.59652585493793708</v>
      </c>
      <c r="T143" s="257"/>
    </row>
    <row r="144" spans="1:20" x14ac:dyDescent="0.25">
      <c r="A144" s="82">
        <f>'A) Base RI'!A145</f>
        <v>5635</v>
      </c>
      <c r="B144" s="95" t="str">
        <f>'A) Base RI'!B145</f>
        <v>Ecublens</v>
      </c>
      <c r="C144" s="266">
        <v>6977639.5205651382</v>
      </c>
      <c r="D144" s="267">
        <v>729939.06191797927</v>
      </c>
      <c r="E144" s="268">
        <v>0</v>
      </c>
      <c r="F144" s="267">
        <v>0</v>
      </c>
      <c r="G144" s="267">
        <v>0</v>
      </c>
      <c r="H144" s="269">
        <f t="shared" si="23"/>
        <v>7707578.5824831175</v>
      </c>
      <c r="I144" s="353">
        <v>462669.73573005095</v>
      </c>
      <c r="J144" s="158">
        <f>'B) D RI'!U145</f>
        <v>456934.05313242786</v>
      </c>
      <c r="K144" s="115">
        <f t="shared" si="21"/>
        <v>16.658921012677123</v>
      </c>
      <c r="L144" s="63">
        <f>'B) D RI'!S145</f>
        <v>62</v>
      </c>
      <c r="M144" s="63">
        <f t="shared" si="16"/>
        <v>45.341078987322874</v>
      </c>
      <c r="N144" s="223">
        <f>'J) Plafonnement effort'!G143+'J) Plafonnement effort'!H143-'K) Plafonnement aide'!I143</f>
        <v>13.857985461548271</v>
      </c>
      <c r="O144" s="223">
        <f t="shared" si="17"/>
        <v>59.199064448871141</v>
      </c>
      <c r="P144" s="80">
        <f t="shared" si="18"/>
        <v>0</v>
      </c>
      <c r="Q144" s="98">
        <f t="shared" si="22"/>
        <v>0</v>
      </c>
      <c r="R144" s="258">
        <f t="shared" si="19"/>
        <v>59.199064448871141</v>
      </c>
      <c r="S144" s="223">
        <f t="shared" si="20"/>
        <v>-2.8009355511288589</v>
      </c>
      <c r="T144" s="257"/>
    </row>
    <row r="145" spans="1:20" x14ac:dyDescent="0.25">
      <c r="A145" s="82">
        <f>'A) Base RI'!A146</f>
        <v>5636</v>
      </c>
      <c r="B145" s="95" t="str">
        <f>'A) Base RI'!B146</f>
        <v>Etoy</v>
      </c>
      <c r="C145" s="266">
        <v>2503128.7035453375</v>
      </c>
      <c r="D145" s="267">
        <v>2030561.734185</v>
      </c>
      <c r="E145" s="268">
        <v>0</v>
      </c>
      <c r="F145" s="267">
        <v>0</v>
      </c>
      <c r="G145" s="267">
        <v>0</v>
      </c>
      <c r="H145" s="269">
        <f t="shared" si="23"/>
        <v>4533690.4377303375</v>
      </c>
      <c r="I145" s="353">
        <v>151386.42721311477</v>
      </c>
      <c r="J145" s="158">
        <f>'B) D RI'!U146</f>
        <v>141771.26016393444</v>
      </c>
      <c r="K145" s="115">
        <f t="shared" si="21"/>
        <v>29.947799952686768</v>
      </c>
      <c r="L145" s="63">
        <f>'B) D RI'!S146</f>
        <v>61</v>
      </c>
      <c r="M145" s="63">
        <f t="shared" si="16"/>
        <v>31.052200047313232</v>
      </c>
      <c r="N145" s="223">
        <f>'J) Plafonnement effort'!G144+'J) Plafonnement effort'!H144-'K) Plafonnement aide'!I144</f>
        <v>30.500697344457471</v>
      </c>
      <c r="O145" s="223">
        <f t="shared" si="17"/>
        <v>61.552897391770699</v>
      </c>
      <c r="P145" s="80">
        <f t="shared" si="18"/>
        <v>0</v>
      </c>
      <c r="Q145" s="98">
        <f t="shared" si="22"/>
        <v>0</v>
      </c>
      <c r="R145" s="258">
        <f t="shared" si="19"/>
        <v>61.552897391770699</v>
      </c>
      <c r="S145" s="223">
        <f t="shared" si="20"/>
        <v>0.55289739177069919</v>
      </c>
      <c r="T145" s="257"/>
    </row>
    <row r="146" spans="1:20" x14ac:dyDescent="0.25">
      <c r="A146" s="82">
        <f>'A) Base RI'!A147</f>
        <v>5637</v>
      </c>
      <c r="B146" s="95" t="str">
        <f>'A) Base RI'!B147</f>
        <v>Lavigny</v>
      </c>
      <c r="C146" s="266">
        <v>587099.36954144319</v>
      </c>
      <c r="D146" s="267">
        <v>204679.42545226403</v>
      </c>
      <c r="E146" s="268">
        <v>0</v>
      </c>
      <c r="F146" s="267">
        <v>0</v>
      </c>
      <c r="G146" s="267">
        <v>0</v>
      </c>
      <c r="H146" s="269">
        <f t="shared" si="23"/>
        <v>791778.79499370721</v>
      </c>
      <c r="I146" s="353">
        <v>28805.148411633108</v>
      </c>
      <c r="J146" s="158">
        <f>'B) D RI'!U147</f>
        <v>30305.948814317679</v>
      </c>
      <c r="K146" s="115">
        <f t="shared" si="21"/>
        <v>27.487405504008557</v>
      </c>
      <c r="L146" s="63">
        <f>'B) D RI'!S147</f>
        <v>74.5</v>
      </c>
      <c r="M146" s="63">
        <f t="shared" si="16"/>
        <v>47.012594495991443</v>
      </c>
      <c r="N146" s="223">
        <f>'J) Plafonnement effort'!G145+'J) Plafonnement effort'!H145-'K) Plafonnement aide'!I145</f>
        <v>25.978413149006546</v>
      </c>
      <c r="O146" s="223">
        <f t="shared" si="17"/>
        <v>72.991007644997993</v>
      </c>
      <c r="P146" s="80">
        <f t="shared" si="18"/>
        <v>0</v>
      </c>
      <c r="Q146" s="98">
        <f t="shared" si="22"/>
        <v>0</v>
      </c>
      <c r="R146" s="258">
        <f t="shared" si="19"/>
        <v>72.991007644997993</v>
      </c>
      <c r="S146" s="223">
        <f t="shared" si="20"/>
        <v>-1.5089923550020075</v>
      </c>
      <c r="T146" s="257"/>
    </row>
    <row r="147" spans="1:20" x14ac:dyDescent="0.25">
      <c r="A147" s="82">
        <f>'A) Base RI'!A148</f>
        <v>5638</v>
      </c>
      <c r="B147" s="95" t="str">
        <f>'A) Base RI'!B148</f>
        <v>Lonay</v>
      </c>
      <c r="C147" s="266">
        <v>2944084.9777368237</v>
      </c>
      <c r="D147" s="267">
        <v>1938342.4691025</v>
      </c>
      <c r="E147" s="268">
        <v>0</v>
      </c>
      <c r="F147" s="267">
        <v>0</v>
      </c>
      <c r="G147" s="267">
        <v>0</v>
      </c>
      <c r="H147" s="269">
        <f t="shared" si="23"/>
        <v>4882427.4468393233</v>
      </c>
      <c r="I147" s="353">
        <v>139319.48931926207</v>
      </c>
      <c r="J147" s="158">
        <f>'B) D RI'!U148</f>
        <v>131856.2218181818</v>
      </c>
      <c r="K147" s="115">
        <f t="shared" si="21"/>
        <v>35.044827329583725</v>
      </c>
      <c r="L147" s="63">
        <f>'B) D RI'!S148</f>
        <v>55</v>
      </c>
      <c r="M147" s="63">
        <f t="shared" si="16"/>
        <v>19.955172670416275</v>
      </c>
      <c r="N147" s="223">
        <f>'J) Plafonnement effort'!G146+'J) Plafonnement effort'!H146-'K) Plafonnement aide'!I146</f>
        <v>34.71399493710512</v>
      </c>
      <c r="O147" s="223">
        <f t="shared" si="17"/>
        <v>54.669167607521395</v>
      </c>
      <c r="P147" s="80">
        <f t="shared" si="18"/>
        <v>0</v>
      </c>
      <c r="Q147" s="98">
        <f t="shared" si="22"/>
        <v>0</v>
      </c>
      <c r="R147" s="258">
        <f t="shared" si="19"/>
        <v>54.669167607521395</v>
      </c>
      <c r="S147" s="223">
        <f t="shared" si="20"/>
        <v>-0.33083239247860519</v>
      </c>
      <c r="T147" s="257"/>
    </row>
    <row r="148" spans="1:20" x14ac:dyDescent="0.25">
      <c r="A148" s="82">
        <f>'A) Base RI'!A149</f>
        <v>5639</v>
      </c>
      <c r="B148" s="95" t="str">
        <f>'A) Base RI'!B149</f>
        <v>Lully</v>
      </c>
      <c r="C148" s="266">
        <v>784642.73968081945</v>
      </c>
      <c r="D148" s="267">
        <v>777843.51294049993</v>
      </c>
      <c r="E148" s="268">
        <v>0</v>
      </c>
      <c r="F148" s="267">
        <v>0</v>
      </c>
      <c r="G148" s="267">
        <v>0</v>
      </c>
      <c r="H148" s="269">
        <f t="shared" si="23"/>
        <v>1562486.2526213194</v>
      </c>
      <c r="I148" s="353">
        <v>46486.998652329006</v>
      </c>
      <c r="J148" s="158">
        <f>'B) D RI'!U149</f>
        <v>41983.035245901636</v>
      </c>
      <c r="K148" s="115">
        <f t="shared" si="21"/>
        <v>33.611252563474295</v>
      </c>
      <c r="L148" s="63">
        <f>'B) D RI'!S149</f>
        <v>61</v>
      </c>
      <c r="M148" s="63">
        <f t="shared" si="16"/>
        <v>27.388747436525705</v>
      </c>
      <c r="N148" s="223">
        <f>'J) Plafonnement effort'!G147+'J) Plafonnement effort'!H147-'K) Plafonnement aide'!I147</f>
        <v>32.928161835484673</v>
      </c>
      <c r="O148" s="223">
        <f t="shared" si="17"/>
        <v>60.316909272010378</v>
      </c>
      <c r="P148" s="80">
        <f t="shared" si="18"/>
        <v>0</v>
      </c>
      <c r="Q148" s="98">
        <f t="shared" si="22"/>
        <v>0</v>
      </c>
      <c r="R148" s="258">
        <f t="shared" si="19"/>
        <v>60.316909272010378</v>
      </c>
      <c r="S148" s="223">
        <f t="shared" si="20"/>
        <v>-0.68309072798962234</v>
      </c>
      <c r="T148" s="257"/>
    </row>
    <row r="149" spans="1:20" x14ac:dyDescent="0.25">
      <c r="A149" s="82">
        <f>'A) Base RI'!A150</f>
        <v>5640</v>
      </c>
      <c r="B149" s="95" t="str">
        <f>'A) Base RI'!B150</f>
        <v>Lussy-sur-Morges</v>
      </c>
      <c r="C149" s="266">
        <v>781613.49336350104</v>
      </c>
      <c r="D149" s="267">
        <v>668367.12430749997</v>
      </c>
      <c r="E149" s="268">
        <v>0</v>
      </c>
      <c r="F149" s="267">
        <v>0</v>
      </c>
      <c r="G149" s="267">
        <v>0</v>
      </c>
      <c r="H149" s="269">
        <f t="shared" si="23"/>
        <v>1449980.617671001</v>
      </c>
      <c r="I149" s="353">
        <v>39886.525464153499</v>
      </c>
      <c r="J149" s="158">
        <f>'B) D RI'!U150</f>
        <v>50734.215909090912</v>
      </c>
      <c r="K149" s="115">
        <f t="shared" si="21"/>
        <v>36.352642923839433</v>
      </c>
      <c r="L149" s="63">
        <f>'B) D RI'!S150</f>
        <v>66</v>
      </c>
      <c r="M149" s="63">
        <f t="shared" si="16"/>
        <v>29.647357076160567</v>
      </c>
      <c r="N149" s="223">
        <f>'J) Plafonnement effort'!G148+'J) Plafonnement effort'!H148-'K) Plafonnement aide'!I148</f>
        <v>40.009772925516053</v>
      </c>
      <c r="O149" s="223">
        <f t="shared" si="17"/>
        <v>69.65713000167662</v>
      </c>
      <c r="P149" s="80">
        <f t="shared" si="18"/>
        <v>0</v>
      </c>
      <c r="Q149" s="98">
        <f t="shared" si="22"/>
        <v>0</v>
      </c>
      <c r="R149" s="258">
        <f t="shared" si="19"/>
        <v>69.65713000167662</v>
      </c>
      <c r="S149" s="223">
        <f t="shared" si="20"/>
        <v>3.6571300016766202</v>
      </c>
      <c r="T149" s="257"/>
    </row>
    <row r="150" spans="1:20" x14ac:dyDescent="0.25">
      <c r="A150" s="82">
        <f>'A) Base RI'!A151</f>
        <v>5642</v>
      </c>
      <c r="B150" s="95" t="str">
        <f>'A) Base RI'!B151</f>
        <v>Morges</v>
      </c>
      <c r="C150" s="266">
        <v>12574897.254323138</v>
      </c>
      <c r="D150" s="267">
        <v>2368590.0008889996</v>
      </c>
      <c r="E150" s="268">
        <v>0</v>
      </c>
      <c r="F150" s="267">
        <v>0</v>
      </c>
      <c r="G150" s="267">
        <v>0</v>
      </c>
      <c r="H150" s="269">
        <f t="shared" si="23"/>
        <v>14943487.255212137</v>
      </c>
      <c r="I150" s="353">
        <v>672571.44335766428</v>
      </c>
      <c r="J150" s="158">
        <f>'B) D RI'!U151</f>
        <v>722363.52321167884</v>
      </c>
      <c r="K150" s="115">
        <f t="shared" si="21"/>
        <v>22.218438506116286</v>
      </c>
      <c r="L150" s="63">
        <f>'B) D RI'!S151</f>
        <v>68.5</v>
      </c>
      <c r="M150" s="63">
        <f t="shared" si="16"/>
        <v>46.281561493883714</v>
      </c>
      <c r="N150" s="223">
        <f>'J) Plafonnement effort'!G149+'J) Plafonnement effort'!H149-'K) Plafonnement aide'!I149</f>
        <v>21.131645978697001</v>
      </c>
      <c r="O150" s="223">
        <f t="shared" si="17"/>
        <v>67.413207472580723</v>
      </c>
      <c r="P150" s="80">
        <f t="shared" si="18"/>
        <v>0</v>
      </c>
      <c r="Q150" s="98">
        <f t="shared" si="22"/>
        <v>0</v>
      </c>
      <c r="R150" s="258">
        <f t="shared" si="19"/>
        <v>67.413207472580723</v>
      </c>
      <c r="S150" s="223">
        <f t="shared" si="20"/>
        <v>-1.0867925274192771</v>
      </c>
      <c r="T150" s="257"/>
    </row>
    <row r="151" spans="1:20" x14ac:dyDescent="0.25">
      <c r="A151" s="82">
        <f>'A) Base RI'!A152</f>
        <v>5643</v>
      </c>
      <c r="B151" s="95" t="str">
        <f>'A) Base RI'!B152</f>
        <v>Préverenges</v>
      </c>
      <c r="C151" s="266">
        <v>4131236.2221107217</v>
      </c>
      <c r="D151" s="267">
        <v>2848886.0375899998</v>
      </c>
      <c r="E151" s="268">
        <v>0</v>
      </c>
      <c r="F151" s="267">
        <v>0</v>
      </c>
      <c r="G151" s="267">
        <v>0</v>
      </c>
      <c r="H151" s="269">
        <f t="shared" si="23"/>
        <v>6980122.2597007211</v>
      </c>
      <c r="I151" s="353">
        <v>259218.87749999997</v>
      </c>
      <c r="J151" s="158">
        <f>'B) D RI'!U152</f>
        <v>265909.61515625002</v>
      </c>
      <c r="K151" s="115">
        <f t="shared" si="21"/>
        <v>26.927522898870365</v>
      </c>
      <c r="L151" s="63">
        <f>'B) D RI'!S152</f>
        <v>64</v>
      </c>
      <c r="M151" s="63">
        <f t="shared" si="16"/>
        <v>37.072477101129635</v>
      </c>
      <c r="N151" s="223">
        <f>'J) Plafonnement effort'!G150+'J) Plafonnement effort'!H150-'K) Plafonnement aide'!I150</f>
        <v>30.696812384708302</v>
      </c>
      <c r="O151" s="223">
        <f t="shared" si="17"/>
        <v>67.76928948583793</v>
      </c>
      <c r="P151" s="80">
        <f t="shared" si="18"/>
        <v>0</v>
      </c>
      <c r="Q151" s="98">
        <f t="shared" si="22"/>
        <v>0</v>
      </c>
      <c r="R151" s="258">
        <f t="shared" si="19"/>
        <v>67.76928948583793</v>
      </c>
      <c r="S151" s="223">
        <f t="shared" si="20"/>
        <v>3.7692894858379304</v>
      </c>
      <c r="T151" s="257"/>
    </row>
    <row r="152" spans="1:20" x14ac:dyDescent="0.25">
      <c r="A152" s="82">
        <f>'A) Base RI'!A153</f>
        <v>5644</v>
      </c>
      <c r="B152" s="95" t="str">
        <f>'A) Base RI'!B153</f>
        <v>Reverolle</v>
      </c>
      <c r="C152" s="266">
        <v>186555.21498811481</v>
      </c>
      <c r="D152" s="267">
        <v>144996.43255358608</v>
      </c>
      <c r="E152" s="268">
        <v>0</v>
      </c>
      <c r="F152" s="267">
        <v>0</v>
      </c>
      <c r="G152" s="267">
        <v>0</v>
      </c>
      <c r="H152" s="269">
        <f t="shared" si="23"/>
        <v>331551.64754170086</v>
      </c>
      <c r="I152" s="353">
        <v>12877.323461538461</v>
      </c>
      <c r="J152" s="158">
        <f>'B) D RI'!U153</f>
        <v>14878.554871794875</v>
      </c>
      <c r="K152" s="115">
        <f t="shared" si="21"/>
        <v>25.746937904601662</v>
      </c>
      <c r="L152" s="63">
        <f>'B) D RI'!S153</f>
        <v>78</v>
      </c>
      <c r="M152" s="63">
        <f t="shared" si="16"/>
        <v>52.253062095398334</v>
      </c>
      <c r="N152" s="223">
        <f>'J) Plafonnement effort'!G151+'J) Plafonnement effort'!H151-'K) Plafonnement aide'!I151</f>
        <v>25.917400548667718</v>
      </c>
      <c r="O152" s="223">
        <f t="shared" si="17"/>
        <v>78.170462644066049</v>
      </c>
      <c r="P152" s="80">
        <f t="shared" si="18"/>
        <v>0</v>
      </c>
      <c r="Q152" s="98">
        <f t="shared" si="22"/>
        <v>0</v>
      </c>
      <c r="R152" s="258">
        <f t="shared" si="19"/>
        <v>78.170462644066049</v>
      </c>
      <c r="S152" s="223">
        <f t="shared" si="20"/>
        <v>0.17046264406604905</v>
      </c>
      <c r="T152" s="257"/>
    </row>
    <row r="153" spans="1:20" x14ac:dyDescent="0.25">
      <c r="A153" s="82">
        <f>'A) Base RI'!A154</f>
        <v>5645</v>
      </c>
      <c r="B153" s="95" t="str">
        <f>'A) Base RI'!B154</f>
        <v>Romanel-sur-Morges</v>
      </c>
      <c r="C153" s="266">
        <v>450210.94661251729</v>
      </c>
      <c r="D153" s="267">
        <v>406893.52159700001</v>
      </c>
      <c r="E153" s="268">
        <v>0</v>
      </c>
      <c r="F153" s="267">
        <v>0</v>
      </c>
      <c r="G153" s="267">
        <v>0</v>
      </c>
      <c r="H153" s="269">
        <f t="shared" si="23"/>
        <v>857104.4682095173</v>
      </c>
      <c r="I153" s="353">
        <v>24659.758348214287</v>
      </c>
      <c r="J153" s="158">
        <f>'B) D RI'!U154</f>
        <v>25051.786919642858</v>
      </c>
      <c r="K153" s="115">
        <f t="shared" si="21"/>
        <v>34.757212787998945</v>
      </c>
      <c r="L153" s="63">
        <f>'B) D RI'!S154</f>
        <v>56</v>
      </c>
      <c r="M153" s="63">
        <f t="shared" si="16"/>
        <v>21.242787212001055</v>
      </c>
      <c r="N153" s="223">
        <f>'J) Plafonnement effort'!G152+'J) Plafonnement effort'!H152-'K) Plafonnement aide'!I152</f>
        <v>35.814582418807134</v>
      </c>
      <c r="O153" s="223">
        <f t="shared" si="17"/>
        <v>57.057369630808189</v>
      </c>
      <c r="P153" s="80">
        <f t="shared" si="18"/>
        <v>0</v>
      </c>
      <c r="Q153" s="98">
        <f t="shared" si="22"/>
        <v>0</v>
      </c>
      <c r="R153" s="258">
        <f t="shared" si="19"/>
        <v>57.057369630808189</v>
      </c>
      <c r="S153" s="223">
        <f t="shared" si="20"/>
        <v>1.0573696308081892</v>
      </c>
      <c r="T153" s="257"/>
    </row>
    <row r="154" spans="1:20" x14ac:dyDescent="0.25">
      <c r="A154" s="82">
        <f>'A) Base RI'!A155</f>
        <v>5646</v>
      </c>
      <c r="B154" s="95" t="str">
        <f>'A) Base RI'!B155</f>
        <v>Saint-Prex</v>
      </c>
      <c r="C154" s="266">
        <v>11090441.719223578</v>
      </c>
      <c r="D154" s="267">
        <v>5087774.9185569994</v>
      </c>
      <c r="E154" s="268">
        <v>0</v>
      </c>
      <c r="F154" s="267">
        <v>0</v>
      </c>
      <c r="G154" s="267">
        <v>0</v>
      </c>
      <c r="H154" s="269">
        <f t="shared" si="23"/>
        <v>16178216.637780577</v>
      </c>
      <c r="I154" s="353">
        <v>389137.045915375</v>
      </c>
      <c r="J154" s="158">
        <f>'B) D RI'!U155</f>
        <v>375526.35254545452</v>
      </c>
      <c r="K154" s="115">
        <f t="shared" si="21"/>
        <v>41.574598994357444</v>
      </c>
      <c r="L154" s="63">
        <f>'B) D RI'!S155</f>
        <v>55</v>
      </c>
      <c r="M154" s="63">
        <f t="shared" si="16"/>
        <v>13.425401005642556</v>
      </c>
      <c r="N154" s="223">
        <f>'J) Plafonnement effort'!G153+'J) Plafonnement effort'!H153-'K) Plafonnement aide'!I153</f>
        <v>43.555585166223551</v>
      </c>
      <c r="O154" s="223">
        <f t="shared" si="17"/>
        <v>56.980986171866107</v>
      </c>
      <c r="P154" s="80">
        <f t="shared" si="18"/>
        <v>0</v>
      </c>
      <c r="Q154" s="98">
        <f t="shared" si="22"/>
        <v>0</v>
      </c>
      <c r="R154" s="258">
        <f t="shared" si="19"/>
        <v>56.980986171866107</v>
      </c>
      <c r="S154" s="223">
        <f t="shared" si="20"/>
        <v>1.9809861718661068</v>
      </c>
      <c r="T154" s="257"/>
    </row>
    <row r="155" spans="1:20" x14ac:dyDescent="0.25">
      <c r="A155" s="82">
        <f>'A) Base RI'!A156</f>
        <v>5648</v>
      </c>
      <c r="B155" s="95" t="str">
        <f>'A) Base RI'!B156</f>
        <v>Saint-Sulpice</v>
      </c>
      <c r="C155" s="266">
        <v>7104412.3040475138</v>
      </c>
      <c r="D155" s="267">
        <v>3839652.5727150002</v>
      </c>
      <c r="E155" s="268">
        <v>0</v>
      </c>
      <c r="F155" s="267">
        <v>0</v>
      </c>
      <c r="G155" s="267">
        <v>0</v>
      </c>
      <c r="H155" s="269">
        <f t="shared" si="23"/>
        <v>10944064.876762513</v>
      </c>
      <c r="I155" s="353">
        <v>262799.89922637155</v>
      </c>
      <c r="J155" s="158">
        <f>'B) D RI'!U156</f>
        <v>290036.18604545452</v>
      </c>
      <c r="K155" s="115">
        <f t="shared" si="21"/>
        <v>41.644098452775559</v>
      </c>
      <c r="L155" s="63">
        <f>'B) D RI'!S156</f>
        <v>55</v>
      </c>
      <c r="M155" s="63">
        <f t="shared" si="16"/>
        <v>13.355901547224441</v>
      </c>
      <c r="N155" s="223">
        <f>'J) Plafonnement effort'!G154+'J) Plafonnement effort'!H154-'K) Plafonnement aide'!I154</f>
        <v>36.770473566130676</v>
      </c>
      <c r="O155" s="223">
        <f t="shared" si="17"/>
        <v>50.126375113355117</v>
      </c>
      <c r="P155" s="80">
        <f t="shared" si="18"/>
        <v>0</v>
      </c>
      <c r="Q155" s="98">
        <f t="shared" si="22"/>
        <v>0</v>
      </c>
      <c r="R155" s="258">
        <f t="shared" si="19"/>
        <v>50.126375113355117</v>
      </c>
      <c r="S155" s="223">
        <f t="shared" si="20"/>
        <v>-4.8736248866448832</v>
      </c>
      <c r="T155" s="257"/>
    </row>
    <row r="156" spans="1:20" x14ac:dyDescent="0.25">
      <c r="A156" s="82">
        <f>'A) Base RI'!A157</f>
        <v>5649</v>
      </c>
      <c r="B156" s="95" t="str">
        <f>'A) Base RI'!B157</f>
        <v>Tolochenaz</v>
      </c>
      <c r="C156" s="266">
        <v>1357317.9012452753</v>
      </c>
      <c r="D156" s="267">
        <v>1084423.2271187499</v>
      </c>
      <c r="E156" s="268">
        <v>0</v>
      </c>
      <c r="F156" s="267">
        <v>0</v>
      </c>
      <c r="G156" s="267">
        <v>0</v>
      </c>
      <c r="H156" s="269">
        <f t="shared" si="23"/>
        <v>2441741.1283640251</v>
      </c>
      <c r="I156" s="353">
        <v>79225.040461538461</v>
      </c>
      <c r="J156" s="158">
        <f>'B) D RI'!U157</f>
        <v>103201.6483076923</v>
      </c>
      <c r="K156" s="115">
        <f t="shared" si="21"/>
        <v>30.820320370166577</v>
      </c>
      <c r="L156" s="63">
        <f>'B) D RI'!S157</f>
        <v>65</v>
      </c>
      <c r="M156" s="63">
        <f t="shared" si="16"/>
        <v>34.179679629833423</v>
      </c>
      <c r="N156" s="223">
        <f>'J) Plafonnement effort'!G155+'J) Plafonnement effort'!H155-'K) Plafonnement aide'!I155</f>
        <v>31.172445258568871</v>
      </c>
      <c r="O156" s="223">
        <f t="shared" si="17"/>
        <v>65.352124888402301</v>
      </c>
      <c r="P156" s="80">
        <f t="shared" si="18"/>
        <v>0</v>
      </c>
      <c r="Q156" s="98">
        <f t="shared" si="22"/>
        <v>0</v>
      </c>
      <c r="R156" s="258">
        <f t="shared" si="19"/>
        <v>65.352124888402301</v>
      </c>
      <c r="S156" s="223">
        <f t="shared" si="20"/>
        <v>0.35212488840230094</v>
      </c>
      <c r="T156" s="257"/>
    </row>
    <row r="157" spans="1:20" x14ac:dyDescent="0.25">
      <c r="A157" s="82">
        <f>'A) Base RI'!A158</f>
        <v>5650</v>
      </c>
      <c r="B157" s="95" t="str">
        <f>'A) Base RI'!B158</f>
        <v>Vaux-sur-Morges</v>
      </c>
      <c r="C157" s="266">
        <v>3183592.0100863855</v>
      </c>
      <c r="D157" s="267">
        <v>1005605.586243</v>
      </c>
      <c r="E157" s="268">
        <v>0</v>
      </c>
      <c r="F157" s="267">
        <v>0</v>
      </c>
      <c r="G157" s="267">
        <v>0</v>
      </c>
      <c r="H157" s="269">
        <f t="shared" si="23"/>
        <v>4189197.5963293854</v>
      </c>
      <c r="I157" s="353">
        <v>55699.300244218037</v>
      </c>
      <c r="J157" s="158">
        <f>'B) D RI'!U158</f>
        <v>157222.88974358974</v>
      </c>
      <c r="K157" s="115">
        <f t="shared" si="21"/>
        <v>75.210955576847709</v>
      </c>
      <c r="L157" s="63">
        <f>'B) D RI'!S158</f>
        <v>39</v>
      </c>
      <c r="M157" s="63">
        <f t="shared" si="16"/>
        <v>-36.210955576847709</v>
      </c>
      <c r="N157" s="223">
        <f>'J) Plafonnement effort'!G156+'J) Plafonnement effort'!H156-'K) Plafonnement aide'!I156</f>
        <v>47.972106006484779</v>
      </c>
      <c r="O157" s="223">
        <f t="shared" si="17"/>
        <v>11.76115042963707</v>
      </c>
      <c r="P157" s="80">
        <f t="shared" si="18"/>
        <v>0</v>
      </c>
      <c r="Q157" s="98">
        <f t="shared" si="22"/>
        <v>0</v>
      </c>
      <c r="R157" s="258">
        <f t="shared" si="19"/>
        <v>11.76115042963707</v>
      </c>
      <c r="S157" s="223">
        <f t="shared" si="20"/>
        <v>-27.23884957036293</v>
      </c>
      <c r="T157" s="257"/>
    </row>
    <row r="158" spans="1:20" x14ac:dyDescent="0.25">
      <c r="A158" s="82">
        <f>'A) Base RI'!A159</f>
        <v>5651</v>
      </c>
      <c r="B158" s="95" t="str">
        <f>'A) Base RI'!B159</f>
        <v>Villars-Sainte-Croix</v>
      </c>
      <c r="C158" s="266">
        <v>764235.36506302014</v>
      </c>
      <c r="D158" s="267">
        <v>628756.19347099995</v>
      </c>
      <c r="E158" s="268">
        <v>0</v>
      </c>
      <c r="F158" s="267">
        <v>0</v>
      </c>
      <c r="G158" s="267">
        <v>0</v>
      </c>
      <c r="H158" s="269">
        <f t="shared" si="23"/>
        <v>1392991.5585340201</v>
      </c>
      <c r="I158" s="353">
        <v>37844.941572747404</v>
      </c>
      <c r="J158" s="158">
        <f>'B) D RI'!U159</f>
        <v>47709.999830508481</v>
      </c>
      <c r="K158" s="115">
        <f t="shared" si="21"/>
        <v>36.807866537628108</v>
      </c>
      <c r="L158" s="63">
        <f>'B) D RI'!S159</f>
        <v>59</v>
      </c>
      <c r="M158" s="63">
        <f t="shared" si="16"/>
        <v>22.192133462371892</v>
      </c>
      <c r="N158" s="223">
        <f>'J) Plafonnement effort'!G157+'J) Plafonnement effort'!H157-'K) Plafonnement aide'!I157</f>
        <v>37.37067637508423</v>
      </c>
      <c r="O158" s="223">
        <f t="shared" si="17"/>
        <v>59.562809837456122</v>
      </c>
      <c r="P158" s="80">
        <f t="shared" si="18"/>
        <v>0</v>
      </c>
      <c r="Q158" s="98">
        <f t="shared" si="22"/>
        <v>0</v>
      </c>
      <c r="R158" s="258">
        <f t="shared" si="19"/>
        <v>59.562809837456122</v>
      </c>
      <c r="S158" s="223">
        <f t="shared" si="20"/>
        <v>0.5628098374561219</v>
      </c>
      <c r="T158" s="257"/>
    </row>
    <row r="159" spans="1:20" x14ac:dyDescent="0.25">
      <c r="A159" s="82">
        <f>'A) Base RI'!A160</f>
        <v>5652</v>
      </c>
      <c r="B159" s="95" t="str">
        <f>'A) Base RI'!B160</f>
        <v>Villars-sous-Yens</v>
      </c>
      <c r="C159" s="266">
        <v>336762.5824480966</v>
      </c>
      <c r="D159" s="267">
        <v>343766.45334919088</v>
      </c>
      <c r="E159" s="268">
        <v>0</v>
      </c>
      <c r="F159" s="267">
        <v>0</v>
      </c>
      <c r="G159" s="267">
        <v>0</v>
      </c>
      <c r="H159" s="269">
        <f t="shared" si="23"/>
        <v>680529.03579728748</v>
      </c>
      <c r="I159" s="353">
        <v>23473.564773662554</v>
      </c>
      <c r="J159" s="158">
        <f>'B) D RI'!U160</f>
        <v>24426.645087719295</v>
      </c>
      <c r="K159" s="115">
        <f t="shared" si="21"/>
        <v>28.991294776021583</v>
      </c>
      <c r="L159" s="63">
        <f>'B) D RI'!S160</f>
        <v>76</v>
      </c>
      <c r="M159" s="63">
        <f t="shared" si="16"/>
        <v>47.008705223978417</v>
      </c>
      <c r="N159" s="223">
        <f>'J) Plafonnement effort'!G158+'J) Plafonnement effort'!H158-'K) Plafonnement aide'!I158</f>
        <v>27.486441228458599</v>
      </c>
      <c r="O159" s="223">
        <f t="shared" si="17"/>
        <v>74.495146452437012</v>
      </c>
      <c r="P159" s="80">
        <f t="shared" si="18"/>
        <v>0</v>
      </c>
      <c r="Q159" s="98">
        <f t="shared" si="22"/>
        <v>0</v>
      </c>
      <c r="R159" s="258">
        <f t="shared" si="19"/>
        <v>74.495146452437012</v>
      </c>
      <c r="S159" s="223">
        <f t="shared" si="20"/>
        <v>-1.5048535475629876</v>
      </c>
      <c r="T159" s="257"/>
    </row>
    <row r="160" spans="1:20" x14ac:dyDescent="0.25">
      <c r="A160" s="82">
        <f>'A) Base RI'!A161</f>
        <v>5653</v>
      </c>
      <c r="B160" s="95" t="str">
        <f>'A) Base RI'!B161</f>
        <v>Vufflens-le-Château</v>
      </c>
      <c r="C160" s="266">
        <v>925736.67443502345</v>
      </c>
      <c r="D160" s="267">
        <v>884778.73031150002</v>
      </c>
      <c r="E160" s="268">
        <v>0</v>
      </c>
      <c r="F160" s="267">
        <v>0</v>
      </c>
      <c r="G160" s="267">
        <v>0</v>
      </c>
      <c r="H160" s="269">
        <f t="shared" si="23"/>
        <v>1810515.4047465236</v>
      </c>
      <c r="I160" s="353">
        <v>52666.242062301986</v>
      </c>
      <c r="J160" s="158">
        <f>'B) D RI'!U161</f>
        <v>54206.67831818181</v>
      </c>
      <c r="K160" s="115">
        <f t="shared" si="21"/>
        <v>34.377151925986269</v>
      </c>
      <c r="L160" s="63">
        <f>'B) D RI'!S161</f>
        <v>55</v>
      </c>
      <c r="M160" s="63">
        <f t="shared" si="16"/>
        <v>20.622848074013731</v>
      </c>
      <c r="N160" s="223">
        <f>'J) Plafonnement effort'!G159+'J) Plafonnement effort'!H159-'K) Plafonnement aide'!I159</f>
        <v>36.013045427775552</v>
      </c>
      <c r="O160" s="223">
        <f t="shared" si="17"/>
        <v>56.635893501789283</v>
      </c>
      <c r="P160" s="80">
        <f t="shared" si="18"/>
        <v>0</v>
      </c>
      <c r="Q160" s="98">
        <f t="shared" si="22"/>
        <v>0</v>
      </c>
      <c r="R160" s="258">
        <f t="shared" si="19"/>
        <v>56.635893501789283</v>
      </c>
      <c r="S160" s="223">
        <f t="shared" si="20"/>
        <v>1.6358935017892833</v>
      </c>
      <c r="T160" s="257"/>
    </row>
    <row r="161" spans="1:20" x14ac:dyDescent="0.25">
      <c r="A161" s="82">
        <f>'A) Base RI'!A162</f>
        <v>5654</v>
      </c>
      <c r="B161" s="95" t="str">
        <f>'A) Base RI'!B162</f>
        <v>Vullierens</v>
      </c>
      <c r="C161" s="266">
        <v>250346.56114835077</v>
      </c>
      <c r="D161" s="267">
        <v>304811.10533713055</v>
      </c>
      <c r="E161" s="268">
        <v>0</v>
      </c>
      <c r="F161" s="267">
        <v>0</v>
      </c>
      <c r="G161" s="267">
        <v>0</v>
      </c>
      <c r="H161" s="269">
        <f t="shared" si="23"/>
        <v>555157.66648548131</v>
      </c>
      <c r="I161" s="353">
        <v>19349.752105263156</v>
      </c>
      <c r="J161" s="158">
        <f>'B) D RI'!U162</f>
        <v>15860.891578947369</v>
      </c>
      <c r="K161" s="115">
        <f t="shared" si="21"/>
        <v>28.690686240599316</v>
      </c>
      <c r="L161" s="63">
        <f>'B) D RI'!S162</f>
        <v>76</v>
      </c>
      <c r="M161" s="63">
        <f t="shared" si="16"/>
        <v>47.309313759400681</v>
      </c>
      <c r="N161" s="223">
        <f>'J) Plafonnement effort'!G160+'J) Plafonnement effort'!H160-'K) Plafonnement aide'!I160</f>
        <v>25.997872402113675</v>
      </c>
      <c r="O161" s="223">
        <f t="shared" si="17"/>
        <v>73.307186161514352</v>
      </c>
      <c r="P161" s="80">
        <f t="shared" si="18"/>
        <v>0</v>
      </c>
      <c r="Q161" s="98">
        <f t="shared" si="22"/>
        <v>0</v>
      </c>
      <c r="R161" s="258">
        <f t="shared" si="19"/>
        <v>73.307186161514352</v>
      </c>
      <c r="S161" s="223">
        <f t="shared" si="20"/>
        <v>-2.6928138384856481</v>
      </c>
      <c r="T161" s="257"/>
    </row>
    <row r="162" spans="1:20" x14ac:dyDescent="0.25">
      <c r="A162" s="82">
        <f>'A) Base RI'!A163</f>
        <v>5655</v>
      </c>
      <c r="B162" s="95" t="str">
        <f>'A) Base RI'!B163</f>
        <v>Yens</v>
      </c>
      <c r="C162" s="266">
        <v>1044424.2133547106</v>
      </c>
      <c r="D162" s="267">
        <v>987694.27905775001</v>
      </c>
      <c r="E162" s="268">
        <v>0</v>
      </c>
      <c r="F162" s="267">
        <v>0</v>
      </c>
      <c r="G162" s="267">
        <v>0</v>
      </c>
      <c r="H162" s="269">
        <f t="shared" si="23"/>
        <v>2032118.4924124605</v>
      </c>
      <c r="I162" s="353">
        <v>64131.597000000002</v>
      </c>
      <c r="J162" s="158">
        <f>'B) D RI'!U163</f>
        <v>73269.942328767123</v>
      </c>
      <c r="K162" s="115">
        <f t="shared" si="21"/>
        <v>31.68669715822702</v>
      </c>
      <c r="L162" s="63">
        <f>'B) D RI'!S163</f>
        <v>73</v>
      </c>
      <c r="M162" s="63">
        <f t="shared" si="16"/>
        <v>41.31330284177298</v>
      </c>
      <c r="N162" s="223">
        <f>'J) Plafonnement effort'!G161+'J) Plafonnement effort'!H161-'K) Plafonnement aide'!I161</f>
        <v>33.218308251635172</v>
      </c>
      <c r="O162" s="223">
        <f t="shared" si="17"/>
        <v>74.531611093408145</v>
      </c>
      <c r="P162" s="80">
        <f t="shared" si="18"/>
        <v>0</v>
      </c>
      <c r="Q162" s="98">
        <f t="shared" si="22"/>
        <v>0</v>
      </c>
      <c r="R162" s="258">
        <f t="shared" si="19"/>
        <v>74.531611093408145</v>
      </c>
      <c r="S162" s="223">
        <f t="shared" si="20"/>
        <v>1.5316110934081451</v>
      </c>
      <c r="T162" s="257"/>
    </row>
    <row r="163" spans="1:20" x14ac:dyDescent="0.25">
      <c r="A163" s="82">
        <f>'A) Base RI'!A164</f>
        <v>5661</v>
      </c>
      <c r="B163" s="95" t="str">
        <f>'A) Base RI'!B164</f>
        <v>Boulens</v>
      </c>
      <c r="C163" s="266">
        <v>88942.295692563668</v>
      </c>
      <c r="D163" s="267">
        <v>-105061.52515939533</v>
      </c>
      <c r="E163" s="268">
        <v>0</v>
      </c>
      <c r="F163" s="267">
        <v>0</v>
      </c>
      <c r="G163" s="267">
        <v>0</v>
      </c>
      <c r="H163" s="269">
        <f t="shared" si="23"/>
        <v>-16119.229466831661</v>
      </c>
      <c r="I163" s="353">
        <v>6234.207594936709</v>
      </c>
      <c r="J163" s="158">
        <f>'B) D RI'!U164</f>
        <v>6901.8381012658238</v>
      </c>
      <c r="K163" s="115">
        <f t="shared" si="21"/>
        <v>-2.5856099947527182</v>
      </c>
      <c r="L163" s="63">
        <f>'B) D RI'!S164</f>
        <v>79</v>
      </c>
      <c r="M163" s="63">
        <f t="shared" si="16"/>
        <v>81.585609994752716</v>
      </c>
      <c r="N163" s="223">
        <f>'J) Plafonnement effort'!G162+'J) Plafonnement effort'!H162-'K) Plafonnement aide'!I162</f>
        <v>3.7863991001436688</v>
      </c>
      <c r="O163" s="223">
        <f t="shared" si="17"/>
        <v>85.372009094896384</v>
      </c>
      <c r="P163" s="80">
        <f t="shared" si="18"/>
        <v>0</v>
      </c>
      <c r="Q163" s="98">
        <f t="shared" si="22"/>
        <v>0</v>
      </c>
      <c r="R163" s="258">
        <f t="shared" si="19"/>
        <v>85.372009094896384</v>
      </c>
      <c r="S163" s="223">
        <f t="shared" si="20"/>
        <v>6.3720090948963843</v>
      </c>
      <c r="T163" s="257"/>
    </row>
    <row r="164" spans="1:20" x14ac:dyDescent="0.25">
      <c r="A164" s="82">
        <f>'A) Base RI'!A165</f>
        <v>5662</v>
      </c>
      <c r="B164" s="95" t="str">
        <f>'A) Base RI'!B165</f>
        <v>Brenles</v>
      </c>
      <c r="C164" s="266">
        <v>74593.217326421815</v>
      </c>
      <c r="D164" s="267">
        <v>23894.971460083965</v>
      </c>
      <c r="E164" s="268">
        <v>0</v>
      </c>
      <c r="F164" s="267">
        <v>0</v>
      </c>
      <c r="G164" s="267">
        <v>-18853.874288644973</v>
      </c>
      <c r="H164" s="269">
        <f t="shared" si="23"/>
        <v>79634.314497860803</v>
      </c>
      <c r="I164" s="353">
        <v>4443.5017094017094</v>
      </c>
      <c r="J164" s="158">
        <f>'B) D RI'!U165</f>
        <v>4031.2468945868945</v>
      </c>
      <c r="K164" s="115">
        <f t="shared" si="21"/>
        <v>17.921522192591457</v>
      </c>
      <c r="L164" s="63">
        <f>'B) D RI'!S165</f>
        <v>78</v>
      </c>
      <c r="M164" s="63">
        <f t="shared" si="16"/>
        <v>60.078477807408547</v>
      </c>
      <c r="N164" s="223">
        <f>'J) Plafonnement effort'!G163+'J) Plafonnement effort'!H163-'K) Plafonnement aide'!I163</f>
        <v>18.612147942414076</v>
      </c>
      <c r="O164" s="223">
        <f t="shared" si="17"/>
        <v>78.69062574982263</v>
      </c>
      <c r="P164" s="80">
        <f t="shared" si="18"/>
        <v>0</v>
      </c>
      <c r="Q164" s="98">
        <f t="shared" si="22"/>
        <v>0</v>
      </c>
      <c r="R164" s="258">
        <f t="shared" si="19"/>
        <v>78.69062574982263</v>
      </c>
      <c r="S164" s="223">
        <f t="shared" si="20"/>
        <v>0.69062574982262959</v>
      </c>
      <c r="T164" s="257"/>
    </row>
    <row r="165" spans="1:20" x14ac:dyDescent="0.25">
      <c r="A165" s="82">
        <f>'A) Base RI'!A166</f>
        <v>5663</v>
      </c>
      <c r="B165" s="95" t="str">
        <f>'A) Base RI'!B166</f>
        <v>Bussy-sur-Moudon</v>
      </c>
      <c r="C165" s="266">
        <v>76285.432049449999</v>
      </c>
      <c r="D165" s="267">
        <v>-18470.746973612084</v>
      </c>
      <c r="E165" s="268">
        <v>0</v>
      </c>
      <c r="F165" s="267">
        <v>0</v>
      </c>
      <c r="G165" s="267">
        <v>0</v>
      </c>
      <c r="H165" s="269">
        <f t="shared" si="23"/>
        <v>57814.685075837915</v>
      </c>
      <c r="I165" s="353">
        <v>4690.4495000000006</v>
      </c>
      <c r="J165" s="158">
        <f>'B) D RI'!U166</f>
        <v>5172.1214999999993</v>
      </c>
      <c r="K165" s="115">
        <f t="shared" si="21"/>
        <v>12.326043607513077</v>
      </c>
      <c r="L165" s="63">
        <f>'B) D RI'!S166</f>
        <v>80</v>
      </c>
      <c r="M165" s="63">
        <f t="shared" si="16"/>
        <v>67.673956392486929</v>
      </c>
      <c r="N165" s="223">
        <f>'J) Plafonnement effort'!G164+'J) Plafonnement effort'!H164-'K) Plafonnement aide'!I164</f>
        <v>7.5669162147366134</v>
      </c>
      <c r="O165" s="223">
        <f t="shared" si="17"/>
        <v>75.240872607223537</v>
      </c>
      <c r="P165" s="80">
        <f t="shared" si="18"/>
        <v>0</v>
      </c>
      <c r="Q165" s="98">
        <f t="shared" si="22"/>
        <v>0</v>
      </c>
      <c r="R165" s="258">
        <f t="shared" si="19"/>
        <v>75.240872607223537</v>
      </c>
      <c r="S165" s="223">
        <f t="shared" si="20"/>
        <v>-4.7591273927764632</v>
      </c>
      <c r="T165" s="257"/>
    </row>
    <row r="166" spans="1:20" x14ac:dyDescent="0.25">
      <c r="A166" s="82">
        <f>'A) Base RI'!A167</f>
        <v>5665</v>
      </c>
      <c r="B166" s="95" t="str">
        <f>'A) Base RI'!B167</f>
        <v>Chavannes-sur-Moudon</v>
      </c>
      <c r="C166" s="266">
        <v>60149.804220926788</v>
      </c>
      <c r="D166" s="267">
        <v>-52704.620927902753</v>
      </c>
      <c r="E166" s="268">
        <v>0</v>
      </c>
      <c r="F166" s="267">
        <v>0</v>
      </c>
      <c r="G166" s="267">
        <v>0</v>
      </c>
      <c r="H166" s="269">
        <f t="shared" si="23"/>
        <v>7445.1832930240344</v>
      </c>
      <c r="I166" s="353">
        <v>4442.2552777777782</v>
      </c>
      <c r="J166" s="158">
        <f>'B) D RI'!U167</f>
        <v>3708.5273611111106</v>
      </c>
      <c r="K166" s="115">
        <f t="shared" si="21"/>
        <v>1.6759917716274197</v>
      </c>
      <c r="L166" s="63">
        <f>'B) D RI'!S167</f>
        <v>72</v>
      </c>
      <c r="M166" s="63">
        <f t="shared" si="16"/>
        <v>70.324008228372577</v>
      </c>
      <c r="N166" s="223">
        <f>'J) Plafonnement effort'!G165+'J) Plafonnement effort'!H165-'K) Plafonnement aide'!I165</f>
        <v>-7.296130741773549</v>
      </c>
      <c r="O166" s="223">
        <f t="shared" si="17"/>
        <v>63.027877486599024</v>
      </c>
      <c r="P166" s="80">
        <f t="shared" si="18"/>
        <v>0</v>
      </c>
      <c r="Q166" s="98">
        <f t="shared" si="22"/>
        <v>0</v>
      </c>
      <c r="R166" s="258">
        <f t="shared" si="19"/>
        <v>63.027877486599024</v>
      </c>
      <c r="S166" s="223">
        <f t="shared" si="20"/>
        <v>-8.9721225134009757</v>
      </c>
      <c r="T166" s="257"/>
    </row>
    <row r="167" spans="1:20" x14ac:dyDescent="0.25">
      <c r="A167" s="82">
        <f>'A) Base RI'!A168</f>
        <v>5666</v>
      </c>
      <c r="B167" s="95" t="str">
        <f>'A) Base RI'!B168</f>
        <v>Chesalles-sur-Moudon</v>
      </c>
      <c r="C167" s="266">
        <v>44087.34769814452</v>
      </c>
      <c r="D167" s="267">
        <v>-39677.729811422047</v>
      </c>
      <c r="E167" s="268">
        <v>0</v>
      </c>
      <c r="F167" s="267">
        <v>0</v>
      </c>
      <c r="G167" s="267">
        <v>0</v>
      </c>
      <c r="H167" s="269">
        <f t="shared" si="23"/>
        <v>4409.6178867224735</v>
      </c>
      <c r="I167" s="353">
        <v>3112.2269333333334</v>
      </c>
      <c r="J167" s="158">
        <f>'B) D RI'!U168</f>
        <v>3731.231866666667</v>
      </c>
      <c r="K167" s="115">
        <f t="shared" si="21"/>
        <v>1.4168690076849817</v>
      </c>
      <c r="L167" s="63">
        <f>'B) D RI'!S168</f>
        <v>75</v>
      </c>
      <c r="M167" s="63">
        <f t="shared" si="16"/>
        <v>73.58313099231502</v>
      </c>
      <c r="N167" s="223">
        <f>'J) Plafonnement effort'!G166+'J) Plafonnement effort'!H166-'K) Plafonnement aide'!I166</f>
        <v>10.754466807073022</v>
      </c>
      <c r="O167" s="223">
        <f t="shared" si="17"/>
        <v>84.33759779938805</v>
      </c>
      <c r="P167" s="80">
        <f t="shared" si="18"/>
        <v>0</v>
      </c>
      <c r="Q167" s="98">
        <f t="shared" si="22"/>
        <v>0</v>
      </c>
      <c r="R167" s="258">
        <f t="shared" si="19"/>
        <v>84.33759779938805</v>
      </c>
      <c r="S167" s="223">
        <f t="shared" si="20"/>
        <v>9.3375977993880497</v>
      </c>
      <c r="T167" s="257"/>
    </row>
    <row r="168" spans="1:20" x14ac:dyDescent="0.25">
      <c r="A168" s="82">
        <f>'A) Base RI'!A169</f>
        <v>5668</v>
      </c>
      <c r="B168" s="95" t="str">
        <f>'A) Base RI'!B169</f>
        <v>Cremin</v>
      </c>
      <c r="C168" s="266">
        <v>10722.836764710477</v>
      </c>
      <c r="D168" s="267">
        <v>-25673.355990114163</v>
      </c>
      <c r="E168" s="268">
        <v>11673.330134494594</v>
      </c>
      <c r="F168" s="267">
        <v>0</v>
      </c>
      <c r="G168" s="267">
        <v>0</v>
      </c>
      <c r="H168" s="269">
        <f t="shared" si="23"/>
        <v>-3277.1890909090926</v>
      </c>
      <c r="I168" s="353">
        <v>819.29727272727268</v>
      </c>
      <c r="J168" s="158">
        <f>'B) D RI'!U169</f>
        <v>1020.8936363636363</v>
      </c>
      <c r="K168" s="115">
        <f t="shared" si="21"/>
        <v>-4.0000000000000018</v>
      </c>
      <c r="L168" s="63">
        <f>'B) D RI'!S169</f>
        <v>77</v>
      </c>
      <c r="M168" s="63">
        <f t="shared" si="16"/>
        <v>81</v>
      </c>
      <c r="N168" s="223">
        <f>'J) Plafonnement effort'!G167+'J) Plafonnement effort'!H167-'K) Plafonnement aide'!I167</f>
        <v>0.26276505242493187</v>
      </c>
      <c r="O168" s="223">
        <f t="shared" si="17"/>
        <v>81.262765052424925</v>
      </c>
      <c r="P168" s="80">
        <f t="shared" si="18"/>
        <v>0</v>
      </c>
      <c r="Q168" s="98">
        <f t="shared" si="22"/>
        <v>0</v>
      </c>
      <c r="R168" s="258">
        <f t="shared" si="19"/>
        <v>81.262765052424925</v>
      </c>
      <c r="S168" s="223">
        <f t="shared" si="20"/>
        <v>4.2627650524249248</v>
      </c>
      <c r="T168" s="257"/>
    </row>
    <row r="169" spans="1:20" x14ac:dyDescent="0.25">
      <c r="A169" s="82">
        <f>'A) Base RI'!A170</f>
        <v>5669</v>
      </c>
      <c r="B169" s="95" t="str">
        <f>'A) Base RI'!B170</f>
        <v>Curtilles</v>
      </c>
      <c r="C169" s="266">
        <v>112939.64695918474</v>
      </c>
      <c r="D169" s="267">
        <v>-7003.0234778392769</v>
      </c>
      <c r="E169" s="268">
        <v>0</v>
      </c>
      <c r="F169" s="267">
        <v>0</v>
      </c>
      <c r="G169" s="267">
        <v>0</v>
      </c>
      <c r="H169" s="269">
        <f t="shared" si="23"/>
        <v>105936.62348134546</v>
      </c>
      <c r="I169" s="353">
        <v>7709.1577777777757</v>
      </c>
      <c r="J169" s="158">
        <f>'B) D RI'!U170</f>
        <v>8099.7640277777791</v>
      </c>
      <c r="K169" s="115">
        <f t="shared" si="21"/>
        <v>13.741659794110806</v>
      </c>
      <c r="L169" s="63">
        <f>'B) D RI'!S170</f>
        <v>72</v>
      </c>
      <c r="M169" s="63">
        <f t="shared" si="16"/>
        <v>58.258340205889198</v>
      </c>
      <c r="N169" s="223">
        <f>'J) Plafonnement effort'!G168+'J) Plafonnement effort'!H168-'K) Plafonnement aide'!I168</f>
        <v>11.604945393628119</v>
      </c>
      <c r="O169" s="223">
        <f t="shared" si="17"/>
        <v>69.863285599517312</v>
      </c>
      <c r="P169" s="80">
        <f t="shared" si="18"/>
        <v>0</v>
      </c>
      <c r="Q169" s="98">
        <f t="shared" si="22"/>
        <v>0</v>
      </c>
      <c r="R169" s="258">
        <f t="shared" si="19"/>
        <v>69.863285599517312</v>
      </c>
      <c r="S169" s="223">
        <f t="shared" si="20"/>
        <v>-2.1367144004826883</v>
      </c>
      <c r="T169" s="257"/>
    </row>
    <row r="170" spans="1:20" x14ac:dyDescent="0.25">
      <c r="A170" s="82">
        <f>'A) Base RI'!A171</f>
        <v>5671</v>
      </c>
      <c r="B170" s="95" t="str">
        <f>'A) Base RI'!B171</f>
        <v>Dompierre</v>
      </c>
      <c r="C170" s="266">
        <v>94102.732400383829</v>
      </c>
      <c r="D170" s="267">
        <v>-63827.322289154748</v>
      </c>
      <c r="E170" s="268">
        <v>0</v>
      </c>
      <c r="F170" s="267">
        <v>0</v>
      </c>
      <c r="G170" s="267">
        <v>0</v>
      </c>
      <c r="H170" s="269">
        <f t="shared" si="23"/>
        <v>30275.410111229081</v>
      </c>
      <c r="I170" s="353">
        <v>5372.7447499999998</v>
      </c>
      <c r="J170" s="158">
        <f>'B) D RI'!U171</f>
        <v>5882.5981250000004</v>
      </c>
      <c r="K170" s="115">
        <f t="shared" si="21"/>
        <v>5.6349987799493135</v>
      </c>
      <c r="L170" s="63">
        <f>'B) D RI'!S171</f>
        <v>80</v>
      </c>
      <c r="M170" s="63">
        <f t="shared" ref="M170:M224" si="24">L170-K170</f>
        <v>74.365001220050686</v>
      </c>
      <c r="N170" s="223">
        <f>'J) Plafonnement effort'!G169+'J) Plafonnement effort'!H169-'K) Plafonnement aide'!I169</f>
        <v>-4.8425834597129231</v>
      </c>
      <c r="O170" s="223">
        <f t="shared" ref="O170:O224" si="25">M170+N170</f>
        <v>69.52241776033776</v>
      </c>
      <c r="P170" s="80">
        <f t="shared" ref="P170:P224" si="26">IF(O170&gt;$P$5,$P$5-O170,0)</f>
        <v>0</v>
      </c>
      <c r="Q170" s="98">
        <f t="shared" si="22"/>
        <v>0</v>
      </c>
      <c r="R170" s="258">
        <f t="shared" ref="R170:R224" si="27">O170+P170</f>
        <v>69.52241776033776</v>
      </c>
      <c r="S170" s="223">
        <f t="shared" ref="S170:S224" si="28">R170-L170</f>
        <v>-10.47758223966224</v>
      </c>
      <c r="T170" s="257"/>
    </row>
    <row r="171" spans="1:20" x14ac:dyDescent="0.25">
      <c r="A171" s="82">
        <f>'A) Base RI'!A172</f>
        <v>5672</v>
      </c>
      <c r="B171" s="95" t="str">
        <f>'A) Base RI'!B172</f>
        <v>Forel-sur-Lucens</v>
      </c>
      <c r="C171" s="266">
        <v>53436.300467758178</v>
      </c>
      <c r="D171" s="267">
        <v>-3983.0012942300527</v>
      </c>
      <c r="E171" s="268">
        <v>0</v>
      </c>
      <c r="F171" s="267">
        <v>0</v>
      </c>
      <c r="G171" s="267">
        <v>0</v>
      </c>
      <c r="H171" s="269">
        <f t="shared" si="23"/>
        <v>49453.299173528125</v>
      </c>
      <c r="I171" s="353">
        <v>3886.9268000000002</v>
      </c>
      <c r="J171" s="158">
        <f>'B) D RI'!U172</f>
        <v>3859.3261000000002</v>
      </c>
      <c r="K171" s="115">
        <f t="shared" ref="K171:K226" si="29">H171/I171</f>
        <v>12.72298186153856</v>
      </c>
      <c r="L171" s="63">
        <f>'B) D RI'!S172</f>
        <v>75</v>
      </c>
      <c r="M171" s="63">
        <f t="shared" si="24"/>
        <v>62.277018138461443</v>
      </c>
      <c r="N171" s="223">
        <f>'J) Plafonnement effort'!G170+'J) Plafonnement effort'!H170-'K) Plafonnement aide'!I170</f>
        <v>16.545957462985136</v>
      </c>
      <c r="O171" s="223">
        <f t="shared" si="25"/>
        <v>78.822975601446586</v>
      </c>
      <c r="P171" s="80">
        <f t="shared" si="26"/>
        <v>0</v>
      </c>
      <c r="Q171" s="98">
        <f t="shared" si="22"/>
        <v>0</v>
      </c>
      <c r="R171" s="258">
        <f t="shared" si="27"/>
        <v>78.822975601446586</v>
      </c>
      <c r="S171" s="223">
        <f t="shared" si="28"/>
        <v>3.8229756014465863</v>
      </c>
      <c r="T171" s="257"/>
    </row>
    <row r="172" spans="1:20" x14ac:dyDescent="0.25">
      <c r="A172" s="82">
        <f>'A) Base RI'!A173</f>
        <v>5673</v>
      </c>
      <c r="B172" s="95" t="str">
        <f>'A) Base RI'!B173</f>
        <v>Hermenches</v>
      </c>
      <c r="C172" s="266">
        <v>107483.08414747119</v>
      </c>
      <c r="D172" s="267">
        <v>-52596.27079988888</v>
      </c>
      <c r="E172" s="268">
        <v>0</v>
      </c>
      <c r="F172" s="267">
        <v>0</v>
      </c>
      <c r="G172" s="267">
        <v>0</v>
      </c>
      <c r="H172" s="269">
        <f t="shared" si="23"/>
        <v>54886.813347582312</v>
      </c>
      <c r="I172" s="353">
        <v>7987.3270892018791</v>
      </c>
      <c r="J172" s="158">
        <f>'B) D RI'!U173</f>
        <v>9584.1538967136148</v>
      </c>
      <c r="K172" s="115">
        <f t="shared" si="29"/>
        <v>6.8717372826491809</v>
      </c>
      <c r="L172" s="63">
        <f>'B) D RI'!S173</f>
        <v>71</v>
      </c>
      <c r="M172" s="63">
        <f t="shared" si="24"/>
        <v>64.128262717350822</v>
      </c>
      <c r="N172" s="223">
        <f>'J) Plafonnement effort'!G171+'J) Plafonnement effort'!H171-'K) Plafonnement aide'!I171</f>
        <v>18.118514364547572</v>
      </c>
      <c r="O172" s="223">
        <f t="shared" si="25"/>
        <v>82.246777081898387</v>
      </c>
      <c r="P172" s="80">
        <f t="shared" si="26"/>
        <v>0</v>
      </c>
      <c r="Q172" s="98">
        <f t="shared" ref="Q172:Q227" si="30">P172*J172</f>
        <v>0</v>
      </c>
      <c r="R172" s="258">
        <f t="shared" si="27"/>
        <v>82.246777081898387</v>
      </c>
      <c r="S172" s="223">
        <f t="shared" si="28"/>
        <v>11.246777081898387</v>
      </c>
      <c r="T172" s="257"/>
    </row>
    <row r="173" spans="1:20" x14ac:dyDescent="0.25">
      <c r="A173" s="82">
        <f>'A) Base RI'!A174</f>
        <v>5674</v>
      </c>
      <c r="B173" s="95" t="str">
        <f>'A) Base RI'!B174</f>
        <v>Lovatens</v>
      </c>
      <c r="C173" s="266">
        <v>52370.350473779246</v>
      </c>
      <c r="D173" s="267">
        <v>1837.54571241948</v>
      </c>
      <c r="E173" s="268">
        <v>0</v>
      </c>
      <c r="F173" s="267">
        <v>0</v>
      </c>
      <c r="G173" s="267">
        <v>0</v>
      </c>
      <c r="H173" s="269">
        <f t="shared" si="23"/>
        <v>54207.896186198726</v>
      </c>
      <c r="I173" s="353">
        <v>3517.927967806841</v>
      </c>
      <c r="J173" s="158">
        <f>'B) D RI'!U174</f>
        <v>5762.0609054325942</v>
      </c>
      <c r="K173" s="115">
        <f t="shared" si="29"/>
        <v>15.409040970214408</v>
      </c>
      <c r="L173" s="63">
        <f>'B) D RI'!S174</f>
        <v>71</v>
      </c>
      <c r="M173" s="63">
        <f t="shared" si="24"/>
        <v>55.590959029785594</v>
      </c>
      <c r="N173" s="223">
        <f>'J) Plafonnement effort'!G172+'J) Plafonnement effort'!H172-'K) Plafonnement aide'!I172</f>
        <v>29.941977211195123</v>
      </c>
      <c r="O173" s="223">
        <f t="shared" si="25"/>
        <v>85.532936240980717</v>
      </c>
      <c r="P173" s="80">
        <f t="shared" si="26"/>
        <v>0</v>
      </c>
      <c r="Q173" s="98">
        <f t="shared" si="30"/>
        <v>0</v>
      </c>
      <c r="R173" s="258">
        <f t="shared" si="27"/>
        <v>85.532936240980717</v>
      </c>
      <c r="S173" s="223">
        <f t="shared" si="28"/>
        <v>14.532936240980717</v>
      </c>
      <c r="T173" s="257"/>
    </row>
    <row r="174" spans="1:20" x14ac:dyDescent="0.25">
      <c r="A174" s="82">
        <f>'A) Base RI'!A175</f>
        <v>5675</v>
      </c>
      <c r="B174" s="95" t="str">
        <f>'A) Base RI'!B175</f>
        <v>Lucens</v>
      </c>
      <c r="C174" s="266">
        <v>1064262.3111699333</v>
      </c>
      <c r="D174" s="267">
        <v>-876747.28124259692</v>
      </c>
      <c r="E174" s="268">
        <v>0</v>
      </c>
      <c r="F174" s="267">
        <v>0</v>
      </c>
      <c r="G174" s="267">
        <v>0</v>
      </c>
      <c r="H174" s="269">
        <f t="shared" si="23"/>
        <v>187515.02992733638</v>
      </c>
      <c r="I174" s="353">
        <v>66334.845509641877</v>
      </c>
      <c r="J174" s="158">
        <f>'B) D RI'!U175</f>
        <v>78725.785578512397</v>
      </c>
      <c r="K174" s="115">
        <f t="shared" si="29"/>
        <v>2.826795306247917</v>
      </c>
      <c r="L174" s="63">
        <f>'B) D RI'!S175</f>
        <v>66</v>
      </c>
      <c r="M174" s="63">
        <f t="shared" si="24"/>
        <v>63.173204693752083</v>
      </c>
      <c r="N174" s="223">
        <f>'J) Plafonnement effort'!G173+'J) Plafonnement effort'!H173-'K) Plafonnement aide'!I173</f>
        <v>6.2608586617206834</v>
      </c>
      <c r="O174" s="223">
        <f t="shared" si="25"/>
        <v>69.434063355472773</v>
      </c>
      <c r="P174" s="80">
        <f t="shared" si="26"/>
        <v>0</v>
      </c>
      <c r="Q174" s="98">
        <f t="shared" si="30"/>
        <v>0</v>
      </c>
      <c r="R174" s="258">
        <f t="shared" si="27"/>
        <v>69.434063355472773</v>
      </c>
      <c r="S174" s="223">
        <f t="shared" si="28"/>
        <v>3.4340633554727731</v>
      </c>
      <c r="T174" s="257"/>
    </row>
    <row r="175" spans="1:20" x14ac:dyDescent="0.25">
      <c r="A175" s="82">
        <f>'A) Base RI'!A176</f>
        <v>5678</v>
      </c>
      <c r="B175" s="95" t="str">
        <f>'A) Base RI'!B176</f>
        <v>Moudon</v>
      </c>
      <c r="C175" s="266">
        <v>1876432.6012918553</v>
      </c>
      <c r="D175" s="267">
        <v>-2573532.7163267471</v>
      </c>
      <c r="E175" s="268">
        <v>230388.66736365933</v>
      </c>
      <c r="F175" s="267">
        <v>0</v>
      </c>
      <c r="G175" s="267">
        <v>0</v>
      </c>
      <c r="H175" s="269">
        <f t="shared" si="23"/>
        <v>-466711.4476712324</v>
      </c>
      <c r="I175" s="353">
        <v>116677.86191780819</v>
      </c>
      <c r="J175" s="158">
        <f>'B) D RI'!U176</f>
        <v>119060.24706666666</v>
      </c>
      <c r="K175" s="115">
        <f t="shared" si="29"/>
        <v>-3.9999999999999969</v>
      </c>
      <c r="L175" s="63">
        <f>'B) D RI'!S176</f>
        <v>75</v>
      </c>
      <c r="M175" s="63">
        <f t="shared" si="24"/>
        <v>79</v>
      </c>
      <c r="N175" s="223">
        <f>'J) Plafonnement effort'!G174+'J) Plafonnement effort'!H174-'K) Plafonnement aide'!I174</f>
        <v>-15.226689037958691</v>
      </c>
      <c r="O175" s="223">
        <f t="shared" si="25"/>
        <v>63.773310962041307</v>
      </c>
      <c r="P175" s="80">
        <f t="shared" si="26"/>
        <v>0</v>
      </c>
      <c r="Q175" s="98">
        <f t="shared" si="30"/>
        <v>0</v>
      </c>
      <c r="R175" s="258">
        <f t="shared" si="27"/>
        <v>63.773310962041307</v>
      </c>
      <c r="S175" s="223">
        <f t="shared" si="28"/>
        <v>-11.226689037958693</v>
      </c>
      <c r="T175" s="257"/>
    </row>
    <row r="176" spans="1:20" x14ac:dyDescent="0.25">
      <c r="A176" s="82">
        <f>'A) Base RI'!A177</f>
        <v>5680</v>
      </c>
      <c r="B176" s="95" t="str">
        <f>'A) Base RI'!B177</f>
        <v>Ogens</v>
      </c>
      <c r="C176" s="266">
        <v>110931.81655642617</v>
      </c>
      <c r="D176" s="267">
        <v>-32555.204646418628</v>
      </c>
      <c r="E176" s="268">
        <v>0</v>
      </c>
      <c r="F176" s="267">
        <v>0</v>
      </c>
      <c r="G176" s="267">
        <v>0</v>
      </c>
      <c r="H176" s="269">
        <f t="shared" si="23"/>
        <v>78376.611910007545</v>
      </c>
      <c r="I176" s="353">
        <v>6524.3310256410259</v>
      </c>
      <c r="J176" s="158">
        <f>'B) D RI'!U177</f>
        <v>6568.1873076923084</v>
      </c>
      <c r="K176" s="115">
        <f t="shared" si="29"/>
        <v>12.012972916607479</v>
      </c>
      <c r="L176" s="63">
        <f>'B) D RI'!S177</f>
        <v>78</v>
      </c>
      <c r="M176" s="63">
        <f t="shared" si="24"/>
        <v>65.987027083392519</v>
      </c>
      <c r="N176" s="223">
        <f>'J) Plafonnement effort'!G175+'J) Plafonnement effort'!H175-'K) Plafonnement aide'!I175</f>
        <v>3.1855068651310852</v>
      </c>
      <c r="O176" s="223">
        <f t="shared" si="25"/>
        <v>69.172533948523608</v>
      </c>
      <c r="P176" s="80">
        <f t="shared" si="26"/>
        <v>0</v>
      </c>
      <c r="Q176" s="98">
        <f t="shared" si="30"/>
        <v>0</v>
      </c>
      <c r="R176" s="258">
        <f t="shared" si="27"/>
        <v>69.172533948523608</v>
      </c>
      <c r="S176" s="223">
        <f t="shared" si="28"/>
        <v>-8.8274660514763923</v>
      </c>
      <c r="T176" s="257"/>
    </row>
    <row r="177" spans="1:20" x14ac:dyDescent="0.25">
      <c r="A177" s="82">
        <f>'A) Base RI'!A178</f>
        <v>5683</v>
      </c>
      <c r="B177" s="95" t="str">
        <f>'A) Base RI'!B178</f>
        <v>Prévonloup</v>
      </c>
      <c r="C177" s="266">
        <v>47222.173528204017</v>
      </c>
      <c r="D177" s="267">
        <v>-21965.025924072019</v>
      </c>
      <c r="E177" s="268">
        <v>0</v>
      </c>
      <c r="F177" s="267">
        <v>0</v>
      </c>
      <c r="G177" s="267">
        <v>0</v>
      </c>
      <c r="H177" s="269">
        <f t="shared" si="23"/>
        <v>25257.147604131998</v>
      </c>
      <c r="I177" s="353">
        <v>3396.513648648649</v>
      </c>
      <c r="J177" s="158">
        <f>'B) D RI'!U178</f>
        <v>3760.4979729729735</v>
      </c>
      <c r="K177" s="115">
        <f t="shared" si="29"/>
        <v>7.4361978831384681</v>
      </c>
      <c r="L177" s="63">
        <f>'B) D RI'!S178</f>
        <v>74</v>
      </c>
      <c r="M177" s="63">
        <f t="shared" si="24"/>
        <v>66.563802116861538</v>
      </c>
      <c r="N177" s="223">
        <f>'J) Plafonnement effort'!G176+'J) Plafonnement effort'!H176-'K) Plafonnement aide'!I176</f>
        <v>-10.968942987620114</v>
      </c>
      <c r="O177" s="223">
        <f t="shared" si="25"/>
        <v>55.594859129241428</v>
      </c>
      <c r="P177" s="80">
        <f t="shared" si="26"/>
        <v>0</v>
      </c>
      <c r="Q177" s="98">
        <f t="shared" si="30"/>
        <v>0</v>
      </c>
      <c r="R177" s="258">
        <f t="shared" si="27"/>
        <v>55.594859129241428</v>
      </c>
      <c r="S177" s="223">
        <f t="shared" si="28"/>
        <v>-18.405140870758572</v>
      </c>
      <c r="T177" s="257"/>
    </row>
    <row r="178" spans="1:20" x14ac:dyDescent="0.25">
      <c r="A178" s="82">
        <f>'A) Base RI'!A179</f>
        <v>5684</v>
      </c>
      <c r="B178" s="95" t="str">
        <f>'A) Base RI'!B179</f>
        <v>Rossenges</v>
      </c>
      <c r="C178" s="266">
        <v>32629.329157540411</v>
      </c>
      <c r="D178" s="267">
        <v>-1818.0245543810597</v>
      </c>
      <c r="E178" s="268">
        <v>0</v>
      </c>
      <c r="F178" s="267">
        <v>0</v>
      </c>
      <c r="G178" s="267">
        <v>-4137.8141703206056</v>
      </c>
      <c r="H178" s="269">
        <f t="shared" si="23"/>
        <v>26673.490432838746</v>
      </c>
      <c r="I178" s="353">
        <v>1431.0856617647059</v>
      </c>
      <c r="J178" s="158">
        <f>'B) D RI'!U179</f>
        <v>1257.3034166666666</v>
      </c>
      <c r="K178" s="115">
        <f t="shared" si="29"/>
        <v>18.638639981863157</v>
      </c>
      <c r="L178" s="63">
        <f>'B) D RI'!S179</f>
        <v>60</v>
      </c>
      <c r="M178" s="63">
        <f t="shared" si="24"/>
        <v>41.361360018136843</v>
      </c>
      <c r="N178" s="223">
        <f>'J) Plafonnement effort'!G177+'J) Plafonnement effort'!H177-'K) Plafonnement aide'!I177</f>
        <v>9.9589390220144516</v>
      </c>
      <c r="O178" s="223">
        <f t="shared" si="25"/>
        <v>51.320299040151298</v>
      </c>
      <c r="P178" s="80">
        <f t="shared" si="26"/>
        <v>0</v>
      </c>
      <c r="Q178" s="98">
        <f t="shared" si="30"/>
        <v>0</v>
      </c>
      <c r="R178" s="258">
        <f t="shared" si="27"/>
        <v>51.320299040151298</v>
      </c>
      <c r="S178" s="223">
        <f t="shared" si="28"/>
        <v>-8.6797009598487023</v>
      </c>
      <c r="T178" s="257"/>
    </row>
    <row r="179" spans="1:20" x14ac:dyDescent="0.25">
      <c r="A179" s="82">
        <f>'A) Base RI'!A180</f>
        <v>5686</v>
      </c>
      <c r="B179" s="95" t="str">
        <f>'A) Base RI'!B180</f>
        <v>Sarzens</v>
      </c>
      <c r="C179" s="266">
        <v>16307.842214411337</v>
      </c>
      <c r="D179" s="267">
        <v>-40296.665736480558</v>
      </c>
      <c r="E179" s="268">
        <v>19004.705627332376</v>
      </c>
      <c r="F179" s="267">
        <v>0</v>
      </c>
      <c r="G179" s="267">
        <v>0</v>
      </c>
      <c r="H179" s="269">
        <f t="shared" si="23"/>
        <v>-4984.1178947368462</v>
      </c>
      <c r="I179" s="353">
        <v>1246.0294736842104</v>
      </c>
      <c r="J179" s="158">
        <f>'B) D RI'!U180</f>
        <v>1531.7207894736844</v>
      </c>
      <c r="K179" s="115">
        <f t="shared" si="29"/>
        <v>-4.0000000000000036</v>
      </c>
      <c r="L179" s="63">
        <f>'B) D RI'!S180</f>
        <v>76</v>
      </c>
      <c r="M179" s="63">
        <f t="shared" si="24"/>
        <v>80</v>
      </c>
      <c r="N179" s="223">
        <f>'J) Plafonnement effort'!G178+'J) Plafonnement effort'!H178-'K) Plafonnement aide'!I178</f>
        <v>-2.5808764242896132E-2</v>
      </c>
      <c r="O179" s="223">
        <f t="shared" si="25"/>
        <v>79.974191235757104</v>
      </c>
      <c r="P179" s="80">
        <f t="shared" si="26"/>
        <v>0</v>
      </c>
      <c r="Q179" s="98">
        <f t="shared" si="30"/>
        <v>0</v>
      </c>
      <c r="R179" s="258">
        <f t="shared" si="27"/>
        <v>79.974191235757104</v>
      </c>
      <c r="S179" s="223">
        <f t="shared" si="28"/>
        <v>3.9741912357571039</v>
      </c>
      <c r="T179" s="257"/>
    </row>
    <row r="180" spans="1:20" x14ac:dyDescent="0.25">
      <c r="A180" s="82">
        <f>'A) Base RI'!A181</f>
        <v>5688</v>
      </c>
      <c r="B180" s="95" t="str">
        <f>'A) Base RI'!B181</f>
        <v>Syens</v>
      </c>
      <c r="C180" s="266">
        <v>57958.175451269009</v>
      </c>
      <c r="D180" s="267">
        <v>6575.0480878893432</v>
      </c>
      <c r="E180" s="268">
        <v>0</v>
      </c>
      <c r="F180" s="267">
        <v>0</v>
      </c>
      <c r="G180" s="267">
        <v>0</v>
      </c>
      <c r="H180" s="269">
        <f t="shared" si="23"/>
        <v>64533.223539158353</v>
      </c>
      <c r="I180" s="353">
        <v>3848.3203703703707</v>
      </c>
      <c r="J180" s="158">
        <f>'B) D RI'!U181</f>
        <v>4602.8089947089957</v>
      </c>
      <c r="K180" s="115">
        <f t="shared" si="29"/>
        <v>16.769192096381399</v>
      </c>
      <c r="L180" s="63">
        <f>'B) D RI'!S181</f>
        <v>75.599999999999994</v>
      </c>
      <c r="M180" s="63">
        <f t="shared" si="24"/>
        <v>58.830807903618592</v>
      </c>
      <c r="N180" s="223">
        <f>'J) Plafonnement effort'!G179+'J) Plafonnement effort'!H179-'K) Plafonnement aide'!I179</f>
        <v>26.549107764922951</v>
      </c>
      <c r="O180" s="223">
        <f t="shared" si="25"/>
        <v>85.379915668541543</v>
      </c>
      <c r="P180" s="80">
        <f t="shared" si="26"/>
        <v>0</v>
      </c>
      <c r="Q180" s="98">
        <f t="shared" si="30"/>
        <v>0</v>
      </c>
      <c r="R180" s="258">
        <f t="shared" si="27"/>
        <v>85.379915668541543</v>
      </c>
      <c r="S180" s="223">
        <f t="shared" si="28"/>
        <v>9.7799156685415483</v>
      </c>
      <c r="T180" s="257"/>
    </row>
    <row r="181" spans="1:20" x14ac:dyDescent="0.25">
      <c r="A181" s="82">
        <f>'A) Base RI'!A182</f>
        <v>5690</v>
      </c>
      <c r="B181" s="95" t="str">
        <f>'A) Base RI'!B182</f>
        <v>Villars-le-Comte</v>
      </c>
      <c r="C181" s="266">
        <v>48101.990275280186</v>
      </c>
      <c r="D181" s="267">
        <v>-41309.113246260051</v>
      </c>
      <c r="E181" s="268">
        <v>0</v>
      </c>
      <c r="F181" s="267">
        <v>0</v>
      </c>
      <c r="G181" s="267">
        <v>0</v>
      </c>
      <c r="H181" s="269">
        <f t="shared" si="23"/>
        <v>6792.8770290201355</v>
      </c>
      <c r="I181" s="353">
        <v>3179.3726315789472</v>
      </c>
      <c r="J181" s="158">
        <f>'B) D RI'!U182</f>
        <v>3143.0732894736843</v>
      </c>
      <c r="K181" s="115">
        <f t="shared" si="29"/>
        <v>2.1365463618671967</v>
      </c>
      <c r="L181" s="63">
        <f>'B) D RI'!S182</f>
        <v>76</v>
      </c>
      <c r="M181" s="63">
        <f t="shared" si="24"/>
        <v>73.863453638132796</v>
      </c>
      <c r="N181" s="223">
        <f>'J) Plafonnement effort'!G180+'J) Plafonnement effort'!H180-'K) Plafonnement aide'!I180</f>
        <v>2.2736144000787326</v>
      </c>
      <c r="O181" s="223">
        <f t="shared" si="25"/>
        <v>76.137068038211524</v>
      </c>
      <c r="P181" s="80">
        <f t="shared" si="26"/>
        <v>0</v>
      </c>
      <c r="Q181" s="98">
        <f t="shared" si="30"/>
        <v>0</v>
      </c>
      <c r="R181" s="258">
        <f t="shared" si="27"/>
        <v>76.137068038211524</v>
      </c>
      <c r="S181" s="223">
        <f t="shared" si="28"/>
        <v>0.13706803821152391</v>
      </c>
      <c r="T181" s="257"/>
    </row>
    <row r="182" spans="1:20" x14ac:dyDescent="0.25">
      <c r="A182" s="82">
        <f>'A) Base RI'!A183</f>
        <v>5692</v>
      </c>
      <c r="B182" s="95" t="str">
        <f>'A) Base RI'!B183</f>
        <v>Vucherens</v>
      </c>
      <c r="C182" s="266">
        <v>268770.40501681826</v>
      </c>
      <c r="D182" s="267">
        <v>49112.209018920723</v>
      </c>
      <c r="E182" s="268">
        <v>0</v>
      </c>
      <c r="F182" s="267">
        <v>0</v>
      </c>
      <c r="G182" s="267">
        <v>0</v>
      </c>
      <c r="H182" s="269">
        <f t="shared" si="23"/>
        <v>317882.61403573898</v>
      </c>
      <c r="I182" s="353">
        <v>15191.812749999997</v>
      </c>
      <c r="J182" s="158">
        <f>'B) D RI'!U183</f>
        <v>15992.362531645569</v>
      </c>
      <c r="K182" s="115">
        <f t="shared" si="29"/>
        <v>20.924600590258002</v>
      </c>
      <c r="L182" s="63">
        <f>'B) D RI'!S183</f>
        <v>79</v>
      </c>
      <c r="M182" s="63">
        <f t="shared" si="24"/>
        <v>58.075399409741998</v>
      </c>
      <c r="N182" s="223">
        <f>'J) Plafonnement effort'!G181+'J) Plafonnement effort'!H181-'K) Plafonnement aide'!I181</f>
        <v>20.161554029549627</v>
      </c>
      <c r="O182" s="223">
        <f t="shared" si="25"/>
        <v>78.236953439291625</v>
      </c>
      <c r="P182" s="80">
        <f t="shared" si="26"/>
        <v>0</v>
      </c>
      <c r="Q182" s="98">
        <f t="shared" si="30"/>
        <v>0</v>
      </c>
      <c r="R182" s="258">
        <f t="shared" si="27"/>
        <v>78.236953439291625</v>
      </c>
      <c r="S182" s="223">
        <f t="shared" si="28"/>
        <v>-0.76304656070837495</v>
      </c>
      <c r="T182" s="257"/>
    </row>
    <row r="183" spans="1:20" x14ac:dyDescent="0.25">
      <c r="A183" s="82">
        <f>'A) Base RI'!A184</f>
        <v>5693</v>
      </c>
      <c r="B183" s="95" t="str">
        <f>'A) Base RI'!B184</f>
        <v>Montanaire</v>
      </c>
      <c r="C183" s="266">
        <v>881263.41305029695</v>
      </c>
      <c r="D183" s="267">
        <v>-537323.98354715761</v>
      </c>
      <c r="E183" s="268">
        <v>0</v>
      </c>
      <c r="F183" s="267">
        <v>0</v>
      </c>
      <c r="G183" s="267">
        <v>0</v>
      </c>
      <c r="H183" s="269">
        <f t="shared" si="23"/>
        <v>343939.42950313934</v>
      </c>
      <c r="I183" s="353">
        <v>56695.177500000005</v>
      </c>
      <c r="J183" s="158">
        <f>'B) D RI'!U184</f>
        <v>59073.542638888895</v>
      </c>
      <c r="K183" s="115">
        <f>H183/I183</f>
        <v>6.0664671083028061</v>
      </c>
      <c r="L183" s="63">
        <f>'B) D RI'!S184</f>
        <v>72</v>
      </c>
      <c r="M183" s="63">
        <f>L183-K183</f>
        <v>65.933532891697197</v>
      </c>
      <c r="N183" s="223">
        <f>'J) Plafonnement effort'!G182+'J) Plafonnement effort'!H182-'K) Plafonnement aide'!I182</f>
        <v>6.3097589805107388</v>
      </c>
      <c r="O183" s="223">
        <f>M183+N183</f>
        <v>72.243291872207934</v>
      </c>
      <c r="P183" s="80">
        <f t="shared" si="26"/>
        <v>0</v>
      </c>
      <c r="Q183" s="98">
        <f>P183*J183</f>
        <v>0</v>
      </c>
      <c r="R183" s="258">
        <f>O183+P183</f>
        <v>72.243291872207934</v>
      </c>
      <c r="S183" s="223">
        <f>R183-L183</f>
        <v>0.24329187220793358</v>
      </c>
      <c r="T183" s="257"/>
    </row>
    <row r="184" spans="1:20" x14ac:dyDescent="0.25">
      <c r="A184" s="82">
        <f>'A) Base RI'!A185</f>
        <v>5701</v>
      </c>
      <c r="B184" s="95" t="str">
        <f>'A) Base RI'!B185</f>
        <v>Arnex-sur-Nyon</v>
      </c>
      <c r="C184" s="266">
        <v>323596.97757942596</v>
      </c>
      <c r="D184" s="267">
        <v>218118.625765</v>
      </c>
      <c r="E184" s="268">
        <v>0</v>
      </c>
      <c r="F184" s="267">
        <v>0</v>
      </c>
      <c r="G184" s="267">
        <v>0</v>
      </c>
      <c r="H184" s="269">
        <f t="shared" si="23"/>
        <v>541715.60334442602</v>
      </c>
      <c r="I184" s="353">
        <v>12905.261970518801</v>
      </c>
      <c r="J184" s="158">
        <f>'B) D RI'!U185</f>
        <v>14424.549365079363</v>
      </c>
      <c r="K184" s="115">
        <f>H184/I184</f>
        <v>41.976335279511467</v>
      </c>
      <c r="L184" s="63">
        <f>'B) D RI'!S185</f>
        <v>63</v>
      </c>
      <c r="M184" s="63">
        <f>L184-K184</f>
        <v>21.023664720488533</v>
      </c>
      <c r="N184" s="223">
        <f>'J) Plafonnement effort'!G183+'J) Plafonnement effort'!H183-'K) Plafonnement aide'!I183</f>
        <v>38.303210880398119</v>
      </c>
      <c r="O184" s="223">
        <f>M184+N184</f>
        <v>59.326875600886652</v>
      </c>
      <c r="P184" s="80">
        <f t="shared" si="26"/>
        <v>0</v>
      </c>
      <c r="Q184" s="98">
        <f>P184*J184</f>
        <v>0</v>
      </c>
      <c r="R184" s="258">
        <f>O184+P184</f>
        <v>59.326875600886652</v>
      </c>
      <c r="S184" s="223">
        <f>R184-L184</f>
        <v>-3.6731243991133482</v>
      </c>
      <c r="T184" s="257"/>
    </row>
    <row r="185" spans="1:20" x14ac:dyDescent="0.25">
      <c r="A185" s="82">
        <f>'A) Base RI'!A186</f>
        <v>5702</v>
      </c>
      <c r="B185" s="95" t="str">
        <f>'A) Base RI'!B186</f>
        <v>Arzier-Le Muids</v>
      </c>
      <c r="C185" s="266">
        <v>2464656.9022690183</v>
      </c>
      <c r="D185" s="267">
        <v>1682202.2702684999</v>
      </c>
      <c r="E185" s="268">
        <v>0</v>
      </c>
      <c r="F185" s="267">
        <v>0</v>
      </c>
      <c r="G185" s="267">
        <v>0</v>
      </c>
      <c r="H185" s="269">
        <f t="shared" si="23"/>
        <v>4146859.1725375182</v>
      </c>
      <c r="I185" s="353">
        <v>123397.94359374999</v>
      </c>
      <c r="J185" s="158">
        <f>'B) D RI'!U186</f>
        <v>123913.10833333334</v>
      </c>
      <c r="K185" s="115">
        <f t="shared" si="29"/>
        <v>33.60557762769357</v>
      </c>
      <c r="L185" s="63">
        <f>'B) D RI'!S186</f>
        <v>64</v>
      </c>
      <c r="M185" s="63">
        <f t="shared" si="24"/>
        <v>30.39442237230643</v>
      </c>
      <c r="N185" s="223">
        <f>'J) Plafonnement effort'!G184+'J) Plafonnement effort'!H184-'K) Plafonnement aide'!I184</f>
        <v>28.838711968888255</v>
      </c>
      <c r="O185" s="223">
        <f t="shared" si="25"/>
        <v>59.233134341194685</v>
      </c>
      <c r="P185" s="80">
        <f t="shared" si="26"/>
        <v>0</v>
      </c>
      <c r="Q185" s="98">
        <f t="shared" si="30"/>
        <v>0</v>
      </c>
      <c r="R185" s="258">
        <f t="shared" si="27"/>
        <v>59.233134341194685</v>
      </c>
      <c r="S185" s="223">
        <f t="shared" si="28"/>
        <v>-4.7668656588053153</v>
      </c>
      <c r="T185" s="257"/>
    </row>
    <row r="186" spans="1:20" x14ac:dyDescent="0.25">
      <c r="A186" s="82">
        <f>'A) Base RI'!A187</f>
        <v>5703</v>
      </c>
      <c r="B186" s="95" t="str">
        <f>'A) Base RI'!B187</f>
        <v>Bassins</v>
      </c>
      <c r="C186" s="266">
        <v>995675.20451840328</v>
      </c>
      <c r="D186" s="267">
        <v>707679.93123132328</v>
      </c>
      <c r="E186" s="268">
        <v>0</v>
      </c>
      <c r="F186" s="267">
        <v>0</v>
      </c>
      <c r="G186" s="267">
        <v>0</v>
      </c>
      <c r="H186" s="269">
        <f t="shared" si="23"/>
        <v>1703355.1357497266</v>
      </c>
      <c r="I186" s="353">
        <v>53624.407285714282</v>
      </c>
      <c r="J186" s="158">
        <f>'B) D RI'!U187</f>
        <v>52680.758714285716</v>
      </c>
      <c r="K186" s="115">
        <f t="shared" si="29"/>
        <v>31.764549427542221</v>
      </c>
      <c r="L186" s="63">
        <f>'B) D RI'!S187</f>
        <v>70</v>
      </c>
      <c r="M186" s="63">
        <f t="shared" si="24"/>
        <v>38.235450572457779</v>
      </c>
      <c r="N186" s="223">
        <f>'J) Plafonnement effort'!G185+'J) Plafonnement effort'!H185-'K) Plafonnement aide'!I185</f>
        <v>26.009039059702285</v>
      </c>
      <c r="O186" s="223">
        <f t="shared" si="25"/>
        <v>64.244489632160068</v>
      </c>
      <c r="P186" s="80">
        <f t="shared" si="26"/>
        <v>0</v>
      </c>
      <c r="Q186" s="98">
        <f t="shared" si="30"/>
        <v>0</v>
      </c>
      <c r="R186" s="258">
        <f t="shared" si="27"/>
        <v>64.244489632160068</v>
      </c>
      <c r="S186" s="223">
        <f t="shared" si="28"/>
        <v>-5.755510367839932</v>
      </c>
      <c r="T186" s="257"/>
    </row>
    <row r="187" spans="1:20" x14ac:dyDescent="0.25">
      <c r="A187" s="82">
        <f>'A) Base RI'!A188</f>
        <v>5704</v>
      </c>
      <c r="B187" s="95" t="str">
        <f>'A) Base RI'!B188</f>
        <v>Begnins</v>
      </c>
      <c r="C187" s="266">
        <v>2114140.157467314</v>
      </c>
      <c r="D187" s="267">
        <v>1485474.6133037498</v>
      </c>
      <c r="E187" s="268">
        <v>0</v>
      </c>
      <c r="F187" s="267">
        <v>0</v>
      </c>
      <c r="G187" s="267">
        <v>0</v>
      </c>
      <c r="H187" s="269">
        <f t="shared" si="23"/>
        <v>3599614.7707710639</v>
      </c>
      <c r="I187" s="353">
        <v>98385.661458516435</v>
      </c>
      <c r="J187" s="158">
        <f>'B) D RI'!U188</f>
        <v>98583.13114427861</v>
      </c>
      <c r="K187" s="115">
        <f t="shared" si="29"/>
        <v>36.58678223440937</v>
      </c>
      <c r="L187" s="63">
        <f>'B) D RI'!S188</f>
        <v>67</v>
      </c>
      <c r="M187" s="63">
        <f t="shared" si="24"/>
        <v>30.41321776559063</v>
      </c>
      <c r="N187" s="223">
        <f>'J) Plafonnement effort'!G186+'J) Plafonnement effort'!H186-'K) Plafonnement aide'!I186</f>
        <v>38.178857756031967</v>
      </c>
      <c r="O187" s="223">
        <f t="shared" si="25"/>
        <v>68.592075521622604</v>
      </c>
      <c r="P187" s="80">
        <f t="shared" si="26"/>
        <v>0</v>
      </c>
      <c r="Q187" s="98">
        <f t="shared" si="30"/>
        <v>0</v>
      </c>
      <c r="R187" s="258">
        <f t="shared" si="27"/>
        <v>68.592075521622604</v>
      </c>
      <c r="S187" s="223">
        <f t="shared" si="28"/>
        <v>1.5920755216226041</v>
      </c>
      <c r="T187" s="257"/>
    </row>
    <row r="188" spans="1:20" x14ac:dyDescent="0.25">
      <c r="A188" s="82">
        <f>'A) Base RI'!A189</f>
        <v>5705</v>
      </c>
      <c r="B188" s="95" t="str">
        <f>'A) Base RI'!B189</f>
        <v>Bogis-Bossey</v>
      </c>
      <c r="C188" s="266">
        <v>846261.85033679474</v>
      </c>
      <c r="D188" s="267">
        <v>771372.67102849996</v>
      </c>
      <c r="E188" s="268">
        <v>0</v>
      </c>
      <c r="F188" s="267">
        <v>0</v>
      </c>
      <c r="G188" s="267">
        <v>0</v>
      </c>
      <c r="H188" s="269">
        <f t="shared" si="23"/>
        <v>1617634.5213652947</v>
      </c>
      <c r="I188" s="353">
        <v>46396.063064755828</v>
      </c>
      <c r="J188" s="158">
        <f>'B) D RI'!U189</f>
        <v>43467.757968750004</v>
      </c>
      <c r="K188" s="115">
        <f t="shared" si="29"/>
        <v>34.865771242433496</v>
      </c>
      <c r="L188" s="63">
        <f>'B) D RI'!S189</f>
        <v>64</v>
      </c>
      <c r="M188" s="63">
        <f t="shared" si="24"/>
        <v>29.134228757566504</v>
      </c>
      <c r="N188" s="223">
        <f>'J) Plafonnement effort'!G187+'J) Plafonnement effort'!H187-'K) Plafonnement aide'!I187</f>
        <v>33.363383221587554</v>
      </c>
      <c r="O188" s="223">
        <f t="shared" si="25"/>
        <v>62.497611979154058</v>
      </c>
      <c r="P188" s="80">
        <f t="shared" si="26"/>
        <v>0</v>
      </c>
      <c r="Q188" s="98">
        <f t="shared" si="30"/>
        <v>0</v>
      </c>
      <c r="R188" s="258">
        <f t="shared" si="27"/>
        <v>62.497611979154058</v>
      </c>
      <c r="S188" s="223">
        <f t="shared" si="28"/>
        <v>-1.5023880208459417</v>
      </c>
      <c r="T188" s="257"/>
    </row>
    <row r="189" spans="1:20" x14ac:dyDescent="0.25">
      <c r="A189" s="82">
        <f>'A) Base RI'!A190</f>
        <v>5706</v>
      </c>
      <c r="B189" s="95" t="str">
        <f>'A) Base RI'!B190</f>
        <v>Borex</v>
      </c>
      <c r="C189" s="266">
        <v>1180654.1852436126</v>
      </c>
      <c r="D189" s="267">
        <v>974404.96085649997</v>
      </c>
      <c r="E189" s="268">
        <v>0</v>
      </c>
      <c r="F189" s="267">
        <v>0</v>
      </c>
      <c r="G189" s="267">
        <v>0</v>
      </c>
      <c r="H189" s="269">
        <f t="shared" si="23"/>
        <v>2155059.1461001127</v>
      </c>
      <c r="I189" s="353">
        <v>57925.109323738732</v>
      </c>
      <c r="J189" s="158">
        <f>'B) D RI'!U190</f>
        <v>92938.421228070161</v>
      </c>
      <c r="K189" s="115">
        <f t="shared" si="29"/>
        <v>37.204230967535374</v>
      </c>
      <c r="L189" s="63">
        <f>'B) D RI'!S190</f>
        <v>57</v>
      </c>
      <c r="M189" s="63">
        <f t="shared" si="24"/>
        <v>19.795769032464626</v>
      </c>
      <c r="N189" s="223">
        <f>'J) Plafonnement effort'!G188+'J) Plafonnement effort'!H188-'K) Plafonnement aide'!I188</f>
        <v>41.890256141631319</v>
      </c>
      <c r="O189" s="223">
        <f t="shared" si="25"/>
        <v>61.686025174095946</v>
      </c>
      <c r="P189" s="80">
        <f t="shared" si="26"/>
        <v>0</v>
      </c>
      <c r="Q189" s="98">
        <f t="shared" si="30"/>
        <v>0</v>
      </c>
      <c r="R189" s="258">
        <f t="shared" si="27"/>
        <v>61.686025174095946</v>
      </c>
      <c r="S189" s="223">
        <f t="shared" si="28"/>
        <v>4.6860251740959455</v>
      </c>
      <c r="T189" s="257"/>
    </row>
    <row r="190" spans="1:20" x14ac:dyDescent="0.25">
      <c r="A190" s="82">
        <f>'A) Base RI'!A191</f>
        <v>5707</v>
      </c>
      <c r="B190" s="95" t="str">
        <f>'A) Base RI'!B191</f>
        <v>Chavannes-de-Bogis</v>
      </c>
      <c r="C190" s="266">
        <v>1801401.7336693066</v>
      </c>
      <c r="D190" s="267">
        <v>1250488.18109825</v>
      </c>
      <c r="E190" s="268">
        <v>0</v>
      </c>
      <c r="F190" s="267">
        <v>0</v>
      </c>
      <c r="G190" s="267">
        <v>0</v>
      </c>
      <c r="H190" s="269">
        <f t="shared" si="23"/>
        <v>3051889.9147675568</v>
      </c>
      <c r="I190" s="353">
        <v>74967.505608013758</v>
      </c>
      <c r="J190" s="158">
        <f>'B) D RI'!U191</f>
        <v>97999.943502824884</v>
      </c>
      <c r="K190" s="115">
        <f t="shared" si="29"/>
        <v>40.70950327099213</v>
      </c>
      <c r="L190" s="63">
        <f>'B) D RI'!S191</f>
        <v>59</v>
      </c>
      <c r="M190" s="63">
        <f t="shared" si="24"/>
        <v>18.29049672900787</v>
      </c>
      <c r="N190" s="223">
        <f>'J) Plafonnement effort'!G189+'J) Plafonnement effort'!H189-'K) Plafonnement aide'!I189</f>
        <v>41.544211571225972</v>
      </c>
      <c r="O190" s="223">
        <f t="shared" si="25"/>
        <v>59.834708300233842</v>
      </c>
      <c r="P190" s="80">
        <f t="shared" si="26"/>
        <v>0</v>
      </c>
      <c r="Q190" s="98">
        <f t="shared" si="30"/>
        <v>0</v>
      </c>
      <c r="R190" s="258">
        <f t="shared" si="27"/>
        <v>59.834708300233842</v>
      </c>
      <c r="S190" s="223">
        <f t="shared" si="28"/>
        <v>0.83470830023384224</v>
      </c>
      <c r="T190" s="257"/>
    </row>
    <row r="191" spans="1:20" x14ac:dyDescent="0.25">
      <c r="A191" s="82">
        <f>'A) Base RI'!A192</f>
        <v>5708</v>
      </c>
      <c r="B191" s="95" t="str">
        <f>'A) Base RI'!B192</f>
        <v>Chavannes-des-Bois</v>
      </c>
      <c r="C191" s="266">
        <v>1257510.6392493309</v>
      </c>
      <c r="D191" s="267">
        <v>938648.53928849997</v>
      </c>
      <c r="E191" s="268">
        <v>0</v>
      </c>
      <c r="F191" s="267">
        <v>0</v>
      </c>
      <c r="G191" s="267">
        <v>0</v>
      </c>
      <c r="H191" s="269">
        <f t="shared" si="23"/>
        <v>2196159.1785378307</v>
      </c>
      <c r="I191" s="353">
        <v>55282.42241707426</v>
      </c>
      <c r="J191" s="158">
        <f>'B) D RI'!U192</f>
        <v>60199.422131147534</v>
      </c>
      <c r="K191" s="115">
        <f t="shared" si="29"/>
        <v>39.726174840332895</v>
      </c>
      <c r="L191" s="63">
        <f>'B) D RI'!S192</f>
        <v>61</v>
      </c>
      <c r="M191" s="63">
        <f t="shared" si="24"/>
        <v>21.273825159667105</v>
      </c>
      <c r="N191" s="223">
        <f>'J) Plafonnement effort'!G190+'J) Plafonnement effort'!H190-'K) Plafonnement aide'!I190</f>
        <v>39.214952879510008</v>
      </c>
      <c r="O191" s="223">
        <f t="shared" si="25"/>
        <v>60.488778039177113</v>
      </c>
      <c r="P191" s="80">
        <f t="shared" si="26"/>
        <v>0</v>
      </c>
      <c r="Q191" s="98">
        <f t="shared" si="30"/>
        <v>0</v>
      </c>
      <c r="R191" s="258">
        <f t="shared" si="27"/>
        <v>60.488778039177113</v>
      </c>
      <c r="S191" s="223">
        <f t="shared" si="28"/>
        <v>-0.51122196082288696</v>
      </c>
      <c r="T191" s="257"/>
    </row>
    <row r="192" spans="1:20" x14ac:dyDescent="0.25">
      <c r="A192" s="82">
        <f>'A) Base RI'!A193</f>
        <v>5709</v>
      </c>
      <c r="B192" s="95" t="str">
        <f>'A) Base RI'!B193</f>
        <v>Chéserex</v>
      </c>
      <c r="C192" s="266">
        <v>4322223.9566273307</v>
      </c>
      <c r="D192" s="267">
        <v>2142532.8064405001</v>
      </c>
      <c r="E192" s="268">
        <v>0</v>
      </c>
      <c r="F192" s="267">
        <v>0</v>
      </c>
      <c r="G192" s="267">
        <v>0</v>
      </c>
      <c r="H192" s="269">
        <f t="shared" si="23"/>
        <v>6464756.7630678304</v>
      </c>
      <c r="I192" s="353">
        <v>126203.21375581178</v>
      </c>
      <c r="J192" s="158">
        <f>'B) D RI'!U193</f>
        <v>145967.90288461538</v>
      </c>
      <c r="K192" s="115">
        <f t="shared" si="29"/>
        <v>51.224977325667524</v>
      </c>
      <c r="L192" s="63">
        <f>'B) D RI'!S193</f>
        <v>52</v>
      </c>
      <c r="M192" s="63">
        <f t="shared" si="24"/>
        <v>0.77502267433247596</v>
      </c>
      <c r="N192" s="223">
        <f>'J) Plafonnement effort'!G191+'J) Plafonnement effort'!H191-'K) Plafonnement aide'!I191</f>
        <v>42.382050466478631</v>
      </c>
      <c r="O192" s="223">
        <f t="shared" si="25"/>
        <v>43.157073140811107</v>
      </c>
      <c r="P192" s="80">
        <f t="shared" si="26"/>
        <v>0</v>
      </c>
      <c r="Q192" s="98">
        <f t="shared" si="30"/>
        <v>0</v>
      </c>
      <c r="R192" s="258">
        <f t="shared" si="27"/>
        <v>43.157073140811107</v>
      </c>
      <c r="S192" s="223">
        <f t="shared" si="28"/>
        <v>-8.8429268591888928</v>
      </c>
      <c r="T192" s="257"/>
    </row>
    <row r="193" spans="1:20" x14ac:dyDescent="0.25">
      <c r="A193" s="82">
        <f>'A) Base RI'!A194</f>
        <v>5710</v>
      </c>
      <c r="B193" s="95" t="str">
        <f>'A) Base RI'!B194</f>
        <v>Coinsins</v>
      </c>
      <c r="C193" s="266">
        <v>3189198.6511219172</v>
      </c>
      <c r="D193" s="267">
        <v>1231648.297639</v>
      </c>
      <c r="E193" s="268">
        <v>0</v>
      </c>
      <c r="F193" s="267">
        <v>0</v>
      </c>
      <c r="G193" s="267">
        <v>0</v>
      </c>
      <c r="H193" s="269">
        <f t="shared" si="23"/>
        <v>4420846.9487609174</v>
      </c>
      <c r="I193" s="353">
        <v>69177.306656389264</v>
      </c>
      <c r="J193" s="158">
        <f>'B) D RI'!U194</f>
        <v>102493.90717948719</v>
      </c>
      <c r="K193" s="115">
        <f t="shared" si="29"/>
        <v>63.906028760554598</v>
      </c>
      <c r="L193" s="63">
        <f>'B) D RI'!S194</f>
        <v>39</v>
      </c>
      <c r="M193" s="63">
        <f t="shared" si="24"/>
        <v>-24.906028760554598</v>
      </c>
      <c r="N193" s="223">
        <f>'J) Plafonnement effort'!G192+'J) Plafonnement effort'!H192-'K) Plafonnement aide'!I192</f>
        <v>44.107230591375341</v>
      </c>
      <c r="O193" s="223">
        <f t="shared" si="25"/>
        <v>19.201201830820743</v>
      </c>
      <c r="P193" s="80">
        <f t="shared" si="26"/>
        <v>0</v>
      </c>
      <c r="Q193" s="98">
        <f t="shared" si="30"/>
        <v>0</v>
      </c>
      <c r="R193" s="258">
        <f t="shared" si="27"/>
        <v>19.201201830820743</v>
      </c>
      <c r="S193" s="223">
        <f t="shared" si="28"/>
        <v>-19.798798169179257</v>
      </c>
      <c r="T193" s="257"/>
    </row>
    <row r="194" spans="1:20" x14ac:dyDescent="0.25">
      <c r="A194" s="82">
        <f>'A) Base RI'!A195</f>
        <v>5711</v>
      </c>
      <c r="B194" s="95" t="str">
        <f>'A) Base RI'!B195</f>
        <v>Commugny</v>
      </c>
      <c r="C194" s="266">
        <v>4220907.9212334957</v>
      </c>
      <c r="D194" s="267">
        <v>2741878.6765930001</v>
      </c>
      <c r="E194" s="268">
        <v>0</v>
      </c>
      <c r="F194" s="267">
        <v>0</v>
      </c>
      <c r="G194" s="267">
        <v>0</v>
      </c>
      <c r="H194" s="269">
        <f t="shared" si="23"/>
        <v>6962786.5978264958</v>
      </c>
      <c r="I194" s="353">
        <v>183395.22775997562</v>
      </c>
      <c r="J194" s="158">
        <f>'B) D RI'!U195</f>
        <v>235951.75200265253</v>
      </c>
      <c r="K194" s="115">
        <f t="shared" si="29"/>
        <v>37.966018433910754</v>
      </c>
      <c r="L194" s="63">
        <f>'B) D RI'!S195</f>
        <v>58</v>
      </c>
      <c r="M194" s="63">
        <f t="shared" si="24"/>
        <v>20.033981566089246</v>
      </c>
      <c r="N194" s="223">
        <f>'J) Plafonnement effort'!G193+'J) Plafonnement effort'!H193-'K) Plafonnement aide'!I193</f>
        <v>39.874252882547658</v>
      </c>
      <c r="O194" s="223">
        <f t="shared" si="25"/>
        <v>59.908234448636904</v>
      </c>
      <c r="P194" s="80">
        <f t="shared" si="26"/>
        <v>0</v>
      </c>
      <c r="Q194" s="98">
        <f t="shared" si="30"/>
        <v>0</v>
      </c>
      <c r="R194" s="258">
        <f t="shared" si="27"/>
        <v>59.908234448636904</v>
      </c>
      <c r="S194" s="223">
        <f t="shared" si="28"/>
        <v>1.9082344486369038</v>
      </c>
      <c r="T194" s="257"/>
    </row>
    <row r="195" spans="1:20" x14ac:dyDescent="0.25">
      <c r="A195" s="82">
        <f>'A) Base RI'!A196</f>
        <v>5712</v>
      </c>
      <c r="B195" s="95" t="str">
        <f>'A) Base RI'!B196</f>
        <v>Coppet</v>
      </c>
      <c r="C195" s="266">
        <v>7406754.3072314532</v>
      </c>
      <c r="D195" s="267">
        <v>3755077.04542075</v>
      </c>
      <c r="E195" s="268">
        <v>0</v>
      </c>
      <c r="F195" s="267">
        <v>0</v>
      </c>
      <c r="G195" s="267">
        <v>0</v>
      </c>
      <c r="H195" s="269">
        <f t="shared" si="23"/>
        <v>11161831.352652203</v>
      </c>
      <c r="I195" s="353">
        <v>245758.29387886744</v>
      </c>
      <c r="J195" s="158">
        <f>'B) D RI'!U196</f>
        <v>292636.3057232704</v>
      </c>
      <c r="K195" s="115">
        <f t="shared" si="29"/>
        <v>45.417923344445875</v>
      </c>
      <c r="L195" s="63">
        <f>'B) D RI'!S196</f>
        <v>53</v>
      </c>
      <c r="M195" s="63">
        <f t="shared" si="24"/>
        <v>7.5820766555541255</v>
      </c>
      <c r="N195" s="223">
        <f>'J) Plafonnement effort'!G194+'J) Plafonnement effort'!H194-'K) Plafonnement aide'!I194</f>
        <v>41.534761759823816</v>
      </c>
      <c r="O195" s="223">
        <f t="shared" si="25"/>
        <v>49.116838415377941</v>
      </c>
      <c r="P195" s="80">
        <f t="shared" si="26"/>
        <v>0</v>
      </c>
      <c r="Q195" s="98">
        <f t="shared" si="30"/>
        <v>0</v>
      </c>
      <c r="R195" s="258">
        <f t="shared" si="27"/>
        <v>49.116838415377941</v>
      </c>
      <c r="S195" s="223">
        <f t="shared" si="28"/>
        <v>-3.8831615846220586</v>
      </c>
      <c r="T195" s="257"/>
    </row>
    <row r="196" spans="1:20" x14ac:dyDescent="0.25">
      <c r="A196" s="82">
        <f>'A) Base RI'!A197</f>
        <v>5713</v>
      </c>
      <c r="B196" s="95" t="str">
        <f>'A) Base RI'!B197</f>
        <v>Crans-près-Céligny</v>
      </c>
      <c r="C196" s="266">
        <v>7737334.2467720788</v>
      </c>
      <c r="D196" s="267">
        <v>3459425.31642175</v>
      </c>
      <c r="E196" s="268">
        <v>0</v>
      </c>
      <c r="F196" s="267">
        <v>0</v>
      </c>
      <c r="G196" s="267">
        <v>0</v>
      </c>
      <c r="H196" s="269">
        <f t="shared" si="23"/>
        <v>11196759.563193828</v>
      </c>
      <c r="I196" s="353">
        <v>213590.54533761603</v>
      </c>
      <c r="J196" s="158">
        <f>'B) D RI'!U197</f>
        <v>335979.11377358483</v>
      </c>
      <c r="K196" s="115">
        <f t="shared" si="29"/>
        <v>52.421606703121867</v>
      </c>
      <c r="L196" s="63">
        <f>'B) D RI'!S197</f>
        <v>53</v>
      </c>
      <c r="M196" s="63">
        <f t="shared" si="24"/>
        <v>0.5783932968781329</v>
      </c>
      <c r="N196" s="223">
        <f>'J) Plafonnement effort'!G195+'J) Plafonnement effort'!H195-'K) Plafonnement aide'!I195</f>
        <v>47.609732443689651</v>
      </c>
      <c r="O196" s="223">
        <f t="shared" si="25"/>
        <v>48.188125740567784</v>
      </c>
      <c r="P196" s="80">
        <f t="shared" si="26"/>
        <v>0</v>
      </c>
      <c r="Q196" s="98">
        <f t="shared" si="30"/>
        <v>0</v>
      </c>
      <c r="R196" s="258">
        <f t="shared" si="27"/>
        <v>48.188125740567784</v>
      </c>
      <c r="S196" s="223">
        <f t="shared" si="28"/>
        <v>-4.8118742594322157</v>
      </c>
      <c r="T196" s="257"/>
    </row>
    <row r="197" spans="1:20" x14ac:dyDescent="0.25">
      <c r="A197" s="82">
        <f>'A) Base RI'!A198</f>
        <v>5714</v>
      </c>
      <c r="B197" s="95" t="str">
        <f>'A) Base RI'!B198</f>
        <v>Crassier</v>
      </c>
      <c r="C197" s="266">
        <v>984100.90352887998</v>
      </c>
      <c r="D197" s="267">
        <v>973982.20415274997</v>
      </c>
      <c r="E197" s="268">
        <v>0</v>
      </c>
      <c r="F197" s="267">
        <v>0</v>
      </c>
      <c r="G197" s="267">
        <v>0</v>
      </c>
      <c r="H197" s="269">
        <f t="shared" si="23"/>
        <v>1958083.1076816299</v>
      </c>
      <c r="I197" s="353">
        <v>59956.604338100697</v>
      </c>
      <c r="J197" s="158">
        <f>'B) D RI'!U198</f>
        <v>64394.622031249986</v>
      </c>
      <c r="K197" s="115">
        <f t="shared" si="29"/>
        <v>32.658338965292678</v>
      </c>
      <c r="L197" s="63">
        <f>'B) D RI'!S198</f>
        <v>64</v>
      </c>
      <c r="M197" s="63">
        <f t="shared" si="24"/>
        <v>31.341661034707322</v>
      </c>
      <c r="N197" s="223">
        <f>'J) Plafonnement effort'!G196+'J) Plafonnement effort'!H196-'K) Plafonnement aide'!I196</f>
        <v>36.264283644119871</v>
      </c>
      <c r="O197" s="223">
        <f t="shared" si="25"/>
        <v>67.6059446788272</v>
      </c>
      <c r="P197" s="80">
        <f t="shared" si="26"/>
        <v>0</v>
      </c>
      <c r="Q197" s="98">
        <f t="shared" si="30"/>
        <v>0</v>
      </c>
      <c r="R197" s="258">
        <f t="shared" si="27"/>
        <v>67.6059446788272</v>
      </c>
      <c r="S197" s="223">
        <f t="shared" si="28"/>
        <v>3.6059446788271998</v>
      </c>
      <c r="T197" s="257"/>
    </row>
    <row r="198" spans="1:20" x14ac:dyDescent="0.25">
      <c r="A198" s="82">
        <f>'A) Base RI'!A199</f>
        <v>5715</v>
      </c>
      <c r="B198" s="95" t="str">
        <f>'A) Base RI'!B199</f>
        <v>Duillier</v>
      </c>
      <c r="C198" s="266">
        <v>1220158.749200898</v>
      </c>
      <c r="D198" s="267">
        <v>956914.385718</v>
      </c>
      <c r="E198" s="268">
        <v>0</v>
      </c>
      <c r="F198" s="267">
        <v>0</v>
      </c>
      <c r="G198" s="267">
        <v>0</v>
      </c>
      <c r="H198" s="269">
        <f t="shared" si="23"/>
        <v>2177073.1349188979</v>
      </c>
      <c r="I198" s="353">
        <v>57675.271489856816</v>
      </c>
      <c r="J198" s="158">
        <f>'B) D RI'!U199</f>
        <v>60430.509848484849</v>
      </c>
      <c r="K198" s="115">
        <f t="shared" si="29"/>
        <v>37.747080831717859</v>
      </c>
      <c r="L198" s="63">
        <f>'B) D RI'!S199</f>
        <v>66</v>
      </c>
      <c r="M198" s="63">
        <f t="shared" si="24"/>
        <v>28.252919168282141</v>
      </c>
      <c r="N198" s="223">
        <f>'J) Plafonnement effort'!G197+'J) Plafonnement effort'!H197-'K) Plafonnement aide'!I197</f>
        <v>33.459501090159577</v>
      </c>
      <c r="O198" s="223">
        <f t="shared" si="25"/>
        <v>61.712420258441718</v>
      </c>
      <c r="P198" s="80">
        <f t="shared" si="26"/>
        <v>0</v>
      </c>
      <c r="Q198" s="98">
        <f t="shared" si="30"/>
        <v>0</v>
      </c>
      <c r="R198" s="258">
        <f t="shared" si="27"/>
        <v>61.712420258441718</v>
      </c>
      <c r="S198" s="223">
        <f t="shared" si="28"/>
        <v>-4.2875797415582824</v>
      </c>
      <c r="T198" s="257"/>
    </row>
    <row r="199" spans="1:20" x14ac:dyDescent="0.25">
      <c r="A199" s="82">
        <f>'A) Base RI'!A200</f>
        <v>5716</v>
      </c>
      <c r="B199" s="95" t="str">
        <f>'A) Base RI'!B200</f>
        <v>Eysins</v>
      </c>
      <c r="C199" s="266">
        <v>4018022.3422332071</v>
      </c>
      <c r="D199" s="267">
        <v>1832837.4778917499</v>
      </c>
      <c r="E199" s="268">
        <v>0</v>
      </c>
      <c r="F199" s="267">
        <v>0</v>
      </c>
      <c r="G199" s="267">
        <v>0</v>
      </c>
      <c r="H199" s="269">
        <f t="shared" ref="H199:H262" si="31">SUM(C199:G199)</f>
        <v>5850859.8201249568</v>
      </c>
      <c r="I199" s="353">
        <v>112109.9223462377</v>
      </c>
      <c r="J199" s="158">
        <f>'B) D RI'!U200</f>
        <v>137603.84967213115</v>
      </c>
      <c r="K199" s="115">
        <f t="shared" si="29"/>
        <v>52.188599346766971</v>
      </c>
      <c r="L199" s="63">
        <f>'B) D RI'!S200</f>
        <v>61</v>
      </c>
      <c r="M199" s="63">
        <f t="shared" si="24"/>
        <v>8.8114006532330293</v>
      </c>
      <c r="N199" s="223">
        <f>'J) Plafonnement effort'!G198+'J) Plafonnement effort'!H198-'K) Plafonnement aide'!I198</f>
        <v>42.865314819339105</v>
      </c>
      <c r="O199" s="223">
        <f t="shared" si="25"/>
        <v>51.676715472572134</v>
      </c>
      <c r="P199" s="80">
        <f t="shared" si="26"/>
        <v>0</v>
      </c>
      <c r="Q199" s="98">
        <f t="shared" si="30"/>
        <v>0</v>
      </c>
      <c r="R199" s="258">
        <f t="shared" si="27"/>
        <v>51.676715472572134</v>
      </c>
      <c r="S199" s="223">
        <f t="shared" si="28"/>
        <v>-9.323284527427866</v>
      </c>
      <c r="T199" s="257"/>
    </row>
    <row r="200" spans="1:20" x14ac:dyDescent="0.25">
      <c r="A200" s="82">
        <f>'A) Base RI'!A201</f>
        <v>5717</v>
      </c>
      <c r="B200" s="95" t="str">
        <f>'A) Base RI'!B201</f>
        <v>Founex</v>
      </c>
      <c r="C200" s="266">
        <v>10148615.261771657</v>
      </c>
      <c r="D200" s="267">
        <v>4228143.806175</v>
      </c>
      <c r="E200" s="268">
        <v>0</v>
      </c>
      <c r="F200" s="267">
        <v>0</v>
      </c>
      <c r="G200" s="267">
        <v>0</v>
      </c>
      <c r="H200" s="269">
        <f t="shared" si="31"/>
        <v>14376759.067946658</v>
      </c>
      <c r="I200" s="353">
        <v>279372.09767294663</v>
      </c>
      <c r="J200" s="158">
        <f>'B) D RI'!U201</f>
        <v>331728.2661403509</v>
      </c>
      <c r="K200" s="115">
        <f t="shared" si="29"/>
        <v>51.460969752165951</v>
      </c>
      <c r="L200" s="63">
        <f>'B) D RI'!S201</f>
        <v>57</v>
      </c>
      <c r="M200" s="63">
        <f t="shared" si="24"/>
        <v>5.5390302478340487</v>
      </c>
      <c r="N200" s="223">
        <f>'J) Plafonnement effort'!G199+'J) Plafonnement effort'!H199-'K) Plafonnement aide'!I199</f>
        <v>42.467457872556871</v>
      </c>
      <c r="O200" s="223">
        <f t="shared" si="25"/>
        <v>48.00648812039092</v>
      </c>
      <c r="P200" s="80">
        <f t="shared" si="26"/>
        <v>0</v>
      </c>
      <c r="Q200" s="98">
        <f t="shared" si="30"/>
        <v>0</v>
      </c>
      <c r="R200" s="258">
        <f t="shared" si="27"/>
        <v>48.00648812039092</v>
      </c>
      <c r="S200" s="223">
        <f t="shared" si="28"/>
        <v>-8.9935118796090805</v>
      </c>
      <c r="T200" s="257"/>
    </row>
    <row r="201" spans="1:20" x14ac:dyDescent="0.25">
      <c r="A201" s="82">
        <f>'A) Base RI'!A202</f>
        <v>5718</v>
      </c>
      <c r="B201" s="95" t="str">
        <f>'A) Base RI'!B202</f>
        <v>Genolier</v>
      </c>
      <c r="C201" s="266">
        <v>2981505.5087924772</v>
      </c>
      <c r="D201" s="267">
        <v>1998453.06573725</v>
      </c>
      <c r="E201" s="268">
        <v>0</v>
      </c>
      <c r="F201" s="267">
        <v>0</v>
      </c>
      <c r="G201" s="267">
        <v>0</v>
      </c>
      <c r="H201" s="269">
        <f t="shared" si="31"/>
        <v>4979958.574529727</v>
      </c>
      <c r="I201" s="353">
        <v>128704.86380875029</v>
      </c>
      <c r="J201" s="158">
        <f>'B) D RI'!U202</f>
        <v>178659.63072727274</v>
      </c>
      <c r="K201" s="115">
        <f t="shared" si="29"/>
        <v>38.692854544562699</v>
      </c>
      <c r="L201" s="63">
        <f>'B) D RI'!S202</f>
        <v>55</v>
      </c>
      <c r="M201" s="63">
        <f t="shared" si="24"/>
        <v>16.307145455437301</v>
      </c>
      <c r="N201" s="223">
        <f>'J) Plafonnement effort'!G200+'J) Plafonnement effort'!H200-'K) Plafonnement aide'!I200</f>
        <v>41.370471830659156</v>
      </c>
      <c r="O201" s="223">
        <f t="shared" si="25"/>
        <v>57.677617286096456</v>
      </c>
      <c r="P201" s="80">
        <f t="shared" si="26"/>
        <v>0</v>
      </c>
      <c r="Q201" s="98">
        <f t="shared" si="30"/>
        <v>0</v>
      </c>
      <c r="R201" s="258">
        <f t="shared" si="27"/>
        <v>57.677617286096456</v>
      </c>
      <c r="S201" s="223">
        <f t="shared" si="28"/>
        <v>2.6776172860964564</v>
      </c>
      <c r="T201" s="257"/>
    </row>
    <row r="202" spans="1:20" x14ac:dyDescent="0.25">
      <c r="A202" s="82">
        <f>'A) Base RI'!A203</f>
        <v>5719</v>
      </c>
      <c r="B202" s="95" t="str">
        <f>'A) Base RI'!B203</f>
        <v>Gingins</v>
      </c>
      <c r="C202" s="266">
        <v>1808771.5700809567</v>
      </c>
      <c r="D202" s="267">
        <v>1313249.3799322499</v>
      </c>
      <c r="E202" s="268">
        <v>0</v>
      </c>
      <c r="F202" s="267">
        <v>0</v>
      </c>
      <c r="G202" s="267">
        <v>0</v>
      </c>
      <c r="H202" s="269">
        <f t="shared" si="31"/>
        <v>3122020.9500132063</v>
      </c>
      <c r="I202" s="353">
        <v>80364.334682255387</v>
      </c>
      <c r="J202" s="158">
        <f>'B) D RI'!U203</f>
        <v>96095.319738562102</v>
      </c>
      <c r="K202" s="115">
        <f t="shared" si="29"/>
        <v>38.848339407736738</v>
      </c>
      <c r="L202" s="63">
        <f>'B) D RI'!S203</f>
        <v>51</v>
      </c>
      <c r="M202" s="63">
        <f t="shared" si="24"/>
        <v>12.151660592263262</v>
      </c>
      <c r="N202" s="223">
        <f>'J) Plafonnement effort'!G201+'J) Plafonnement effort'!H201-'K) Plafonnement aide'!I201</f>
        <v>38.060747371826615</v>
      </c>
      <c r="O202" s="223">
        <f t="shared" si="25"/>
        <v>50.212407964089877</v>
      </c>
      <c r="P202" s="80">
        <f t="shared" si="26"/>
        <v>0</v>
      </c>
      <c r="Q202" s="98">
        <f t="shared" si="30"/>
        <v>0</v>
      </c>
      <c r="R202" s="258">
        <f t="shared" si="27"/>
        <v>50.212407964089877</v>
      </c>
      <c r="S202" s="223">
        <f t="shared" si="28"/>
        <v>-0.78759203591012295</v>
      </c>
      <c r="T202" s="257"/>
    </row>
    <row r="203" spans="1:20" x14ac:dyDescent="0.25">
      <c r="A203" s="82">
        <f>'A) Base RI'!A204</f>
        <v>5720</v>
      </c>
      <c r="B203" s="95" t="str">
        <f>'A) Base RI'!B204</f>
        <v>Givrins</v>
      </c>
      <c r="C203" s="266">
        <v>1496608.9324812044</v>
      </c>
      <c r="D203" s="267">
        <v>1150895.1650534999</v>
      </c>
      <c r="E203" s="268">
        <v>0</v>
      </c>
      <c r="F203" s="267">
        <v>0</v>
      </c>
      <c r="G203" s="267">
        <v>0</v>
      </c>
      <c r="H203" s="269">
        <f t="shared" si="31"/>
        <v>2647504.097534704</v>
      </c>
      <c r="I203" s="353">
        <v>67868.116891682424</v>
      </c>
      <c r="J203" s="158">
        <f>'B) D RI'!U204</f>
        <v>74875.243533697634</v>
      </c>
      <c r="K203" s="115">
        <f t="shared" si="29"/>
        <v>39.009541133432698</v>
      </c>
      <c r="L203" s="63">
        <f>'B) D RI'!S204</f>
        <v>61</v>
      </c>
      <c r="M203" s="63">
        <f t="shared" si="24"/>
        <v>21.990458866567302</v>
      </c>
      <c r="N203" s="223">
        <f>'J) Plafonnement effort'!G202+'J) Plafonnement effort'!H202-'K) Plafonnement aide'!I202</f>
        <v>39.161207684310526</v>
      </c>
      <c r="O203" s="223">
        <f t="shared" si="25"/>
        <v>61.151666550877827</v>
      </c>
      <c r="P203" s="80">
        <f t="shared" si="26"/>
        <v>0</v>
      </c>
      <c r="Q203" s="98">
        <f t="shared" si="30"/>
        <v>0</v>
      </c>
      <c r="R203" s="258">
        <f t="shared" si="27"/>
        <v>61.151666550877827</v>
      </c>
      <c r="S203" s="223">
        <f t="shared" si="28"/>
        <v>0.15166655087782743</v>
      </c>
      <c r="T203" s="257"/>
    </row>
    <row r="204" spans="1:20" x14ac:dyDescent="0.25">
      <c r="A204" s="82">
        <f>'A) Base RI'!A205</f>
        <v>5721</v>
      </c>
      <c r="B204" s="95" t="str">
        <f>'A) Base RI'!B205</f>
        <v>Gland</v>
      </c>
      <c r="C204" s="266">
        <v>9172753.8649024144</v>
      </c>
      <c r="D204" s="267">
        <v>3458101.8275282495</v>
      </c>
      <c r="E204" s="268">
        <v>0</v>
      </c>
      <c r="F204" s="267">
        <v>0</v>
      </c>
      <c r="G204" s="267">
        <v>0</v>
      </c>
      <c r="H204" s="269">
        <f t="shared" si="31"/>
        <v>12630855.692430664</v>
      </c>
      <c r="I204" s="353">
        <v>553116.80767999997</v>
      </c>
      <c r="J204" s="158">
        <f>'B) D RI'!U205</f>
        <v>545180.59375999996</v>
      </c>
      <c r="K204" s="115">
        <f t="shared" si="29"/>
        <v>22.835783539845195</v>
      </c>
      <c r="L204" s="63">
        <f>'B) D RI'!S205</f>
        <v>62.5</v>
      </c>
      <c r="M204" s="63">
        <f t="shared" si="24"/>
        <v>39.664216460154805</v>
      </c>
      <c r="N204" s="223">
        <f>'J) Plafonnement effort'!G203+'J) Plafonnement effort'!H203-'K) Plafonnement aide'!I203</f>
        <v>23.339837013297931</v>
      </c>
      <c r="O204" s="223">
        <f t="shared" si="25"/>
        <v>63.004053473452736</v>
      </c>
      <c r="P204" s="80">
        <f t="shared" si="26"/>
        <v>0</v>
      </c>
      <c r="Q204" s="98">
        <f t="shared" si="30"/>
        <v>0</v>
      </c>
      <c r="R204" s="258">
        <f t="shared" si="27"/>
        <v>63.004053473452736</v>
      </c>
      <c r="S204" s="223">
        <f t="shared" si="28"/>
        <v>0.50405347345273555</v>
      </c>
      <c r="T204" s="257"/>
    </row>
    <row r="205" spans="1:20" x14ac:dyDescent="0.25">
      <c r="A205" s="82">
        <f>'A) Base RI'!A206</f>
        <v>5722</v>
      </c>
      <c r="B205" s="95" t="str">
        <f>'A) Base RI'!B206</f>
        <v>Grens</v>
      </c>
      <c r="C205" s="266">
        <v>277977.47096880875</v>
      </c>
      <c r="D205" s="267">
        <v>309365.20212749997</v>
      </c>
      <c r="E205" s="268">
        <v>0</v>
      </c>
      <c r="F205" s="267">
        <v>0</v>
      </c>
      <c r="G205" s="267">
        <v>0</v>
      </c>
      <c r="H205" s="269">
        <f t="shared" si="31"/>
        <v>587342.67309630872</v>
      </c>
      <c r="I205" s="353">
        <v>18823.821403508769</v>
      </c>
      <c r="J205" s="158">
        <f>'B) D RI'!U206</f>
        <v>17973.033684210524</v>
      </c>
      <c r="K205" s="115">
        <f t="shared" si="29"/>
        <v>31.2020954994201</v>
      </c>
      <c r="L205" s="63">
        <f>'B) D RI'!S206</f>
        <v>57</v>
      </c>
      <c r="M205" s="63">
        <f t="shared" si="24"/>
        <v>25.7979045005799</v>
      </c>
      <c r="N205" s="223">
        <f>'J) Plafonnement effort'!G204+'J) Plafonnement effort'!H204-'K) Plafonnement aide'!I204</f>
        <v>32.779950459985386</v>
      </c>
      <c r="O205" s="223">
        <f t="shared" si="25"/>
        <v>58.57785496056529</v>
      </c>
      <c r="P205" s="80">
        <f t="shared" si="26"/>
        <v>0</v>
      </c>
      <c r="Q205" s="98">
        <f t="shared" si="30"/>
        <v>0</v>
      </c>
      <c r="R205" s="258">
        <f t="shared" si="27"/>
        <v>58.57785496056529</v>
      </c>
      <c r="S205" s="223">
        <f t="shared" si="28"/>
        <v>1.5778549605652898</v>
      </c>
      <c r="T205" s="257"/>
    </row>
    <row r="206" spans="1:20" x14ac:dyDescent="0.25">
      <c r="A206" s="82">
        <f>'A) Base RI'!A207</f>
        <v>5723</v>
      </c>
      <c r="B206" s="95" t="str">
        <f>'A) Base RI'!B207</f>
        <v>Mies</v>
      </c>
      <c r="C206" s="266">
        <v>5853395.343769283</v>
      </c>
      <c r="D206" s="267">
        <v>2783361.0542099997</v>
      </c>
      <c r="E206" s="268">
        <v>0</v>
      </c>
      <c r="F206" s="267">
        <v>0</v>
      </c>
      <c r="G206" s="267">
        <v>0</v>
      </c>
      <c r="H206" s="269">
        <f t="shared" si="31"/>
        <v>8636756.3979792818</v>
      </c>
      <c r="I206" s="353">
        <v>171404.7835884651</v>
      </c>
      <c r="J206" s="158">
        <f>'B) D RI'!U207</f>
        <v>194683.98403846152</v>
      </c>
      <c r="K206" s="115">
        <f t="shared" si="29"/>
        <v>50.38807095790122</v>
      </c>
      <c r="L206" s="63">
        <f>'B) D RI'!S207</f>
        <v>52</v>
      </c>
      <c r="M206" s="63">
        <f t="shared" si="24"/>
        <v>1.6119290420987795</v>
      </c>
      <c r="N206" s="223">
        <f>'J) Plafonnement effort'!G205+'J) Plafonnement effort'!H205-'K) Plafonnement aide'!I205</f>
        <v>54.047272794284424</v>
      </c>
      <c r="O206" s="223">
        <f t="shared" si="25"/>
        <v>55.659201836383204</v>
      </c>
      <c r="P206" s="80">
        <f t="shared" si="26"/>
        <v>0</v>
      </c>
      <c r="Q206" s="98">
        <f t="shared" si="30"/>
        <v>0</v>
      </c>
      <c r="R206" s="258">
        <f t="shared" si="27"/>
        <v>55.659201836383204</v>
      </c>
      <c r="S206" s="223">
        <f t="shared" si="28"/>
        <v>3.659201836383204</v>
      </c>
      <c r="T206" s="257"/>
    </row>
    <row r="207" spans="1:20" x14ac:dyDescent="0.25">
      <c r="A207" s="82">
        <f>'A) Base RI'!A208</f>
        <v>5724</v>
      </c>
      <c r="B207" s="95" t="str">
        <f>'A) Base RI'!B208</f>
        <v>Nyon</v>
      </c>
      <c r="C207" s="266">
        <v>23277051.250875674</v>
      </c>
      <c r="D207" s="267">
        <v>7432491.9965579994</v>
      </c>
      <c r="E207" s="268">
        <v>0</v>
      </c>
      <c r="F207" s="267">
        <v>0</v>
      </c>
      <c r="G207" s="267">
        <v>0</v>
      </c>
      <c r="H207" s="269">
        <f t="shared" si="31"/>
        <v>30709543.247433674</v>
      </c>
      <c r="I207" s="353">
        <v>1164641.3798711745</v>
      </c>
      <c r="J207" s="158">
        <f>'B) D RI'!U208</f>
        <v>1278048.420189155</v>
      </c>
      <c r="K207" s="115">
        <f t="shared" si="29"/>
        <v>26.368239853224669</v>
      </c>
      <c r="L207" s="63">
        <f>'B) D RI'!S208</f>
        <v>61</v>
      </c>
      <c r="M207" s="63">
        <f t="shared" si="24"/>
        <v>34.631760146775335</v>
      </c>
      <c r="N207" s="223">
        <f>'J) Plafonnement effort'!G206+'J) Plafonnement effort'!H206-'K) Plafonnement aide'!I206</f>
        <v>26.798322364799496</v>
      </c>
      <c r="O207" s="223">
        <f t="shared" si="25"/>
        <v>61.430082511574831</v>
      </c>
      <c r="P207" s="80">
        <f t="shared" si="26"/>
        <v>0</v>
      </c>
      <c r="Q207" s="98">
        <f t="shared" si="30"/>
        <v>0</v>
      </c>
      <c r="R207" s="258">
        <f t="shared" si="27"/>
        <v>61.430082511574831</v>
      </c>
      <c r="S207" s="223">
        <f t="shared" si="28"/>
        <v>0.43008251157483102</v>
      </c>
      <c r="T207" s="257"/>
    </row>
    <row r="208" spans="1:20" x14ac:dyDescent="0.25">
      <c r="A208" s="82">
        <f>'A) Base RI'!A209</f>
        <v>5725</v>
      </c>
      <c r="B208" s="95" t="str">
        <f>'A) Base RI'!B209</f>
        <v>Prangins</v>
      </c>
      <c r="C208" s="266">
        <v>7636689.5655214582</v>
      </c>
      <c r="D208" s="267">
        <v>4288544.3169574998</v>
      </c>
      <c r="E208" s="268">
        <v>0</v>
      </c>
      <c r="F208" s="267">
        <v>0</v>
      </c>
      <c r="G208" s="267">
        <v>0</v>
      </c>
      <c r="H208" s="269">
        <f t="shared" si="31"/>
        <v>11925233.882478958</v>
      </c>
      <c r="I208" s="353">
        <v>301680.52417987277</v>
      </c>
      <c r="J208" s="158">
        <f>'B) D RI'!U209</f>
        <v>330908.64043367346</v>
      </c>
      <c r="K208" s="115">
        <f t="shared" si="29"/>
        <v>39.529346201244017</v>
      </c>
      <c r="L208" s="63">
        <f>'B) D RI'!S209</f>
        <v>56</v>
      </c>
      <c r="M208" s="63">
        <f t="shared" si="24"/>
        <v>16.470653798755983</v>
      </c>
      <c r="N208" s="223">
        <f>'J) Plafonnement effort'!G207+'J) Plafonnement effort'!H207-'K) Plafonnement aide'!I207</f>
        <v>39.084995552484166</v>
      </c>
      <c r="O208" s="223">
        <f t="shared" si="25"/>
        <v>55.555649351240149</v>
      </c>
      <c r="P208" s="80">
        <f t="shared" si="26"/>
        <v>0</v>
      </c>
      <c r="Q208" s="98">
        <f t="shared" si="30"/>
        <v>0</v>
      </c>
      <c r="R208" s="258">
        <f t="shared" si="27"/>
        <v>55.555649351240149</v>
      </c>
      <c r="S208" s="223">
        <f t="shared" si="28"/>
        <v>-0.4443506487598512</v>
      </c>
      <c r="T208" s="257"/>
    </row>
    <row r="209" spans="1:20" x14ac:dyDescent="0.25">
      <c r="A209" s="82">
        <f>'A) Base RI'!A210</f>
        <v>5726</v>
      </c>
      <c r="B209" s="95" t="str">
        <f>'A) Base RI'!B210</f>
        <v>La Rippe</v>
      </c>
      <c r="C209" s="266">
        <v>824376.63650175487</v>
      </c>
      <c r="D209" s="267">
        <v>823835.67389924999</v>
      </c>
      <c r="E209" s="268">
        <v>0</v>
      </c>
      <c r="F209" s="267">
        <v>0</v>
      </c>
      <c r="G209" s="267">
        <v>0</v>
      </c>
      <c r="H209" s="269">
        <f t="shared" si="31"/>
        <v>1648212.3104010047</v>
      </c>
      <c r="I209" s="353">
        <v>50908.603076923071</v>
      </c>
      <c r="J209" s="158">
        <f>'B) D RI'!U210</f>
        <v>52407.476615384607</v>
      </c>
      <c r="K209" s="115">
        <f t="shared" si="29"/>
        <v>32.37590919378696</v>
      </c>
      <c r="L209" s="63">
        <f>'B) D RI'!S210</f>
        <v>65</v>
      </c>
      <c r="M209" s="63">
        <f t="shared" si="24"/>
        <v>32.62409080621304</v>
      </c>
      <c r="N209" s="223">
        <f>'J) Plafonnement effort'!G208+'J) Plafonnement effort'!H208-'K) Plafonnement aide'!I208</f>
        <v>31.858692331646875</v>
      </c>
      <c r="O209" s="223">
        <f t="shared" si="25"/>
        <v>64.482783137859911</v>
      </c>
      <c r="P209" s="80">
        <f t="shared" si="26"/>
        <v>0</v>
      </c>
      <c r="Q209" s="98">
        <f t="shared" si="30"/>
        <v>0</v>
      </c>
      <c r="R209" s="258">
        <f t="shared" si="27"/>
        <v>64.482783137859911</v>
      </c>
      <c r="S209" s="223">
        <f t="shared" si="28"/>
        <v>-0.51721686214008855</v>
      </c>
      <c r="T209" s="257"/>
    </row>
    <row r="210" spans="1:20" x14ac:dyDescent="0.25">
      <c r="A210" s="82">
        <f>'A) Base RI'!A211</f>
        <v>5727</v>
      </c>
      <c r="B210" s="95" t="str">
        <f>'A) Base RI'!B211</f>
        <v>Saint-Cergue</v>
      </c>
      <c r="C210" s="266">
        <v>1499419.8798028873</v>
      </c>
      <c r="D210" s="267">
        <v>796388.10957895801</v>
      </c>
      <c r="E210" s="268">
        <v>0</v>
      </c>
      <c r="F210" s="267">
        <v>0</v>
      </c>
      <c r="G210" s="267">
        <v>0</v>
      </c>
      <c r="H210" s="269">
        <f t="shared" si="31"/>
        <v>2295807.9893818451</v>
      </c>
      <c r="I210" s="353">
        <v>84526.520327868857</v>
      </c>
      <c r="J210" s="158">
        <f>'B) D RI'!U211</f>
        <v>86282.692626262622</v>
      </c>
      <c r="K210" s="115">
        <f t="shared" si="29"/>
        <v>27.160800899843792</v>
      </c>
      <c r="L210" s="63">
        <f>'B) D RI'!S211</f>
        <v>66</v>
      </c>
      <c r="M210" s="63">
        <f t="shared" si="24"/>
        <v>38.839199100156208</v>
      </c>
      <c r="N210" s="223">
        <f>'J) Plafonnement effort'!G209+'J) Plafonnement effort'!H209-'K) Plafonnement aide'!I209</f>
        <v>26.321461335323256</v>
      </c>
      <c r="O210" s="223">
        <f t="shared" si="25"/>
        <v>65.160660435479457</v>
      </c>
      <c r="P210" s="80">
        <f t="shared" si="26"/>
        <v>0</v>
      </c>
      <c r="Q210" s="98">
        <f t="shared" si="30"/>
        <v>0</v>
      </c>
      <c r="R210" s="258">
        <f t="shared" si="27"/>
        <v>65.160660435479457</v>
      </c>
      <c r="S210" s="223">
        <f t="shared" si="28"/>
        <v>-0.83933956452054304</v>
      </c>
      <c r="T210" s="257"/>
    </row>
    <row r="211" spans="1:20" x14ac:dyDescent="0.25">
      <c r="A211" s="82">
        <f>'A) Base RI'!A212</f>
        <v>5728</v>
      </c>
      <c r="B211" s="95" t="str">
        <f>'A) Base RI'!B212</f>
        <v>Signy-Avenex</v>
      </c>
      <c r="C211" s="266">
        <v>866832.70957595413</v>
      </c>
      <c r="D211" s="267">
        <v>576848.46560749994</v>
      </c>
      <c r="E211" s="268">
        <v>0</v>
      </c>
      <c r="F211" s="267">
        <v>0</v>
      </c>
      <c r="G211" s="267">
        <v>0</v>
      </c>
      <c r="H211" s="269">
        <f t="shared" si="31"/>
        <v>1443681.1751834541</v>
      </c>
      <c r="I211" s="353">
        <v>33817.10470558588</v>
      </c>
      <c r="J211" s="158">
        <f>'B) D RI'!U212</f>
        <v>39079.357857142866</v>
      </c>
      <c r="K211" s="115">
        <f t="shared" si="29"/>
        <v>42.690856823854233</v>
      </c>
      <c r="L211" s="63">
        <f>'B) D RI'!S212</f>
        <v>56</v>
      </c>
      <c r="M211" s="63">
        <f t="shared" si="24"/>
        <v>13.309143176145767</v>
      </c>
      <c r="N211" s="223">
        <f>'J) Plafonnement effort'!G210+'J) Plafonnement effort'!H210-'K) Plafonnement aide'!I210</f>
        <v>41.84992702419347</v>
      </c>
      <c r="O211" s="223">
        <f t="shared" si="25"/>
        <v>55.159070200339237</v>
      </c>
      <c r="P211" s="80">
        <f t="shared" si="26"/>
        <v>0</v>
      </c>
      <c r="Q211" s="98">
        <f t="shared" si="30"/>
        <v>0</v>
      </c>
      <c r="R211" s="258">
        <f t="shared" si="27"/>
        <v>55.159070200339237</v>
      </c>
      <c r="S211" s="223">
        <f t="shared" si="28"/>
        <v>-0.84092979966076342</v>
      </c>
      <c r="T211" s="257"/>
    </row>
    <row r="212" spans="1:20" x14ac:dyDescent="0.25">
      <c r="A212" s="82">
        <f>'A) Base RI'!A213</f>
        <v>5729</v>
      </c>
      <c r="B212" s="95" t="str">
        <f>'A) Base RI'!B213</f>
        <v>Tannay</v>
      </c>
      <c r="C212" s="266">
        <v>3899900.9547899747</v>
      </c>
      <c r="D212" s="267">
        <v>2086361.319381</v>
      </c>
      <c r="E212" s="268">
        <v>0</v>
      </c>
      <c r="F212" s="267">
        <v>0</v>
      </c>
      <c r="G212" s="267">
        <v>0</v>
      </c>
      <c r="H212" s="269">
        <f t="shared" si="31"/>
        <v>5986262.2741709743</v>
      </c>
      <c r="I212" s="353">
        <v>127298.60074280905</v>
      </c>
      <c r="J212" s="158">
        <f>'B) D RI'!U213</f>
        <v>152150.21945355195</v>
      </c>
      <c r="K212" s="115">
        <f t="shared" si="29"/>
        <v>47.025358010536742</v>
      </c>
      <c r="L212" s="63">
        <f>'B) D RI'!S213</f>
        <v>61</v>
      </c>
      <c r="M212" s="63">
        <f t="shared" si="24"/>
        <v>13.974641989463258</v>
      </c>
      <c r="N212" s="223">
        <f>'J) Plafonnement effort'!G211+'J) Plafonnement effort'!H211-'K) Plafonnement aide'!I211</f>
        <v>43.363453164705277</v>
      </c>
      <c r="O212" s="223">
        <f t="shared" si="25"/>
        <v>57.338095154168535</v>
      </c>
      <c r="P212" s="80">
        <f t="shared" si="26"/>
        <v>0</v>
      </c>
      <c r="Q212" s="98">
        <f t="shared" si="30"/>
        <v>0</v>
      </c>
      <c r="R212" s="258">
        <f t="shared" si="27"/>
        <v>57.338095154168535</v>
      </c>
      <c r="S212" s="223">
        <f t="shared" si="28"/>
        <v>-3.6619048458314651</v>
      </c>
      <c r="T212" s="257"/>
    </row>
    <row r="213" spans="1:20" x14ac:dyDescent="0.25">
      <c r="A213" s="82">
        <f>'A) Base RI'!A214</f>
        <v>5730</v>
      </c>
      <c r="B213" s="95" t="str">
        <f>'A) Base RI'!B214</f>
        <v>Trélex</v>
      </c>
      <c r="C213" s="266">
        <v>2945584.5134812528</v>
      </c>
      <c r="D213" s="267">
        <v>1840709.7891275</v>
      </c>
      <c r="E213" s="268">
        <v>0</v>
      </c>
      <c r="F213" s="267">
        <v>0</v>
      </c>
      <c r="G213" s="267">
        <v>0</v>
      </c>
      <c r="H213" s="269">
        <f t="shared" si="31"/>
        <v>4786294.3026087526</v>
      </c>
      <c r="I213" s="353">
        <v>113052.68142237161</v>
      </c>
      <c r="J213" s="158">
        <f>'B) D RI'!U214</f>
        <v>142541.33792452831</v>
      </c>
      <c r="K213" s="115">
        <f t="shared" si="29"/>
        <v>42.336849001633759</v>
      </c>
      <c r="L213" s="63">
        <f>'B) D RI'!S214</f>
        <v>53</v>
      </c>
      <c r="M213" s="63">
        <f t="shared" si="24"/>
        <v>10.663150998366241</v>
      </c>
      <c r="N213" s="223">
        <f>'J) Plafonnement effort'!G212+'J) Plafonnement effort'!H212-'K) Plafonnement aide'!I212</f>
        <v>40.438702259974534</v>
      </c>
      <c r="O213" s="223">
        <f t="shared" si="25"/>
        <v>51.101853258340775</v>
      </c>
      <c r="P213" s="80">
        <f t="shared" si="26"/>
        <v>0</v>
      </c>
      <c r="Q213" s="98">
        <f t="shared" si="30"/>
        <v>0</v>
      </c>
      <c r="R213" s="258">
        <f t="shared" si="27"/>
        <v>51.101853258340775</v>
      </c>
      <c r="S213" s="223">
        <f t="shared" si="28"/>
        <v>-1.8981467416592253</v>
      </c>
      <c r="T213" s="257"/>
    </row>
    <row r="214" spans="1:20" x14ac:dyDescent="0.25">
      <c r="A214" s="82">
        <f>'A) Base RI'!A215</f>
        <v>5731</v>
      </c>
      <c r="B214" s="95" t="str">
        <f>'A) Base RI'!B215</f>
        <v>Le Vaud</v>
      </c>
      <c r="C214" s="266">
        <v>647831.12837016606</v>
      </c>
      <c r="D214" s="267">
        <v>369592.48464421905</v>
      </c>
      <c r="E214" s="268">
        <v>0</v>
      </c>
      <c r="F214" s="267">
        <v>0</v>
      </c>
      <c r="G214" s="267">
        <v>0</v>
      </c>
      <c r="H214" s="269">
        <f t="shared" si="31"/>
        <v>1017423.6130143851</v>
      </c>
      <c r="I214" s="353">
        <v>42601.741826484023</v>
      </c>
      <c r="J214" s="158">
        <f>'B) D RI'!U215</f>
        <v>44154.497155555553</v>
      </c>
      <c r="K214" s="115">
        <f t="shared" si="29"/>
        <v>23.882206909715794</v>
      </c>
      <c r="L214" s="63">
        <f>'B) D RI'!S215</f>
        <v>75</v>
      </c>
      <c r="M214" s="63">
        <f t="shared" si="24"/>
        <v>51.117793090284209</v>
      </c>
      <c r="N214" s="223">
        <f>'J) Plafonnement effort'!G213+'J) Plafonnement effort'!H213-'K) Plafonnement aide'!I213</f>
        <v>22.211358303779264</v>
      </c>
      <c r="O214" s="223">
        <f t="shared" si="25"/>
        <v>73.329151394063473</v>
      </c>
      <c r="P214" s="80">
        <f t="shared" si="26"/>
        <v>0</v>
      </c>
      <c r="Q214" s="98">
        <f t="shared" si="30"/>
        <v>0</v>
      </c>
      <c r="R214" s="258">
        <f t="shared" si="27"/>
        <v>73.329151394063473</v>
      </c>
      <c r="S214" s="223">
        <f t="shared" si="28"/>
        <v>-1.6708486059365271</v>
      </c>
      <c r="T214" s="257"/>
    </row>
    <row r="215" spans="1:20" x14ac:dyDescent="0.25">
      <c r="A215" s="82">
        <f>'A) Base RI'!A216</f>
        <v>5732</v>
      </c>
      <c r="B215" s="95" t="str">
        <f>'A) Base RI'!B216</f>
        <v>Vich</v>
      </c>
      <c r="C215" s="266">
        <v>768100.72380689275</v>
      </c>
      <c r="D215" s="267">
        <v>737186.46353800001</v>
      </c>
      <c r="E215" s="268">
        <v>0</v>
      </c>
      <c r="F215" s="267">
        <v>0</v>
      </c>
      <c r="G215" s="267">
        <v>0</v>
      </c>
      <c r="H215" s="269">
        <f t="shared" si="31"/>
        <v>1505287.1873448929</v>
      </c>
      <c r="I215" s="353">
        <v>44192.634734139778</v>
      </c>
      <c r="J215" s="158">
        <f>'B) D RI'!U216</f>
        <v>40390.161857142848</v>
      </c>
      <c r="K215" s="115">
        <f t="shared" si="29"/>
        <v>34.061947118577784</v>
      </c>
      <c r="L215" s="63">
        <f>'B) D RI'!S216</f>
        <v>70</v>
      </c>
      <c r="M215" s="63">
        <f t="shared" si="24"/>
        <v>35.938052881422216</v>
      </c>
      <c r="N215" s="223">
        <f>'J) Plafonnement effort'!G214+'J) Plafonnement effort'!H214-'K) Plafonnement aide'!I214</f>
        <v>38.447559973160125</v>
      </c>
      <c r="O215" s="223">
        <f t="shared" si="25"/>
        <v>74.385612854582348</v>
      </c>
      <c r="P215" s="80">
        <f t="shared" si="26"/>
        <v>0</v>
      </c>
      <c r="Q215" s="98">
        <f t="shared" si="30"/>
        <v>0</v>
      </c>
      <c r="R215" s="258">
        <f t="shared" si="27"/>
        <v>74.385612854582348</v>
      </c>
      <c r="S215" s="223">
        <f t="shared" si="28"/>
        <v>4.3856128545823481</v>
      </c>
      <c r="T215" s="257"/>
    </row>
    <row r="216" spans="1:20" x14ac:dyDescent="0.25">
      <c r="A216" s="82">
        <f>'A) Base RI'!A217</f>
        <v>5741</v>
      </c>
      <c r="B216" s="95" t="str">
        <f>'A) Base RI'!B217</f>
        <v>L'Abergement</v>
      </c>
      <c r="C216" s="266">
        <v>108312.68673339744</v>
      </c>
      <c r="D216" s="267">
        <v>-33258.822586253082</v>
      </c>
      <c r="E216" s="268">
        <v>0</v>
      </c>
      <c r="F216" s="267">
        <v>0</v>
      </c>
      <c r="G216" s="267">
        <v>0</v>
      </c>
      <c r="H216" s="269">
        <f t="shared" si="31"/>
        <v>75053.864147144355</v>
      </c>
      <c r="I216" s="353">
        <v>5974.6328806584361</v>
      </c>
      <c r="J216" s="158">
        <f>'B) D RI'!U217</f>
        <v>5658.7408436213982</v>
      </c>
      <c r="K216" s="115">
        <f t="shared" si="29"/>
        <v>12.562088022197109</v>
      </c>
      <c r="L216" s="63">
        <f>'B) D RI'!S217</f>
        <v>81</v>
      </c>
      <c r="M216" s="63">
        <f t="shared" si="24"/>
        <v>68.437911977802884</v>
      </c>
      <c r="N216" s="223">
        <f>'J) Plafonnement effort'!G215+'J) Plafonnement effort'!H215-'K) Plafonnement aide'!I215</f>
        <v>-6.2979080357266017</v>
      </c>
      <c r="O216" s="223">
        <f t="shared" si="25"/>
        <v>62.140003942076284</v>
      </c>
      <c r="P216" s="80">
        <f t="shared" si="26"/>
        <v>0</v>
      </c>
      <c r="Q216" s="98">
        <f t="shared" si="30"/>
        <v>0</v>
      </c>
      <c r="R216" s="258">
        <f t="shared" si="27"/>
        <v>62.140003942076284</v>
      </c>
      <c r="S216" s="223">
        <f t="shared" si="28"/>
        <v>-18.859996057923716</v>
      </c>
      <c r="T216" s="257"/>
    </row>
    <row r="217" spans="1:20" x14ac:dyDescent="0.25">
      <c r="A217" s="82">
        <f>'A) Base RI'!A218</f>
        <v>5742</v>
      </c>
      <c r="B217" s="95" t="str">
        <f>'A) Base RI'!B218</f>
        <v>Agiez</v>
      </c>
      <c r="C217" s="266">
        <v>135085.43889895972</v>
      </c>
      <c r="D217" s="267">
        <v>-14926.679323820339</v>
      </c>
      <c r="E217" s="268">
        <v>0</v>
      </c>
      <c r="F217" s="267">
        <v>0</v>
      </c>
      <c r="G217" s="267">
        <v>0</v>
      </c>
      <c r="H217" s="269">
        <f t="shared" si="31"/>
        <v>120158.75957513938</v>
      </c>
      <c r="I217" s="353">
        <v>7388.3614473684211</v>
      </c>
      <c r="J217" s="158">
        <f>'B) D RI'!U218</f>
        <v>8497.199342105263</v>
      </c>
      <c r="K217" s="115">
        <f t="shared" si="29"/>
        <v>16.263248682552938</v>
      </c>
      <c r="L217" s="63">
        <f>'B) D RI'!S218</f>
        <v>76</v>
      </c>
      <c r="M217" s="63">
        <f t="shared" si="24"/>
        <v>59.736751317447059</v>
      </c>
      <c r="N217" s="223">
        <f>'J) Plafonnement effort'!G216+'J) Plafonnement effort'!H216-'K) Plafonnement aide'!I216</f>
        <v>17.70984895291922</v>
      </c>
      <c r="O217" s="223">
        <f t="shared" si="25"/>
        <v>77.446600270366275</v>
      </c>
      <c r="P217" s="80">
        <f t="shared" si="26"/>
        <v>0</v>
      </c>
      <c r="Q217" s="98">
        <f t="shared" si="30"/>
        <v>0</v>
      </c>
      <c r="R217" s="258">
        <f t="shared" si="27"/>
        <v>77.446600270366275</v>
      </c>
      <c r="S217" s="223">
        <f t="shared" si="28"/>
        <v>1.4466002703662753</v>
      </c>
      <c r="T217" s="257"/>
    </row>
    <row r="218" spans="1:20" x14ac:dyDescent="0.25">
      <c r="A218" s="82">
        <f>'A) Base RI'!A219</f>
        <v>5743</v>
      </c>
      <c r="B218" s="95" t="str">
        <f>'A) Base RI'!B219</f>
        <v>Arnex-sur-Orbe</v>
      </c>
      <c r="C218" s="266">
        <v>224098.20853446142</v>
      </c>
      <c r="D218" s="267">
        <v>-21564.591929593473</v>
      </c>
      <c r="E218" s="268">
        <v>0</v>
      </c>
      <c r="F218" s="267">
        <v>0</v>
      </c>
      <c r="G218" s="267">
        <v>0</v>
      </c>
      <c r="H218" s="269">
        <f t="shared" si="31"/>
        <v>202533.61660486794</v>
      </c>
      <c r="I218" s="353">
        <v>15081.459109589043</v>
      </c>
      <c r="J218" s="158">
        <f>'B) D RI'!U219</f>
        <v>14235.259246575342</v>
      </c>
      <c r="K218" s="115">
        <f t="shared" si="29"/>
        <v>13.429311788280067</v>
      </c>
      <c r="L218" s="63">
        <f>'B) D RI'!S219</f>
        <v>73</v>
      </c>
      <c r="M218" s="63">
        <f t="shared" si="24"/>
        <v>59.570688211719933</v>
      </c>
      <c r="N218" s="223">
        <f>'J) Plafonnement effort'!G217+'J) Plafonnement effort'!H217-'K) Plafonnement aide'!I217</f>
        <v>9.697947285354914</v>
      </c>
      <c r="O218" s="223">
        <f t="shared" si="25"/>
        <v>69.268635497074854</v>
      </c>
      <c r="P218" s="80">
        <f t="shared" si="26"/>
        <v>0</v>
      </c>
      <c r="Q218" s="98">
        <f t="shared" si="30"/>
        <v>0</v>
      </c>
      <c r="R218" s="258">
        <f t="shared" si="27"/>
        <v>69.268635497074854</v>
      </c>
      <c r="S218" s="223">
        <f t="shared" si="28"/>
        <v>-3.7313645029251461</v>
      </c>
      <c r="T218" s="257"/>
    </row>
    <row r="219" spans="1:20" x14ac:dyDescent="0.25">
      <c r="A219" s="82">
        <f>'A) Base RI'!A220</f>
        <v>5744</v>
      </c>
      <c r="B219" s="95" t="str">
        <f>'A) Base RI'!B220</f>
        <v>Ballaigues</v>
      </c>
      <c r="C219" s="266">
        <v>1994880.1225161233</v>
      </c>
      <c r="D219" s="267">
        <v>1236023.207869</v>
      </c>
      <c r="E219" s="268">
        <v>0</v>
      </c>
      <c r="F219" s="267">
        <v>0</v>
      </c>
      <c r="G219" s="267">
        <v>0</v>
      </c>
      <c r="H219" s="269">
        <f t="shared" si="31"/>
        <v>3230903.3303851234</v>
      </c>
      <c r="I219" s="353">
        <v>72572.011015629061</v>
      </c>
      <c r="J219" s="158">
        <f>'B) D RI'!U220</f>
        <v>99800.089242424234</v>
      </c>
      <c r="K219" s="115">
        <f t="shared" si="29"/>
        <v>44.519964173093094</v>
      </c>
      <c r="L219" s="63">
        <f>'B) D RI'!S220</f>
        <v>66</v>
      </c>
      <c r="M219" s="63">
        <f t="shared" si="24"/>
        <v>21.480035826906906</v>
      </c>
      <c r="N219" s="223">
        <f>'J) Plafonnement effort'!G218+'J) Plafonnement effort'!H218-'K) Plafonnement aide'!I218</f>
        <v>43.660055838243721</v>
      </c>
      <c r="O219" s="223">
        <f t="shared" si="25"/>
        <v>65.140091665150635</v>
      </c>
      <c r="P219" s="80">
        <f t="shared" si="26"/>
        <v>0</v>
      </c>
      <c r="Q219" s="98">
        <f t="shared" si="30"/>
        <v>0</v>
      </c>
      <c r="R219" s="258">
        <f t="shared" si="27"/>
        <v>65.140091665150635</v>
      </c>
      <c r="S219" s="223">
        <f t="shared" si="28"/>
        <v>-0.85990833484936502</v>
      </c>
      <c r="T219" s="257"/>
    </row>
    <row r="220" spans="1:20" x14ac:dyDescent="0.25">
      <c r="A220" s="82">
        <f>'A) Base RI'!A221</f>
        <v>5745</v>
      </c>
      <c r="B220" s="95" t="str">
        <f>'A) Base RI'!B221</f>
        <v>Baulmes</v>
      </c>
      <c r="C220" s="266">
        <v>458878.1426820234</v>
      </c>
      <c r="D220" s="267">
        <v>-150342.10832748329</v>
      </c>
      <c r="E220" s="268">
        <v>0</v>
      </c>
      <c r="F220" s="267">
        <v>0</v>
      </c>
      <c r="G220" s="267">
        <v>0</v>
      </c>
      <c r="H220" s="269">
        <f t="shared" si="31"/>
        <v>308536.03435454011</v>
      </c>
      <c r="I220" s="353">
        <v>24262.696538461536</v>
      </c>
      <c r="J220" s="158">
        <f>'B) D RI'!U221</f>
        <v>27286.676794871797</v>
      </c>
      <c r="K220" s="115">
        <f t="shared" si="29"/>
        <v>12.716477489031149</v>
      </c>
      <c r="L220" s="63">
        <f>'B) D RI'!S221</f>
        <v>78</v>
      </c>
      <c r="M220" s="63">
        <f t="shared" si="24"/>
        <v>65.283522510968851</v>
      </c>
      <c r="N220" s="223">
        <f>'J) Plafonnement effort'!G219+'J) Plafonnement effort'!H219-'K) Plafonnement aide'!I219</f>
        <v>9.7146053382568205</v>
      </c>
      <c r="O220" s="223">
        <f t="shared" si="25"/>
        <v>74.998127849225668</v>
      </c>
      <c r="P220" s="80">
        <f t="shared" si="26"/>
        <v>0</v>
      </c>
      <c r="Q220" s="98">
        <f t="shared" si="30"/>
        <v>0</v>
      </c>
      <c r="R220" s="258">
        <f t="shared" si="27"/>
        <v>74.998127849225668</v>
      </c>
      <c r="S220" s="223">
        <f t="shared" si="28"/>
        <v>-3.0018721507743322</v>
      </c>
      <c r="T220" s="257"/>
    </row>
    <row r="221" spans="1:20" x14ac:dyDescent="0.25">
      <c r="A221" s="82">
        <f>'A) Base RI'!A222</f>
        <v>5746</v>
      </c>
      <c r="B221" s="95" t="str">
        <f>'A) Base RI'!B222</f>
        <v>Bavois</v>
      </c>
      <c r="C221" s="266">
        <v>395127.82274516486</v>
      </c>
      <c r="D221" s="267">
        <v>-26137.266091943835</v>
      </c>
      <c r="E221" s="268">
        <v>0</v>
      </c>
      <c r="F221" s="267">
        <v>0</v>
      </c>
      <c r="G221" s="267">
        <v>0</v>
      </c>
      <c r="H221" s="269">
        <f t="shared" si="31"/>
        <v>368990.55665322102</v>
      </c>
      <c r="I221" s="353">
        <v>22154.803127853884</v>
      </c>
      <c r="J221" s="158">
        <f>'B) D RI'!U222</f>
        <v>24960.640433789951</v>
      </c>
      <c r="K221" s="115">
        <f t="shared" si="29"/>
        <v>16.655104291552547</v>
      </c>
      <c r="L221" s="63">
        <f>'B) D RI'!S222</f>
        <v>73</v>
      </c>
      <c r="M221" s="63">
        <f t="shared" si="24"/>
        <v>56.344895708447453</v>
      </c>
      <c r="N221" s="223">
        <f>'J) Plafonnement effort'!G220+'J) Plafonnement effort'!H220-'K) Plafonnement aide'!I220</f>
        <v>12.053233163169587</v>
      </c>
      <c r="O221" s="223">
        <f t="shared" si="25"/>
        <v>68.398128871617047</v>
      </c>
      <c r="P221" s="80">
        <f t="shared" si="26"/>
        <v>0</v>
      </c>
      <c r="Q221" s="98">
        <f t="shared" si="30"/>
        <v>0</v>
      </c>
      <c r="R221" s="258">
        <f t="shared" si="27"/>
        <v>68.398128871617047</v>
      </c>
      <c r="S221" s="223">
        <f t="shared" si="28"/>
        <v>-4.6018711283829532</v>
      </c>
      <c r="T221" s="257"/>
    </row>
    <row r="222" spans="1:20" x14ac:dyDescent="0.25">
      <c r="A222" s="82">
        <f>'A) Base RI'!A223</f>
        <v>5747</v>
      </c>
      <c r="B222" s="95" t="str">
        <f>'A) Base RI'!B223</f>
        <v>Bofflens</v>
      </c>
      <c r="C222" s="266">
        <v>79074.405859936465</v>
      </c>
      <c r="D222" s="267">
        <v>-4958.7013565280067</v>
      </c>
      <c r="E222" s="268">
        <v>0</v>
      </c>
      <c r="F222" s="267">
        <v>0</v>
      </c>
      <c r="G222" s="267">
        <v>0</v>
      </c>
      <c r="H222" s="269">
        <f t="shared" si="31"/>
        <v>74115.704503408459</v>
      </c>
      <c r="I222" s="353">
        <v>4484.3326086956522</v>
      </c>
      <c r="J222" s="158">
        <f>'B) D RI'!U223</f>
        <v>5444.2446376811595</v>
      </c>
      <c r="K222" s="115">
        <f t="shared" si="29"/>
        <v>16.527700099606644</v>
      </c>
      <c r="L222" s="63">
        <f>'B) D RI'!S223</f>
        <v>69</v>
      </c>
      <c r="M222" s="63">
        <f t="shared" si="24"/>
        <v>52.472299900393352</v>
      </c>
      <c r="N222" s="223">
        <f>'J) Plafonnement effort'!G221+'J) Plafonnement effort'!H221-'K) Plafonnement aide'!I221</f>
        <v>22.633184623984523</v>
      </c>
      <c r="O222" s="223">
        <f t="shared" si="25"/>
        <v>75.105484524377871</v>
      </c>
      <c r="P222" s="80">
        <f t="shared" si="26"/>
        <v>0</v>
      </c>
      <c r="Q222" s="98">
        <f t="shared" si="30"/>
        <v>0</v>
      </c>
      <c r="R222" s="258">
        <f t="shared" si="27"/>
        <v>75.105484524377871</v>
      </c>
      <c r="S222" s="223">
        <f t="shared" si="28"/>
        <v>6.1054845243778715</v>
      </c>
      <c r="T222" s="257"/>
    </row>
    <row r="223" spans="1:20" x14ac:dyDescent="0.25">
      <c r="A223" s="82">
        <f>'A) Base RI'!A224</f>
        <v>5748</v>
      </c>
      <c r="B223" s="95" t="str">
        <f>'A) Base RI'!B224</f>
        <v>Bretonnières</v>
      </c>
      <c r="C223" s="266">
        <v>79883.427779697668</v>
      </c>
      <c r="D223" s="267">
        <v>-26423.841297782841</v>
      </c>
      <c r="E223" s="268">
        <v>0</v>
      </c>
      <c r="F223" s="267">
        <v>0</v>
      </c>
      <c r="G223" s="267">
        <v>0</v>
      </c>
      <c r="H223" s="269">
        <f t="shared" si="31"/>
        <v>53459.586481914826</v>
      </c>
      <c r="I223" s="353">
        <v>5103.5698571428575</v>
      </c>
      <c r="J223" s="158">
        <f>'B) D RI'!U224</f>
        <v>4853.6245714285715</v>
      </c>
      <c r="K223" s="115">
        <f t="shared" si="29"/>
        <v>10.474939694828283</v>
      </c>
      <c r="L223" s="63">
        <f>'B) D RI'!S224</f>
        <v>70</v>
      </c>
      <c r="M223" s="63">
        <f t="shared" si="24"/>
        <v>59.525060305171721</v>
      </c>
      <c r="N223" s="223">
        <f>'J) Plafonnement effort'!G222+'J) Plafonnement effort'!H222-'K) Plafonnement aide'!I222</f>
        <v>0.51395766519532415</v>
      </c>
      <c r="O223" s="223">
        <f t="shared" si="25"/>
        <v>60.039017970367041</v>
      </c>
      <c r="P223" s="80">
        <f t="shared" si="26"/>
        <v>0</v>
      </c>
      <c r="Q223" s="98">
        <f t="shared" si="30"/>
        <v>0</v>
      </c>
      <c r="R223" s="258">
        <f t="shared" si="27"/>
        <v>60.039017970367041</v>
      </c>
      <c r="S223" s="223">
        <f t="shared" si="28"/>
        <v>-9.9609820296329588</v>
      </c>
      <c r="T223" s="257"/>
    </row>
    <row r="224" spans="1:20" x14ac:dyDescent="0.25">
      <c r="A224" s="82">
        <f>'A) Base RI'!A225</f>
        <v>5749</v>
      </c>
      <c r="B224" s="95" t="str">
        <f>'A) Base RI'!B225</f>
        <v>Chavornay</v>
      </c>
      <c r="C224" s="266">
        <v>1680381.9491231169</v>
      </c>
      <c r="D224" s="267">
        <v>-1138663.7118189624</v>
      </c>
      <c r="E224" s="268">
        <v>0</v>
      </c>
      <c r="F224" s="267">
        <v>0</v>
      </c>
      <c r="G224" s="267">
        <v>0</v>
      </c>
      <c r="H224" s="269">
        <f t="shared" si="31"/>
        <v>541718.23730415455</v>
      </c>
      <c r="I224" s="353">
        <v>95029.661666666667</v>
      </c>
      <c r="J224" s="158">
        <f>'B) D RI'!U225</f>
        <v>122489.22791666667</v>
      </c>
      <c r="K224" s="115">
        <f t="shared" si="29"/>
        <v>5.7005173732421248</v>
      </c>
      <c r="L224" s="63">
        <f>'B) D RI'!S225</f>
        <v>72</v>
      </c>
      <c r="M224" s="63">
        <f t="shared" si="24"/>
        <v>66.299482626757879</v>
      </c>
      <c r="N224" s="223">
        <f>'J) Plafonnement effort'!G223+'J) Plafonnement effort'!H223-'K) Plafonnement aide'!I223</f>
        <v>15.846060077861342</v>
      </c>
      <c r="O224" s="223">
        <f t="shared" si="25"/>
        <v>82.145542704619217</v>
      </c>
      <c r="P224" s="80">
        <f t="shared" si="26"/>
        <v>0</v>
      </c>
      <c r="Q224" s="98">
        <f t="shared" si="30"/>
        <v>0</v>
      </c>
      <c r="R224" s="258">
        <f t="shared" si="27"/>
        <v>82.145542704619217</v>
      </c>
      <c r="S224" s="223">
        <f t="shared" si="28"/>
        <v>10.145542704619217</v>
      </c>
      <c r="T224" s="257"/>
    </row>
    <row r="225" spans="1:20" x14ac:dyDescent="0.25">
      <c r="A225" s="82">
        <f>'A) Base RI'!A226</f>
        <v>5750</v>
      </c>
      <c r="B225" s="95" t="str">
        <f>'A) Base RI'!B226</f>
        <v>Les Clées</v>
      </c>
      <c r="C225" s="266">
        <v>115015.92003909161</v>
      </c>
      <c r="D225" s="267">
        <v>35321.389063375107</v>
      </c>
      <c r="E225" s="268">
        <v>0</v>
      </c>
      <c r="F225" s="267">
        <v>0</v>
      </c>
      <c r="G225" s="267">
        <v>-39.709325935594926</v>
      </c>
      <c r="H225" s="269">
        <f t="shared" si="31"/>
        <v>150297.5997765311</v>
      </c>
      <c r="I225" s="353">
        <v>5313.5885416666661</v>
      </c>
      <c r="J225" s="158">
        <f>'B) D RI'!U226</f>
        <v>4745.5921666666673</v>
      </c>
      <c r="K225" s="115">
        <f t="shared" si="29"/>
        <v>28.285517141187714</v>
      </c>
      <c r="L225" s="63">
        <f>'B) D RI'!S226</f>
        <v>80</v>
      </c>
      <c r="M225" s="63">
        <f t="shared" ref="M225:M269" si="32">L225-K225</f>
        <v>51.714482858812289</v>
      </c>
      <c r="N225" s="223">
        <f>'J) Plafonnement effort'!G224+'J) Plafonnement effort'!H224-'K) Plafonnement aide'!I224</f>
        <v>9.1021696290638783</v>
      </c>
      <c r="O225" s="223">
        <f t="shared" ref="O225:O269" si="33">M225+N225</f>
        <v>60.816652487876169</v>
      </c>
      <c r="P225" s="80">
        <f t="shared" ref="P225:P269" si="34">IF(O225&gt;$P$5,$P$5-O225,0)</f>
        <v>0</v>
      </c>
      <c r="Q225" s="98">
        <f t="shared" si="30"/>
        <v>0</v>
      </c>
      <c r="R225" s="258">
        <f t="shared" ref="R225:R269" si="35">O225+P225</f>
        <v>60.816652487876169</v>
      </c>
      <c r="S225" s="223">
        <f t="shared" ref="S225:S269" si="36">R225-L225</f>
        <v>-19.183347512123831</v>
      </c>
      <c r="T225" s="257"/>
    </row>
    <row r="226" spans="1:20" x14ac:dyDescent="0.25">
      <c r="A226" s="82">
        <f>'A) Base RI'!A227</f>
        <v>5751</v>
      </c>
      <c r="B226" s="95" t="str">
        <f>'A) Base RI'!B227</f>
        <v>Corcelles-sur-Chavornay</v>
      </c>
      <c r="C226" s="266">
        <v>116397.62130378856</v>
      </c>
      <c r="D226" s="267">
        <v>-65488.363456553576</v>
      </c>
      <c r="E226" s="268">
        <v>0</v>
      </c>
      <c r="F226" s="267">
        <v>0</v>
      </c>
      <c r="G226" s="267">
        <v>0</v>
      </c>
      <c r="H226" s="269">
        <f t="shared" si="31"/>
        <v>50909.257847234985</v>
      </c>
      <c r="I226" s="353">
        <v>7445.9474999999984</v>
      </c>
      <c r="J226" s="158">
        <f>'B) D RI'!U227</f>
        <v>8378.5938157894743</v>
      </c>
      <c r="K226" s="115">
        <f t="shared" si="29"/>
        <v>6.8371765778948879</v>
      </c>
      <c r="L226" s="63">
        <f>'B) D RI'!S227</f>
        <v>76</v>
      </c>
      <c r="M226" s="63">
        <f t="shared" si="32"/>
        <v>69.162823422105106</v>
      </c>
      <c r="N226" s="223">
        <f>'J) Plafonnement effort'!G225+'J) Plafonnement effort'!H225-'K) Plafonnement aide'!I225</f>
        <v>11.769439491239742</v>
      </c>
      <c r="O226" s="223">
        <f t="shared" si="33"/>
        <v>80.932262913344843</v>
      </c>
      <c r="P226" s="80">
        <f t="shared" si="34"/>
        <v>0</v>
      </c>
      <c r="Q226" s="98">
        <f t="shared" si="30"/>
        <v>0</v>
      </c>
      <c r="R226" s="258">
        <f t="shared" si="35"/>
        <v>80.932262913344843</v>
      </c>
      <c r="S226" s="223">
        <f t="shared" si="36"/>
        <v>4.932262913344843</v>
      </c>
      <c r="T226" s="257"/>
    </row>
    <row r="227" spans="1:20" x14ac:dyDescent="0.25">
      <c r="A227" s="82">
        <f>'A) Base RI'!A228</f>
        <v>5752</v>
      </c>
      <c r="B227" s="95" t="str">
        <f>'A) Base RI'!B228</f>
        <v>Croy</v>
      </c>
      <c r="C227" s="266">
        <v>121742.94944008416</v>
      </c>
      <c r="D227" s="267">
        <v>-20122.94163972931</v>
      </c>
      <c r="E227" s="268">
        <v>0</v>
      </c>
      <c r="F227" s="267">
        <v>0</v>
      </c>
      <c r="G227" s="267">
        <v>0</v>
      </c>
      <c r="H227" s="269">
        <f t="shared" si="31"/>
        <v>101620.00780035486</v>
      </c>
      <c r="I227" s="353">
        <v>7810.2192857142845</v>
      </c>
      <c r="J227" s="158">
        <f>'B) D RI'!U228</f>
        <v>8127.3322007722018</v>
      </c>
      <c r="K227" s="115">
        <f t="shared" ref="K227:K273" si="37">H227/I227</f>
        <v>13.011159364786156</v>
      </c>
      <c r="L227" s="63">
        <f>'B) D RI'!S228</f>
        <v>74</v>
      </c>
      <c r="M227" s="63">
        <f t="shared" si="32"/>
        <v>60.988840635213847</v>
      </c>
      <c r="N227" s="223">
        <f>'J) Plafonnement effort'!G226+'J) Plafonnement effort'!H226-'K) Plafonnement aide'!I226</f>
        <v>9.6836106424466362</v>
      </c>
      <c r="O227" s="223">
        <f t="shared" si="33"/>
        <v>70.672451277660485</v>
      </c>
      <c r="P227" s="80">
        <f t="shared" si="34"/>
        <v>0</v>
      </c>
      <c r="Q227" s="98">
        <f t="shared" si="30"/>
        <v>0</v>
      </c>
      <c r="R227" s="258">
        <f t="shared" si="35"/>
        <v>70.672451277660485</v>
      </c>
      <c r="S227" s="223">
        <f t="shared" si="36"/>
        <v>-3.3275487223395146</v>
      </c>
      <c r="T227" s="257"/>
    </row>
    <row r="228" spans="1:20" x14ac:dyDescent="0.25">
      <c r="A228" s="82">
        <f>'A) Base RI'!A229</f>
        <v>5754</v>
      </c>
      <c r="B228" s="95" t="str">
        <f>'A) Base RI'!B229</f>
        <v>Juriens</v>
      </c>
      <c r="C228" s="266">
        <v>126231.79521609834</v>
      </c>
      <c r="D228" s="267">
        <v>-12665.938085923175</v>
      </c>
      <c r="E228" s="268">
        <v>0</v>
      </c>
      <c r="F228" s="267">
        <v>0</v>
      </c>
      <c r="G228" s="267">
        <v>0</v>
      </c>
      <c r="H228" s="269">
        <f t="shared" si="31"/>
        <v>113565.85713017517</v>
      </c>
      <c r="I228" s="353">
        <v>7751.9893670886077</v>
      </c>
      <c r="J228" s="158">
        <f>'B) D RI'!U229</f>
        <v>6779.1981012658243</v>
      </c>
      <c r="K228" s="115">
        <f t="shared" si="37"/>
        <v>14.6498984650732</v>
      </c>
      <c r="L228" s="63">
        <f>'B) D RI'!S229</f>
        <v>79</v>
      </c>
      <c r="M228" s="63">
        <f t="shared" si="32"/>
        <v>64.350101534926807</v>
      </c>
      <c r="N228" s="223">
        <f>'J) Plafonnement effort'!G227+'J) Plafonnement effort'!H227-'K) Plafonnement aide'!I227</f>
        <v>-2.9729826129284964</v>
      </c>
      <c r="O228" s="223">
        <f t="shared" si="33"/>
        <v>61.37711892199831</v>
      </c>
      <c r="P228" s="80">
        <f t="shared" si="34"/>
        <v>0</v>
      </c>
      <c r="Q228" s="98">
        <f t="shared" ref="Q228:Q274" si="38">P228*J228</f>
        <v>0</v>
      </c>
      <c r="R228" s="258">
        <f t="shared" si="35"/>
        <v>61.37711892199831</v>
      </c>
      <c r="S228" s="223">
        <f t="shared" si="36"/>
        <v>-17.62288107800169</v>
      </c>
      <c r="T228" s="257"/>
    </row>
    <row r="229" spans="1:20" x14ac:dyDescent="0.25">
      <c r="A229" s="82">
        <f>'A) Base RI'!A230</f>
        <v>5755</v>
      </c>
      <c r="B229" s="95" t="str">
        <f>'A) Base RI'!B230</f>
        <v>Lignerolle</v>
      </c>
      <c r="C229" s="266">
        <v>137982.3363361076</v>
      </c>
      <c r="D229" s="267">
        <v>-69940.433754319442</v>
      </c>
      <c r="E229" s="268">
        <v>0</v>
      </c>
      <c r="F229" s="267">
        <v>0</v>
      </c>
      <c r="G229" s="267">
        <v>0</v>
      </c>
      <c r="H229" s="269">
        <f t="shared" si="31"/>
        <v>68041.902581788163</v>
      </c>
      <c r="I229" s="353">
        <v>9068.8871781305133</v>
      </c>
      <c r="J229" s="158">
        <f>'B) D RI'!U230</f>
        <v>8994.3248324514989</v>
      </c>
      <c r="K229" s="115">
        <f t="shared" si="37"/>
        <v>7.5027841062870646</v>
      </c>
      <c r="L229" s="63">
        <f>'B) D RI'!S230</f>
        <v>81</v>
      </c>
      <c r="M229" s="63">
        <f t="shared" si="32"/>
        <v>73.497215893712934</v>
      </c>
      <c r="N229" s="223">
        <f>'J) Plafonnement effort'!G228+'J) Plafonnement effort'!H228-'K) Plafonnement aide'!I228</f>
        <v>-0.24150166698636433</v>
      </c>
      <c r="O229" s="223">
        <f t="shared" si="33"/>
        <v>73.255714226726568</v>
      </c>
      <c r="P229" s="80">
        <f t="shared" si="34"/>
        <v>0</v>
      </c>
      <c r="Q229" s="98">
        <f t="shared" si="38"/>
        <v>0</v>
      </c>
      <c r="R229" s="258">
        <f t="shared" si="35"/>
        <v>73.255714226726568</v>
      </c>
      <c r="S229" s="223">
        <f t="shared" si="36"/>
        <v>-7.7442857732734325</v>
      </c>
      <c r="T229" s="257"/>
    </row>
    <row r="230" spans="1:20" x14ac:dyDescent="0.25">
      <c r="A230" s="82">
        <f>'A) Base RI'!A231</f>
        <v>5756</v>
      </c>
      <c r="B230" s="95" t="str">
        <f>'A) Base RI'!B231</f>
        <v>Montcherand</v>
      </c>
      <c r="C230" s="266">
        <v>256286.24875890347</v>
      </c>
      <c r="D230" s="267">
        <v>125283.93136882538</v>
      </c>
      <c r="E230" s="268">
        <v>0</v>
      </c>
      <c r="F230" s="267">
        <v>0</v>
      </c>
      <c r="G230" s="267">
        <v>0</v>
      </c>
      <c r="H230" s="269">
        <f t="shared" si="31"/>
        <v>381570.18012772885</v>
      </c>
      <c r="I230" s="353">
        <v>15132.43695652174</v>
      </c>
      <c r="J230" s="158">
        <f>'B) D RI'!U231</f>
        <v>15693.326135265701</v>
      </c>
      <c r="K230" s="115">
        <f t="shared" si="37"/>
        <v>25.215382110895277</v>
      </c>
      <c r="L230" s="63">
        <f>'B) D RI'!S231</f>
        <v>69</v>
      </c>
      <c r="M230" s="63">
        <f t="shared" si="32"/>
        <v>43.784617889104723</v>
      </c>
      <c r="N230" s="223">
        <f>'J) Plafonnement effort'!G229+'J) Plafonnement effort'!H229-'K) Plafonnement aide'!I229</f>
        <v>24.5918646996858</v>
      </c>
      <c r="O230" s="223">
        <f t="shared" si="33"/>
        <v>68.376482588790523</v>
      </c>
      <c r="P230" s="80">
        <f t="shared" si="34"/>
        <v>0</v>
      </c>
      <c r="Q230" s="98">
        <f t="shared" si="38"/>
        <v>0</v>
      </c>
      <c r="R230" s="258">
        <f t="shared" si="35"/>
        <v>68.376482588790523</v>
      </c>
      <c r="S230" s="223">
        <f t="shared" si="36"/>
        <v>-0.62351741120947679</v>
      </c>
      <c r="T230" s="257"/>
    </row>
    <row r="231" spans="1:20" x14ac:dyDescent="0.25">
      <c r="A231" s="82">
        <f>'A) Base RI'!A232</f>
        <v>5757</v>
      </c>
      <c r="B231" s="95" t="str">
        <f>'A) Base RI'!B232</f>
        <v>Orbe</v>
      </c>
      <c r="C231" s="266">
        <v>3756654.1660547475</v>
      </c>
      <c r="D231" s="267">
        <v>-680810.11953400262</v>
      </c>
      <c r="E231" s="268">
        <v>0</v>
      </c>
      <c r="F231" s="267">
        <v>0</v>
      </c>
      <c r="G231" s="267">
        <v>0</v>
      </c>
      <c r="H231" s="269">
        <f t="shared" si="31"/>
        <v>3075844.0465207449</v>
      </c>
      <c r="I231" s="353">
        <v>203020.68681159418</v>
      </c>
      <c r="J231" s="158">
        <f>'B) D RI'!U232</f>
        <v>203617.2094202899</v>
      </c>
      <c r="K231" s="115">
        <f t="shared" si="37"/>
        <v>15.150397207429251</v>
      </c>
      <c r="L231" s="63">
        <f>'B) D RI'!S232</f>
        <v>69</v>
      </c>
      <c r="M231" s="63">
        <f t="shared" si="32"/>
        <v>53.849602792570749</v>
      </c>
      <c r="N231" s="223">
        <f>'J) Plafonnement effort'!G230+'J) Plafonnement effort'!H230-'K) Plafonnement aide'!I230</f>
        <v>10.282075596516993</v>
      </c>
      <c r="O231" s="223">
        <f t="shared" si="33"/>
        <v>64.131678389087739</v>
      </c>
      <c r="P231" s="80">
        <f t="shared" si="34"/>
        <v>0</v>
      </c>
      <c r="Q231" s="98">
        <f t="shared" si="38"/>
        <v>0</v>
      </c>
      <c r="R231" s="258">
        <f t="shared" si="35"/>
        <v>64.131678389087739</v>
      </c>
      <c r="S231" s="223">
        <f t="shared" si="36"/>
        <v>-4.8683216109122611</v>
      </c>
      <c r="T231" s="257"/>
    </row>
    <row r="232" spans="1:20" x14ac:dyDescent="0.25">
      <c r="A232" s="82">
        <f>'A) Base RI'!A233</f>
        <v>5758</v>
      </c>
      <c r="B232" s="95" t="str">
        <f>'A) Base RI'!B233</f>
        <v>La Praz</v>
      </c>
      <c r="C232" s="266">
        <v>52932.100681268224</v>
      </c>
      <c r="D232" s="267">
        <v>-71433.690943964291</v>
      </c>
      <c r="E232" s="268">
        <v>6893.5457111565629</v>
      </c>
      <c r="F232" s="267">
        <v>0</v>
      </c>
      <c r="G232" s="267">
        <v>0</v>
      </c>
      <c r="H232" s="269">
        <f t="shared" si="31"/>
        <v>-11608.044551539504</v>
      </c>
      <c r="I232" s="353">
        <v>2902.0111378848724</v>
      </c>
      <c r="J232" s="158">
        <f>'B) D RI'!U233</f>
        <v>3854.1398125836677</v>
      </c>
      <c r="K232" s="115">
        <f t="shared" si="37"/>
        <v>-4.0000000000000053</v>
      </c>
      <c r="L232" s="63">
        <f>'B) D RI'!S233</f>
        <v>83</v>
      </c>
      <c r="M232" s="63">
        <f t="shared" si="32"/>
        <v>87</v>
      </c>
      <c r="N232" s="223">
        <f>'J) Plafonnement effort'!G231+'J) Plafonnement effort'!H231-'K) Plafonnement aide'!I231</f>
        <v>7.7791505935944896</v>
      </c>
      <c r="O232" s="223">
        <f t="shared" si="33"/>
        <v>94.779150593594494</v>
      </c>
      <c r="P232" s="80">
        <f t="shared" si="34"/>
        <v>-5.7318777993100696</v>
      </c>
      <c r="Q232" s="98">
        <f t="shared" si="38"/>
        <v>-22091.458427185396</v>
      </c>
      <c r="R232" s="258">
        <f t="shared" si="35"/>
        <v>89.047272794284424</v>
      </c>
      <c r="S232" s="223">
        <f t="shared" si="36"/>
        <v>6.0472727942844244</v>
      </c>
      <c r="T232" s="257"/>
    </row>
    <row r="233" spans="1:20" x14ac:dyDescent="0.25">
      <c r="A233" s="82">
        <f>'A) Base RI'!A234</f>
        <v>5759</v>
      </c>
      <c r="B233" s="95" t="str">
        <f>'A) Base RI'!B234</f>
        <v>Premier</v>
      </c>
      <c r="C233" s="266">
        <v>67325.578842853385</v>
      </c>
      <c r="D233" s="267">
        <v>-51929.552624799166</v>
      </c>
      <c r="E233" s="268">
        <v>0</v>
      </c>
      <c r="F233" s="267">
        <v>0</v>
      </c>
      <c r="G233" s="267">
        <v>0</v>
      </c>
      <c r="H233" s="269">
        <f t="shared" si="31"/>
        <v>15396.026218054219</v>
      </c>
      <c r="I233" s="353">
        <v>4234.8548148148147</v>
      </c>
      <c r="J233" s="158">
        <f>'B) D RI'!U234</f>
        <v>3885.6082716049386</v>
      </c>
      <c r="K233" s="115">
        <f t="shared" si="37"/>
        <v>3.6355499518411398</v>
      </c>
      <c r="L233" s="63">
        <f>'B) D RI'!S234</f>
        <v>81</v>
      </c>
      <c r="M233" s="63">
        <f t="shared" si="32"/>
        <v>77.364450048158858</v>
      </c>
      <c r="N233" s="223">
        <f>'J) Plafonnement effort'!G232+'J) Plafonnement effort'!H232-'K) Plafonnement aide'!I232</f>
        <v>-3.7671968007941707</v>
      </c>
      <c r="O233" s="223">
        <f t="shared" si="33"/>
        <v>73.597253247364691</v>
      </c>
      <c r="P233" s="80">
        <f t="shared" si="34"/>
        <v>0</v>
      </c>
      <c r="Q233" s="98">
        <f t="shared" si="38"/>
        <v>0</v>
      </c>
      <c r="R233" s="258">
        <f t="shared" si="35"/>
        <v>73.597253247364691</v>
      </c>
      <c r="S233" s="223">
        <f t="shared" si="36"/>
        <v>-7.4027467526353092</v>
      </c>
      <c r="T233" s="257"/>
    </row>
    <row r="234" spans="1:20" x14ac:dyDescent="0.25">
      <c r="A234" s="82">
        <f>'A) Base RI'!A235</f>
        <v>5760</v>
      </c>
      <c r="B234" s="95" t="str">
        <f>'A) Base RI'!B235</f>
        <v>Rances</v>
      </c>
      <c r="C234" s="266">
        <v>139664.15034030244</v>
      </c>
      <c r="D234" s="267">
        <v>-60792.557360630657</v>
      </c>
      <c r="E234" s="268">
        <v>0</v>
      </c>
      <c r="F234" s="267">
        <v>0</v>
      </c>
      <c r="G234" s="267">
        <v>0</v>
      </c>
      <c r="H234" s="269">
        <f t="shared" si="31"/>
        <v>78871.592979671783</v>
      </c>
      <c r="I234" s="353">
        <v>10227.793974358972</v>
      </c>
      <c r="J234" s="158">
        <f>'B) D RI'!U235</f>
        <v>11324.841153846155</v>
      </c>
      <c r="K234" s="115">
        <f t="shared" si="37"/>
        <v>7.7114960642932839</v>
      </c>
      <c r="L234" s="63">
        <f>'B) D RI'!S235</f>
        <v>78</v>
      </c>
      <c r="M234" s="63">
        <f t="shared" si="32"/>
        <v>70.288503935706714</v>
      </c>
      <c r="N234" s="223">
        <f>'J) Plafonnement effort'!G233+'J) Plafonnement effort'!H233-'K) Plafonnement aide'!I233</f>
        <v>8.0145143074885841</v>
      </c>
      <c r="O234" s="223">
        <f t="shared" si="33"/>
        <v>78.303018243195297</v>
      </c>
      <c r="P234" s="80">
        <f t="shared" si="34"/>
        <v>0</v>
      </c>
      <c r="Q234" s="98">
        <f t="shared" si="38"/>
        <v>0</v>
      </c>
      <c r="R234" s="258">
        <f t="shared" si="35"/>
        <v>78.303018243195297</v>
      </c>
      <c r="S234" s="223">
        <f t="shared" si="36"/>
        <v>0.30301824319529658</v>
      </c>
      <c r="T234" s="257"/>
    </row>
    <row r="235" spans="1:20" x14ac:dyDescent="0.25">
      <c r="A235" s="82">
        <f>'A) Base RI'!A236</f>
        <v>5761</v>
      </c>
      <c r="B235" s="95" t="str">
        <f>'A) Base RI'!B236</f>
        <v>Romainmôtier-Envy</v>
      </c>
      <c r="C235" s="266">
        <v>244363.49104388343</v>
      </c>
      <c r="D235" s="267">
        <v>-66729.824555183586</v>
      </c>
      <c r="E235" s="268">
        <v>0</v>
      </c>
      <c r="F235" s="267">
        <v>0</v>
      </c>
      <c r="G235" s="267">
        <v>0</v>
      </c>
      <c r="H235" s="269">
        <f t="shared" si="31"/>
        <v>177633.66648869985</v>
      </c>
      <c r="I235" s="353">
        <v>11868.138782894737</v>
      </c>
      <c r="J235" s="158">
        <f>'B) D RI'!U236</f>
        <v>12066.350855263157</v>
      </c>
      <c r="K235" s="115">
        <f t="shared" si="37"/>
        <v>14.967272437420345</v>
      </c>
      <c r="L235" s="63">
        <f>'B) D RI'!S236</f>
        <v>76</v>
      </c>
      <c r="M235" s="63">
        <f t="shared" si="32"/>
        <v>61.032727562579652</v>
      </c>
      <c r="N235" s="223">
        <f>'J) Plafonnement effort'!G234+'J) Plafonnement effort'!H234-'K) Plafonnement aide'!I234</f>
        <v>7.6809909548737565</v>
      </c>
      <c r="O235" s="223">
        <f t="shared" si="33"/>
        <v>68.713718517453401</v>
      </c>
      <c r="P235" s="80">
        <f t="shared" si="34"/>
        <v>0</v>
      </c>
      <c r="Q235" s="98">
        <f t="shared" si="38"/>
        <v>0</v>
      </c>
      <c r="R235" s="258">
        <f t="shared" si="35"/>
        <v>68.713718517453401</v>
      </c>
      <c r="S235" s="223">
        <f t="shared" si="36"/>
        <v>-7.2862814825465989</v>
      </c>
      <c r="T235" s="257"/>
    </row>
    <row r="236" spans="1:20" x14ac:dyDescent="0.25">
      <c r="A236" s="82">
        <f>'A) Base RI'!A237</f>
        <v>5762</v>
      </c>
      <c r="B236" s="95" t="str">
        <f>'A) Base RI'!B237</f>
        <v>Sergey</v>
      </c>
      <c r="C236" s="266">
        <v>47506.748511985897</v>
      </c>
      <c r="D236" s="267">
        <v>-59189.491845172655</v>
      </c>
      <c r="E236" s="268">
        <v>47.475714139133338</v>
      </c>
      <c r="F236" s="267">
        <v>0</v>
      </c>
      <c r="G236" s="267">
        <v>0</v>
      </c>
      <c r="H236" s="269">
        <f t="shared" si="31"/>
        <v>-11635.267619047625</v>
      </c>
      <c r="I236" s="353">
        <v>2908.8169047619049</v>
      </c>
      <c r="J236" s="158">
        <f>'B) D RI'!U237</f>
        <v>4226.1104938271601</v>
      </c>
      <c r="K236" s="115">
        <f t="shared" si="37"/>
        <v>-4.0000000000000018</v>
      </c>
      <c r="L236" s="63">
        <f>'B) D RI'!S237</f>
        <v>81</v>
      </c>
      <c r="M236" s="63">
        <f t="shared" si="32"/>
        <v>85</v>
      </c>
      <c r="N236" s="223">
        <f>'J) Plafonnement effort'!G235+'J) Plafonnement effort'!H235-'K) Plafonnement aide'!I235</f>
        <v>12.302699582969352</v>
      </c>
      <c r="O236" s="223">
        <f t="shared" si="33"/>
        <v>97.302699582969353</v>
      </c>
      <c r="P236" s="80">
        <f t="shared" si="34"/>
        <v>-8.2554267886849289</v>
      </c>
      <c r="Q236" s="98">
        <f t="shared" si="38"/>
        <v>-34888.345782683231</v>
      </c>
      <c r="R236" s="258">
        <f t="shared" si="35"/>
        <v>89.047272794284424</v>
      </c>
      <c r="S236" s="223">
        <f t="shared" si="36"/>
        <v>8.0472727942844244</v>
      </c>
      <c r="T236" s="257"/>
    </row>
    <row r="237" spans="1:20" x14ac:dyDescent="0.25">
      <c r="A237" s="82">
        <f>'A) Base RI'!A238</f>
        <v>5763</v>
      </c>
      <c r="B237" s="95" t="str">
        <f>'A) Base RI'!B238</f>
        <v>Valeyres-sous-Rances</v>
      </c>
      <c r="C237" s="266">
        <v>220601.37614145817</v>
      </c>
      <c r="D237" s="267">
        <v>-178.60227604379179</v>
      </c>
      <c r="E237" s="268">
        <v>0</v>
      </c>
      <c r="F237" s="267">
        <v>0</v>
      </c>
      <c r="G237" s="267">
        <v>0</v>
      </c>
      <c r="H237" s="269">
        <f t="shared" si="31"/>
        <v>220422.77386541438</v>
      </c>
      <c r="I237" s="353">
        <v>14259.937205882354</v>
      </c>
      <c r="J237" s="158">
        <f>'B) D RI'!U238</f>
        <v>15753.099264705883</v>
      </c>
      <c r="K237" s="115">
        <f t="shared" si="37"/>
        <v>15.457485589381696</v>
      </c>
      <c r="L237" s="63">
        <f>'B) D RI'!S238</f>
        <v>68</v>
      </c>
      <c r="M237" s="63">
        <f t="shared" si="32"/>
        <v>52.542514410618303</v>
      </c>
      <c r="N237" s="223">
        <f>'J) Plafonnement effort'!G236+'J) Plafonnement effort'!H236-'K) Plafonnement aide'!I236</f>
        <v>16.485323467008442</v>
      </c>
      <c r="O237" s="223">
        <f t="shared" si="33"/>
        <v>69.027837877626752</v>
      </c>
      <c r="P237" s="80">
        <f t="shared" si="34"/>
        <v>0</v>
      </c>
      <c r="Q237" s="98">
        <f t="shared" si="38"/>
        <v>0</v>
      </c>
      <c r="R237" s="258">
        <f t="shared" si="35"/>
        <v>69.027837877626752</v>
      </c>
      <c r="S237" s="223">
        <f t="shared" si="36"/>
        <v>1.0278378776267516</v>
      </c>
      <c r="T237" s="257"/>
    </row>
    <row r="238" spans="1:20" x14ac:dyDescent="0.25">
      <c r="A238" s="82">
        <f>'A) Base RI'!A239</f>
        <v>5764</v>
      </c>
      <c r="B238" s="95" t="str">
        <f>'A) Base RI'!B239</f>
        <v>Vallorbe</v>
      </c>
      <c r="C238" s="266">
        <v>1864724.4783379855</v>
      </c>
      <c r="D238" s="267">
        <v>-1301871.3757196898</v>
      </c>
      <c r="E238" s="268">
        <v>0</v>
      </c>
      <c r="F238" s="267">
        <v>0</v>
      </c>
      <c r="G238" s="267">
        <v>0</v>
      </c>
      <c r="H238" s="269">
        <f t="shared" si="31"/>
        <v>562853.1026182957</v>
      </c>
      <c r="I238" s="353">
        <v>78430.659729729727</v>
      </c>
      <c r="J238" s="158">
        <f>'B) D RI'!U239</f>
        <v>79459.361216216217</v>
      </c>
      <c r="K238" s="115">
        <f t="shared" si="37"/>
        <v>7.1764422810910267</v>
      </c>
      <c r="L238" s="63">
        <f>'B) D RI'!S239</f>
        <v>74</v>
      </c>
      <c r="M238" s="63">
        <f t="shared" si="32"/>
        <v>66.823557718908972</v>
      </c>
      <c r="N238" s="223">
        <f>'J) Plafonnement effort'!G237+'J) Plafonnement effort'!H237-'K) Plafonnement aide'!I237</f>
        <v>-9.4615410469638093</v>
      </c>
      <c r="O238" s="223">
        <f t="shared" si="33"/>
        <v>57.362016671945163</v>
      </c>
      <c r="P238" s="80">
        <f t="shared" si="34"/>
        <v>0</v>
      </c>
      <c r="Q238" s="98">
        <f t="shared" si="38"/>
        <v>0</v>
      </c>
      <c r="R238" s="258">
        <f t="shared" si="35"/>
        <v>57.362016671945163</v>
      </c>
      <c r="S238" s="223">
        <f t="shared" si="36"/>
        <v>-16.637983328054837</v>
      </c>
      <c r="T238" s="257"/>
    </row>
    <row r="239" spans="1:20" x14ac:dyDescent="0.25">
      <c r="A239" s="82">
        <f>'A) Base RI'!A240</f>
        <v>5765</v>
      </c>
      <c r="B239" s="95" t="str">
        <f>'A) Base RI'!B240</f>
        <v>Vaulion</v>
      </c>
      <c r="C239" s="266">
        <v>142667.74624210817</v>
      </c>
      <c r="D239" s="267">
        <v>-163963.52620791062</v>
      </c>
      <c r="E239" s="268">
        <v>0</v>
      </c>
      <c r="F239" s="267">
        <v>0</v>
      </c>
      <c r="G239" s="267">
        <v>0</v>
      </c>
      <c r="H239" s="269">
        <f t="shared" si="31"/>
        <v>-21295.779965802445</v>
      </c>
      <c r="I239" s="353">
        <v>9324.2527160493828</v>
      </c>
      <c r="J239" s="158">
        <f>'B) D RI'!U240</f>
        <v>10213.279999999997</v>
      </c>
      <c r="K239" s="115">
        <f t="shared" si="37"/>
        <v>-2.2839127825382781</v>
      </c>
      <c r="L239" s="63">
        <f>'B) D RI'!S240</f>
        <v>81</v>
      </c>
      <c r="M239" s="63">
        <f t="shared" si="32"/>
        <v>83.28391278253828</v>
      </c>
      <c r="N239" s="223">
        <f>'J) Plafonnement effort'!G238+'J) Plafonnement effort'!H238-'K) Plafonnement aide'!I238</f>
        <v>-13.115769951526284</v>
      </c>
      <c r="O239" s="223">
        <f t="shared" si="33"/>
        <v>70.168142831011991</v>
      </c>
      <c r="P239" s="80">
        <f t="shared" si="34"/>
        <v>0</v>
      </c>
      <c r="Q239" s="98">
        <f t="shared" si="38"/>
        <v>0</v>
      </c>
      <c r="R239" s="258">
        <f t="shared" si="35"/>
        <v>70.168142831011991</v>
      </c>
      <c r="S239" s="223">
        <f t="shared" si="36"/>
        <v>-10.831857168988009</v>
      </c>
      <c r="T239" s="257"/>
    </row>
    <row r="240" spans="1:20" x14ac:dyDescent="0.25">
      <c r="A240" s="82">
        <f>'A) Base RI'!A241</f>
        <v>5766</v>
      </c>
      <c r="B240" s="95" t="str">
        <f>'A) Base RI'!B241</f>
        <v>Vuiteboeuf</v>
      </c>
      <c r="C240" s="266">
        <v>180698.89430522209</v>
      </c>
      <c r="D240" s="267">
        <v>-118179.82897069852</v>
      </c>
      <c r="E240" s="268">
        <v>0</v>
      </c>
      <c r="F240" s="267">
        <v>0</v>
      </c>
      <c r="G240" s="267">
        <v>0</v>
      </c>
      <c r="H240" s="269">
        <f t="shared" si="31"/>
        <v>62519.065334523562</v>
      </c>
      <c r="I240" s="353">
        <v>11812.354452690168</v>
      </c>
      <c r="J240" s="158">
        <f>'B) D RI'!U241</f>
        <v>13186.718497217067</v>
      </c>
      <c r="K240" s="115">
        <f t="shared" si="37"/>
        <v>5.2926845012075772</v>
      </c>
      <c r="L240" s="63">
        <f>'B) D RI'!S241</f>
        <v>77</v>
      </c>
      <c r="M240" s="63">
        <f t="shared" si="32"/>
        <v>71.707315498792426</v>
      </c>
      <c r="N240" s="223">
        <f>'J) Plafonnement effort'!G239+'J) Plafonnement effort'!H239-'K) Plafonnement aide'!I239</f>
        <v>11.163717965105747</v>
      </c>
      <c r="O240" s="223">
        <f t="shared" si="33"/>
        <v>82.871033463898172</v>
      </c>
      <c r="P240" s="80">
        <f t="shared" si="34"/>
        <v>0</v>
      </c>
      <c r="Q240" s="98">
        <f t="shared" si="38"/>
        <v>0</v>
      </c>
      <c r="R240" s="258">
        <f t="shared" si="35"/>
        <v>82.871033463898172</v>
      </c>
      <c r="S240" s="223">
        <f t="shared" si="36"/>
        <v>5.871033463898172</v>
      </c>
      <c r="T240" s="257"/>
    </row>
    <row r="241" spans="1:20" x14ac:dyDescent="0.25">
      <c r="A241" s="82">
        <f>'A) Base RI'!A242</f>
        <v>5782</v>
      </c>
      <c r="B241" s="95" t="str">
        <f>'A) Base RI'!B242</f>
        <v>Carrouge</v>
      </c>
      <c r="C241" s="266">
        <v>449453.47506022395</v>
      </c>
      <c r="D241" s="267">
        <v>42831.993583006086</v>
      </c>
      <c r="E241" s="268">
        <v>0</v>
      </c>
      <c r="F241" s="267">
        <v>0</v>
      </c>
      <c r="G241" s="267">
        <v>0</v>
      </c>
      <c r="H241" s="269">
        <f t="shared" si="31"/>
        <v>492285.46864323004</v>
      </c>
      <c r="I241" s="353">
        <v>30249.545000000002</v>
      </c>
      <c r="J241" s="158">
        <f>'B) D RI'!U242</f>
        <v>30558.004133333339</v>
      </c>
      <c r="K241" s="115">
        <f t="shared" si="37"/>
        <v>16.274144574512775</v>
      </c>
      <c r="L241" s="63">
        <f>'B) D RI'!S242</f>
        <v>75</v>
      </c>
      <c r="M241" s="63">
        <f t="shared" si="32"/>
        <v>58.725855425487225</v>
      </c>
      <c r="N241" s="223">
        <f>'J) Plafonnement effort'!G240+'J) Plafonnement effort'!H240-'K) Plafonnement aide'!I240</f>
        <v>13.997825046412078</v>
      </c>
      <c r="O241" s="223">
        <f t="shared" si="33"/>
        <v>72.7236804718993</v>
      </c>
      <c r="P241" s="80">
        <f t="shared" si="34"/>
        <v>0</v>
      </c>
      <c r="Q241" s="98">
        <f t="shared" si="38"/>
        <v>0</v>
      </c>
      <c r="R241" s="258">
        <f t="shared" si="35"/>
        <v>72.7236804718993</v>
      </c>
      <c r="S241" s="223">
        <f t="shared" si="36"/>
        <v>-2.2763195281007</v>
      </c>
      <c r="T241" s="257"/>
    </row>
    <row r="242" spans="1:20" x14ac:dyDescent="0.25">
      <c r="A242" s="82">
        <f>'A) Base RI'!A243</f>
        <v>5785</v>
      </c>
      <c r="B242" s="95" t="str">
        <f>'A) Base RI'!B243</f>
        <v>Corcelles-le-Jorat</v>
      </c>
      <c r="C242" s="266">
        <v>217471.41674349387</v>
      </c>
      <c r="D242" s="267">
        <v>4974.0160426179355</v>
      </c>
      <c r="E242" s="268">
        <v>0</v>
      </c>
      <c r="F242" s="267">
        <v>0</v>
      </c>
      <c r="G242" s="267">
        <v>0</v>
      </c>
      <c r="H242" s="269">
        <f t="shared" si="31"/>
        <v>222445.43278611181</v>
      </c>
      <c r="I242" s="353">
        <v>12186.228987341772</v>
      </c>
      <c r="J242" s="158">
        <f>'B) D RI'!U243</f>
        <v>15220.93759493671</v>
      </c>
      <c r="K242" s="115">
        <f t="shared" si="37"/>
        <v>18.253836606646161</v>
      </c>
      <c r="L242" s="63">
        <f>'B) D RI'!S243</f>
        <v>79</v>
      </c>
      <c r="M242" s="63">
        <f t="shared" si="32"/>
        <v>60.746163393353839</v>
      </c>
      <c r="N242" s="223">
        <f>'J) Plafonnement effort'!G241+'J) Plafonnement effort'!H241-'K) Plafonnement aide'!I241</f>
        <v>22.26672003643958</v>
      </c>
      <c r="O242" s="223">
        <f t="shared" si="33"/>
        <v>83.012883429793419</v>
      </c>
      <c r="P242" s="80">
        <f t="shared" si="34"/>
        <v>0</v>
      </c>
      <c r="Q242" s="98">
        <f t="shared" si="38"/>
        <v>0</v>
      </c>
      <c r="R242" s="258">
        <f t="shared" si="35"/>
        <v>83.012883429793419</v>
      </c>
      <c r="S242" s="223">
        <f t="shared" si="36"/>
        <v>4.0128834297934191</v>
      </c>
      <c r="T242" s="257"/>
    </row>
    <row r="243" spans="1:20" x14ac:dyDescent="0.25">
      <c r="A243" s="82">
        <f>'A) Base RI'!A244</f>
        <v>5788</v>
      </c>
      <c r="B243" s="95" t="str">
        <f>'A) Base RI'!B244</f>
        <v>Essertes</v>
      </c>
      <c r="C243" s="266">
        <v>168575.44178816487</v>
      </c>
      <c r="D243" s="267">
        <v>106418.64495150548</v>
      </c>
      <c r="E243" s="268">
        <v>0</v>
      </c>
      <c r="F243" s="267">
        <v>0</v>
      </c>
      <c r="G243" s="267">
        <v>0</v>
      </c>
      <c r="H243" s="269">
        <f t="shared" si="31"/>
        <v>274994.08673967037</v>
      </c>
      <c r="I243" s="353">
        <v>10902.259142857143</v>
      </c>
      <c r="J243" s="158">
        <f>'B) D RI'!U244</f>
        <v>9308.1854285714289</v>
      </c>
      <c r="K243" s="115">
        <f t="shared" si="37"/>
        <v>25.223587435989252</v>
      </c>
      <c r="L243" s="63">
        <f>'B) D RI'!S244</f>
        <v>70</v>
      </c>
      <c r="M243" s="63">
        <f t="shared" si="32"/>
        <v>44.776412564010748</v>
      </c>
      <c r="N243" s="223">
        <f>'J) Plafonnement effort'!G242+'J) Plafonnement effort'!H242-'K) Plafonnement aide'!I242</f>
        <v>16.427082758070366</v>
      </c>
      <c r="O243" s="223">
        <f t="shared" si="33"/>
        <v>61.20349532208111</v>
      </c>
      <c r="P243" s="80">
        <f t="shared" si="34"/>
        <v>0</v>
      </c>
      <c r="Q243" s="98">
        <f t="shared" si="38"/>
        <v>0</v>
      </c>
      <c r="R243" s="258">
        <f t="shared" si="35"/>
        <v>61.20349532208111</v>
      </c>
      <c r="S243" s="223">
        <f t="shared" si="36"/>
        <v>-8.7965046779188896</v>
      </c>
      <c r="T243" s="257"/>
    </row>
    <row r="244" spans="1:20" x14ac:dyDescent="0.25">
      <c r="A244" s="82">
        <f>'A) Base RI'!A245</f>
        <v>5789</v>
      </c>
      <c r="B244" s="95" t="str">
        <f>'A) Base RI'!B245</f>
        <v>Ferlens</v>
      </c>
      <c r="C244" s="266">
        <v>125397.00021895119</v>
      </c>
      <c r="D244" s="267">
        <v>-3493.3991027480515</v>
      </c>
      <c r="E244" s="268">
        <v>0</v>
      </c>
      <c r="F244" s="267">
        <v>0</v>
      </c>
      <c r="G244" s="267">
        <v>0</v>
      </c>
      <c r="H244" s="269">
        <f t="shared" si="31"/>
        <v>121903.60111620314</v>
      </c>
      <c r="I244" s="353">
        <v>9041.1743589743583</v>
      </c>
      <c r="J244" s="158">
        <f>'B) D RI'!U245</f>
        <v>9496.6311688311671</v>
      </c>
      <c r="K244" s="115">
        <f t="shared" si="37"/>
        <v>13.483160071479036</v>
      </c>
      <c r="L244" s="63">
        <f>'B) D RI'!S245</f>
        <v>77</v>
      </c>
      <c r="M244" s="63">
        <f t="shared" si="32"/>
        <v>63.516839928520966</v>
      </c>
      <c r="N244" s="223">
        <f>'J) Plafonnement effort'!G243+'J) Plafonnement effort'!H243-'K) Plafonnement aide'!I243</f>
        <v>17.296303894254539</v>
      </c>
      <c r="O244" s="223">
        <f t="shared" si="33"/>
        <v>80.813143822775501</v>
      </c>
      <c r="P244" s="80">
        <f t="shared" si="34"/>
        <v>0</v>
      </c>
      <c r="Q244" s="98">
        <f t="shared" si="38"/>
        <v>0</v>
      </c>
      <c r="R244" s="258">
        <f t="shared" si="35"/>
        <v>80.813143822775501</v>
      </c>
      <c r="S244" s="223">
        <f t="shared" si="36"/>
        <v>3.8131438227755012</v>
      </c>
      <c r="T244" s="257"/>
    </row>
    <row r="245" spans="1:20" x14ac:dyDescent="0.25">
      <c r="A245" s="82">
        <f>'A) Base RI'!A246</f>
        <v>5790</v>
      </c>
      <c r="B245" s="95" t="str">
        <f>'A) Base RI'!B246</f>
        <v>Maracon</v>
      </c>
      <c r="C245" s="266">
        <v>185973.0436687982</v>
      </c>
      <c r="D245" s="267">
        <v>-16978.894216517918</v>
      </c>
      <c r="E245" s="268">
        <v>0</v>
      </c>
      <c r="F245" s="267">
        <v>0</v>
      </c>
      <c r="G245" s="267">
        <v>0</v>
      </c>
      <c r="H245" s="269">
        <f t="shared" si="31"/>
        <v>168994.14945228028</v>
      </c>
      <c r="I245" s="353">
        <v>11737.190394736845</v>
      </c>
      <c r="J245" s="158">
        <f>'B) D RI'!U246</f>
        <v>11539.028947368422</v>
      </c>
      <c r="K245" s="115">
        <f t="shared" si="37"/>
        <v>14.398177397553347</v>
      </c>
      <c r="L245" s="63">
        <f>'B) D RI'!S246</f>
        <v>76</v>
      </c>
      <c r="M245" s="63">
        <f t="shared" si="32"/>
        <v>61.601822602446653</v>
      </c>
      <c r="N245" s="223">
        <f>'J) Plafonnement effort'!G244+'J) Plafonnement effort'!H244-'K) Plafonnement aide'!I244</f>
        <v>8.9914955684329421</v>
      </c>
      <c r="O245" s="223">
        <f t="shared" si="33"/>
        <v>70.593318170879598</v>
      </c>
      <c r="P245" s="80">
        <f t="shared" si="34"/>
        <v>0</v>
      </c>
      <c r="Q245" s="98">
        <f t="shared" si="38"/>
        <v>0</v>
      </c>
      <c r="R245" s="258">
        <f t="shared" si="35"/>
        <v>70.593318170879598</v>
      </c>
      <c r="S245" s="223">
        <f t="shared" si="36"/>
        <v>-5.4066818291204015</v>
      </c>
      <c r="T245" s="257"/>
    </row>
    <row r="246" spans="1:20" x14ac:dyDescent="0.25">
      <c r="A246" s="82">
        <f>'A) Base RI'!A247</f>
        <v>5791</v>
      </c>
      <c r="B246" s="95" t="str">
        <f>'A) Base RI'!B247</f>
        <v>Mézières</v>
      </c>
      <c r="C246" s="266">
        <v>578036.23598821915</v>
      </c>
      <c r="D246" s="267">
        <v>280499.18408671342</v>
      </c>
      <c r="E246" s="268">
        <v>0</v>
      </c>
      <c r="F246" s="267">
        <v>0</v>
      </c>
      <c r="G246" s="267">
        <v>0</v>
      </c>
      <c r="H246" s="269">
        <f t="shared" si="31"/>
        <v>858535.42007493251</v>
      </c>
      <c r="I246" s="353">
        <v>39171.978333333333</v>
      </c>
      <c r="J246" s="158">
        <f>'B) D RI'!U247</f>
        <v>41636.080964912282</v>
      </c>
      <c r="K246" s="115">
        <f t="shared" si="37"/>
        <v>21.917080949275498</v>
      </c>
      <c r="L246" s="63">
        <f>'B) D RI'!S247</f>
        <v>76</v>
      </c>
      <c r="M246" s="63">
        <f t="shared" si="32"/>
        <v>54.082919050724499</v>
      </c>
      <c r="N246" s="223">
        <f>'J) Plafonnement effort'!G245+'J) Plafonnement effort'!H245-'K) Plafonnement aide'!I245</f>
        <v>18.515974907178371</v>
      </c>
      <c r="O246" s="223">
        <f t="shared" si="33"/>
        <v>72.598893957902874</v>
      </c>
      <c r="P246" s="80">
        <f t="shared" si="34"/>
        <v>0</v>
      </c>
      <c r="Q246" s="98">
        <f t="shared" si="38"/>
        <v>0</v>
      </c>
      <c r="R246" s="258">
        <f t="shared" si="35"/>
        <v>72.598893957902874</v>
      </c>
      <c r="S246" s="223">
        <f t="shared" si="36"/>
        <v>-3.4011060420971262</v>
      </c>
      <c r="T246" s="257"/>
    </row>
    <row r="247" spans="1:20" x14ac:dyDescent="0.25">
      <c r="A247" s="82">
        <f>'A) Base RI'!A248</f>
        <v>5792</v>
      </c>
      <c r="B247" s="95" t="str">
        <f>'A) Base RI'!B248</f>
        <v>Montpreveyres</v>
      </c>
      <c r="C247" s="266">
        <v>361500.83257625229</v>
      </c>
      <c r="D247" s="267">
        <v>24400.224258055736</v>
      </c>
      <c r="E247" s="268">
        <v>0</v>
      </c>
      <c r="F247" s="267">
        <v>0</v>
      </c>
      <c r="G247" s="267">
        <v>0</v>
      </c>
      <c r="H247" s="269">
        <f t="shared" si="31"/>
        <v>385901.05683430802</v>
      </c>
      <c r="I247" s="353">
        <v>15776.036265060242</v>
      </c>
      <c r="J247" s="158">
        <f>'B) D RI'!U248</f>
        <v>17052.817341772152</v>
      </c>
      <c r="K247" s="115">
        <f t="shared" si="37"/>
        <v>24.461217656362585</v>
      </c>
      <c r="L247" s="63">
        <f>'B) D RI'!S248</f>
        <v>79</v>
      </c>
      <c r="M247" s="63">
        <f t="shared" si="32"/>
        <v>54.538782343637415</v>
      </c>
      <c r="N247" s="223">
        <f>'J) Plafonnement effort'!G246+'J) Plafonnement effort'!H246-'K) Plafonnement aide'!I246</f>
        <v>11.82634726741902</v>
      </c>
      <c r="O247" s="223">
        <f t="shared" si="33"/>
        <v>66.365129611056432</v>
      </c>
      <c r="P247" s="80">
        <f t="shared" si="34"/>
        <v>0</v>
      </c>
      <c r="Q247" s="98">
        <f t="shared" si="38"/>
        <v>0</v>
      </c>
      <c r="R247" s="258">
        <f t="shared" si="35"/>
        <v>66.365129611056432</v>
      </c>
      <c r="S247" s="223">
        <f t="shared" si="36"/>
        <v>-12.634870388943568</v>
      </c>
      <c r="T247" s="257"/>
    </row>
    <row r="248" spans="1:20" x14ac:dyDescent="0.25">
      <c r="A248" s="82">
        <f>'A) Base RI'!A249</f>
        <v>5798</v>
      </c>
      <c r="B248" s="95" t="str">
        <f>'A) Base RI'!B249</f>
        <v>Ropraz</v>
      </c>
      <c r="C248" s="266">
        <v>188521.76497468463</v>
      </c>
      <c r="D248" s="267">
        <v>-48508.540570228593</v>
      </c>
      <c r="E248" s="268">
        <v>0</v>
      </c>
      <c r="F248" s="267">
        <v>0</v>
      </c>
      <c r="G248" s="267">
        <v>0</v>
      </c>
      <c r="H248" s="269">
        <f t="shared" si="31"/>
        <v>140013.22440445604</v>
      </c>
      <c r="I248" s="353">
        <v>9451.2907096774161</v>
      </c>
      <c r="J248" s="158">
        <f>'B) D RI'!U249</f>
        <v>11308.746838709676</v>
      </c>
      <c r="K248" s="115">
        <f t="shared" si="37"/>
        <v>14.814190855550866</v>
      </c>
      <c r="L248" s="63">
        <f>'B) D RI'!S249</f>
        <v>77.5</v>
      </c>
      <c r="M248" s="63">
        <f t="shared" si="32"/>
        <v>62.685809144449138</v>
      </c>
      <c r="N248" s="223">
        <f>'J) Plafonnement effort'!G247+'J) Plafonnement effort'!H247-'K) Plafonnement aide'!I247</f>
        <v>13.640849205272344</v>
      </c>
      <c r="O248" s="223">
        <f t="shared" si="33"/>
        <v>76.326658349721484</v>
      </c>
      <c r="P248" s="80">
        <f t="shared" si="34"/>
        <v>0</v>
      </c>
      <c r="Q248" s="98">
        <f t="shared" si="38"/>
        <v>0</v>
      </c>
      <c r="R248" s="258">
        <f t="shared" si="35"/>
        <v>76.326658349721484</v>
      </c>
      <c r="S248" s="223">
        <f t="shared" si="36"/>
        <v>-1.1733416502785161</v>
      </c>
      <c r="T248" s="257"/>
    </row>
    <row r="249" spans="1:20" x14ac:dyDescent="0.25">
      <c r="A249" s="82">
        <f>'A) Base RI'!A250</f>
        <v>5799</v>
      </c>
      <c r="B249" s="95" t="str">
        <f>'A) Base RI'!B250</f>
        <v>Servion</v>
      </c>
      <c r="C249" s="266">
        <v>1008264.6467321472</v>
      </c>
      <c r="D249" s="267">
        <v>350822.8955570187</v>
      </c>
      <c r="E249" s="268">
        <v>0</v>
      </c>
      <c r="F249" s="267">
        <v>0</v>
      </c>
      <c r="G249" s="267">
        <v>0</v>
      </c>
      <c r="H249" s="269">
        <f t="shared" si="31"/>
        <v>1359087.5422891658</v>
      </c>
      <c r="I249" s="353">
        <v>62196.077887323947</v>
      </c>
      <c r="J249" s="158">
        <f>'B) D RI'!U250</f>
        <v>68357.530144927528</v>
      </c>
      <c r="K249" s="115">
        <f t="shared" si="37"/>
        <v>21.851659918995608</v>
      </c>
      <c r="L249" s="63">
        <f>'B) D RI'!S250</f>
        <v>69</v>
      </c>
      <c r="M249" s="63">
        <f t="shared" si="32"/>
        <v>47.148340081004392</v>
      </c>
      <c r="N249" s="223">
        <f>'J) Plafonnement effort'!G248+'J) Plafonnement effort'!H248-'K) Plafonnement aide'!I248</f>
        <v>26.044233849675937</v>
      </c>
      <c r="O249" s="223">
        <f t="shared" si="33"/>
        <v>73.192573930680325</v>
      </c>
      <c r="P249" s="80">
        <f t="shared" si="34"/>
        <v>0</v>
      </c>
      <c r="Q249" s="98">
        <f t="shared" si="38"/>
        <v>0</v>
      </c>
      <c r="R249" s="258">
        <f t="shared" si="35"/>
        <v>73.192573930680325</v>
      </c>
      <c r="S249" s="223">
        <f t="shared" si="36"/>
        <v>4.1925739306803251</v>
      </c>
      <c r="T249" s="257"/>
    </row>
    <row r="250" spans="1:20" x14ac:dyDescent="0.25">
      <c r="A250" s="82">
        <f>'A) Base RI'!A251</f>
        <v>5803</v>
      </c>
      <c r="B250" s="95" t="str">
        <f>'A) Base RI'!B251</f>
        <v>Vulliens</v>
      </c>
      <c r="C250" s="266">
        <v>160633.4981564116</v>
      </c>
      <c r="D250" s="267">
        <v>-66119.532908789843</v>
      </c>
      <c r="E250" s="268">
        <v>0</v>
      </c>
      <c r="F250" s="267">
        <v>0</v>
      </c>
      <c r="G250" s="267">
        <v>0</v>
      </c>
      <c r="H250" s="269">
        <f t="shared" si="31"/>
        <v>94513.96524762176</v>
      </c>
      <c r="I250" s="353">
        <v>10640.864444444445</v>
      </c>
      <c r="J250" s="158">
        <f>'B) D RI'!U251</f>
        <v>12093.749506172839</v>
      </c>
      <c r="K250" s="115">
        <f t="shared" si="37"/>
        <v>8.8821698407188272</v>
      </c>
      <c r="L250" s="63">
        <f>'B) D RI'!S251</f>
        <v>81</v>
      </c>
      <c r="M250" s="63">
        <f t="shared" si="32"/>
        <v>72.117830159281169</v>
      </c>
      <c r="N250" s="223">
        <f>'J) Plafonnement effort'!G249+'J) Plafonnement effort'!H249-'K) Plafonnement aide'!I249</f>
        <v>11.703289381157337</v>
      </c>
      <c r="O250" s="223">
        <f t="shared" si="33"/>
        <v>83.821119540438502</v>
      </c>
      <c r="P250" s="80">
        <f t="shared" si="34"/>
        <v>0</v>
      </c>
      <c r="Q250" s="98">
        <f t="shared" si="38"/>
        <v>0</v>
      </c>
      <c r="R250" s="258">
        <f t="shared" si="35"/>
        <v>83.821119540438502</v>
      </c>
      <c r="S250" s="223">
        <f t="shared" si="36"/>
        <v>2.8211195404385023</v>
      </c>
      <c r="T250" s="257"/>
    </row>
    <row r="251" spans="1:20" x14ac:dyDescent="0.25">
      <c r="A251" s="82">
        <f>'A) Base RI'!A252</f>
        <v>5804</v>
      </c>
      <c r="B251" s="95" t="str">
        <f>'A) Base RI'!B252</f>
        <v>Jorat-Menthue</v>
      </c>
      <c r="C251" s="266">
        <v>647659.21994586848</v>
      </c>
      <c r="D251" s="267">
        <v>-44915.831637556897</v>
      </c>
      <c r="E251" s="268">
        <v>0</v>
      </c>
      <c r="F251" s="267">
        <v>0</v>
      </c>
      <c r="G251" s="267">
        <v>0</v>
      </c>
      <c r="H251" s="269">
        <f t="shared" si="31"/>
        <v>602743.38830831158</v>
      </c>
      <c r="I251" s="353">
        <v>37936.079722222217</v>
      </c>
      <c r="J251" s="158">
        <f>'B) D RI'!U252</f>
        <v>42711.248333333329</v>
      </c>
      <c r="K251" s="115">
        <f>H251/I251</f>
        <v>15.888394180994833</v>
      </c>
      <c r="L251" s="63">
        <f>'B) D RI'!S252</f>
        <v>72</v>
      </c>
      <c r="M251" s="63">
        <f>L251-K251</f>
        <v>56.111605819005163</v>
      </c>
      <c r="N251" s="223">
        <f>'J) Plafonnement effort'!G250+'J) Plafonnement effort'!H250-'K) Plafonnement aide'!I250</f>
        <v>9.8284794735463787</v>
      </c>
      <c r="O251" s="223">
        <f>M251+N251</f>
        <v>65.940085292551544</v>
      </c>
      <c r="P251" s="80">
        <f t="shared" si="34"/>
        <v>0</v>
      </c>
      <c r="Q251" s="98">
        <f>P251*J251</f>
        <v>0</v>
      </c>
      <c r="R251" s="258">
        <f>O251+P251</f>
        <v>65.940085292551544</v>
      </c>
      <c r="S251" s="223">
        <f>R251-L251</f>
        <v>-6.0599147074484563</v>
      </c>
      <c r="T251" s="257"/>
    </row>
    <row r="252" spans="1:20" x14ac:dyDescent="0.25">
      <c r="A252" s="82">
        <f>'A) Base RI'!A253</f>
        <v>5805</v>
      </c>
      <c r="B252" s="95" t="str">
        <f>'A) Base RI'!B253</f>
        <v>Oron</v>
      </c>
      <c r="C252" s="266">
        <v>2691128.9917645124</v>
      </c>
      <c r="D252" s="267">
        <v>-779046.04853541777</v>
      </c>
      <c r="E252" s="268">
        <v>0</v>
      </c>
      <c r="F252" s="267">
        <v>0</v>
      </c>
      <c r="G252" s="267">
        <v>0</v>
      </c>
      <c r="H252" s="269">
        <f t="shared" si="31"/>
        <v>1912082.9432290946</v>
      </c>
      <c r="I252" s="353">
        <v>140496.11274044792</v>
      </c>
      <c r="J252" s="158">
        <f>'B) D RI'!U253</f>
        <v>145299.16422924903</v>
      </c>
      <c r="K252" s="115">
        <f>H252/I252</f>
        <v>13.609507807247811</v>
      </c>
      <c r="L252" s="63">
        <f>'B) D RI'!S253</f>
        <v>69</v>
      </c>
      <c r="M252" s="63">
        <f>L252-K252</f>
        <v>55.390492192752191</v>
      </c>
      <c r="N252" s="223">
        <f>'J) Plafonnement effort'!G251+'J) Plafonnement effort'!H251-'K) Plafonnement aide'!I251</f>
        <v>6.2691149461129241</v>
      </c>
      <c r="O252" s="223">
        <f>M252+N252</f>
        <v>61.659607138865113</v>
      </c>
      <c r="P252" s="80">
        <f t="shared" si="34"/>
        <v>0</v>
      </c>
      <c r="Q252" s="98">
        <f>P252*J252</f>
        <v>0</v>
      </c>
      <c r="R252" s="258">
        <f>O252+P252</f>
        <v>61.659607138865113</v>
      </c>
      <c r="S252" s="223">
        <f>R252-L252</f>
        <v>-7.3403928611348874</v>
      </c>
      <c r="T252" s="257"/>
    </row>
    <row r="253" spans="1:20" x14ac:dyDescent="0.25">
      <c r="A253" s="82">
        <f>'A) Base RI'!A254</f>
        <v>5812</v>
      </c>
      <c r="B253" s="95" t="str">
        <f>'A) Base RI'!B254</f>
        <v>Champtauroz</v>
      </c>
      <c r="C253" s="266">
        <v>41683.550558473806</v>
      </c>
      <c r="D253" s="267">
        <v>-52335.513599758124</v>
      </c>
      <c r="E253" s="268">
        <v>835.46615816743122</v>
      </c>
      <c r="F253" s="267">
        <v>0</v>
      </c>
      <c r="G253" s="267">
        <v>0</v>
      </c>
      <c r="H253" s="269">
        <f t="shared" si="31"/>
        <v>-9816.4968831168862</v>
      </c>
      <c r="I253" s="353">
        <v>2454.1242207792211</v>
      </c>
      <c r="J253" s="158">
        <f>'B) D RI'!U254</f>
        <v>2756.1429220779223</v>
      </c>
      <c r="K253" s="115">
        <f>H253/I253</f>
        <v>-4.0000000000000009</v>
      </c>
      <c r="L253" s="63">
        <f>'B) D RI'!S254</f>
        <v>77</v>
      </c>
      <c r="M253" s="63">
        <f>L253-K253</f>
        <v>81</v>
      </c>
      <c r="N253" s="223">
        <f>'J) Plafonnement effort'!G252+'J) Plafonnement effort'!H252-'K) Plafonnement aide'!I252</f>
        <v>-10.746788307207048</v>
      </c>
      <c r="O253" s="223">
        <f>M253+N253</f>
        <v>70.253211692792945</v>
      </c>
      <c r="P253" s="80">
        <f t="shared" si="34"/>
        <v>0</v>
      </c>
      <c r="Q253" s="98">
        <f>P253*J253</f>
        <v>0</v>
      </c>
      <c r="R253" s="258">
        <f>O253+P253</f>
        <v>70.253211692792945</v>
      </c>
      <c r="S253" s="223">
        <f>R253-L253</f>
        <v>-6.7467883072070549</v>
      </c>
      <c r="T253" s="257"/>
    </row>
    <row r="254" spans="1:20" x14ac:dyDescent="0.25">
      <c r="A254" s="82">
        <f>'A) Base RI'!A255</f>
        <v>5813</v>
      </c>
      <c r="B254" s="95" t="str">
        <f>'A) Base RI'!B255</f>
        <v>Chevroux</v>
      </c>
      <c r="C254" s="266">
        <v>180470.80208874465</v>
      </c>
      <c r="D254" s="267">
        <v>48328.799494916544</v>
      </c>
      <c r="E254" s="268">
        <v>0</v>
      </c>
      <c r="F254" s="267">
        <v>0</v>
      </c>
      <c r="G254" s="267">
        <v>0</v>
      </c>
      <c r="H254" s="269">
        <f t="shared" si="31"/>
        <v>228799.60158366119</v>
      </c>
      <c r="I254" s="353">
        <v>10945.857630208333</v>
      </c>
      <c r="J254" s="158">
        <f>'B) D RI'!U255</f>
        <v>11438.318904761907</v>
      </c>
      <c r="K254" s="115">
        <f t="shared" si="37"/>
        <v>20.902848302377055</v>
      </c>
      <c r="L254" s="63">
        <f>'B) D RI'!S255</f>
        <v>70</v>
      </c>
      <c r="M254" s="63">
        <f t="shared" si="32"/>
        <v>49.097151697622948</v>
      </c>
      <c r="N254" s="223">
        <f>'J) Plafonnement effort'!G253+'J) Plafonnement effort'!H253-'K) Plafonnement aide'!I253</f>
        <v>20.991410673242825</v>
      </c>
      <c r="O254" s="223">
        <f t="shared" si="33"/>
        <v>70.088562370865773</v>
      </c>
      <c r="P254" s="80">
        <f t="shared" si="34"/>
        <v>0</v>
      </c>
      <c r="Q254" s="98">
        <f t="shared" si="38"/>
        <v>0</v>
      </c>
      <c r="R254" s="258">
        <f t="shared" si="35"/>
        <v>70.088562370865773</v>
      </c>
      <c r="S254" s="223">
        <f t="shared" si="36"/>
        <v>8.8562370865773232E-2</v>
      </c>
      <c r="T254" s="257"/>
    </row>
    <row r="255" spans="1:20" x14ac:dyDescent="0.25">
      <c r="A255" s="82">
        <f>'A) Base RI'!A256</f>
        <v>5816</v>
      </c>
      <c r="B255" s="95" t="str">
        <f>'A) Base RI'!B256</f>
        <v>Corcelles-près-Payerne</v>
      </c>
      <c r="C255" s="266">
        <v>826572.85939032445</v>
      </c>
      <c r="D255" s="267">
        <v>-389953.25068415585</v>
      </c>
      <c r="E255" s="268">
        <v>0</v>
      </c>
      <c r="F255" s="267">
        <v>0</v>
      </c>
      <c r="G255" s="267">
        <v>0</v>
      </c>
      <c r="H255" s="269">
        <f t="shared" si="31"/>
        <v>436619.6087061686</v>
      </c>
      <c r="I255" s="353">
        <v>49311.525019841269</v>
      </c>
      <c r="J255" s="158">
        <f>'B) D RI'!U256</f>
        <v>51319.201507936508</v>
      </c>
      <c r="K255" s="115">
        <f t="shared" si="37"/>
        <v>8.8543116143840166</v>
      </c>
      <c r="L255" s="63">
        <f>'B) D RI'!S256</f>
        <v>72</v>
      </c>
      <c r="M255" s="63">
        <f t="shared" si="32"/>
        <v>63.145688385615983</v>
      </c>
      <c r="N255" s="223">
        <f>'J) Plafonnement effort'!G254+'J) Plafonnement effort'!H254-'K) Plafonnement aide'!I254</f>
        <v>4.4704974267584632</v>
      </c>
      <c r="O255" s="223">
        <f t="shared" si="33"/>
        <v>67.616185812374454</v>
      </c>
      <c r="P255" s="80">
        <f t="shared" si="34"/>
        <v>0</v>
      </c>
      <c r="Q255" s="98">
        <f t="shared" si="38"/>
        <v>0</v>
      </c>
      <c r="R255" s="258">
        <f t="shared" si="35"/>
        <v>67.616185812374454</v>
      </c>
      <c r="S255" s="223">
        <f t="shared" si="36"/>
        <v>-4.3838141876255463</v>
      </c>
      <c r="T255" s="257"/>
    </row>
    <row r="256" spans="1:20" x14ac:dyDescent="0.25">
      <c r="A256" s="82">
        <f>'A) Base RI'!A257</f>
        <v>5817</v>
      </c>
      <c r="B256" s="95" t="str">
        <f>'A) Base RI'!B257</f>
        <v>Grandcour</v>
      </c>
      <c r="C256" s="266">
        <v>286954.27614171209</v>
      </c>
      <c r="D256" s="267">
        <v>-66975.257727822638</v>
      </c>
      <c r="E256" s="268">
        <v>0</v>
      </c>
      <c r="F256" s="267">
        <v>0</v>
      </c>
      <c r="G256" s="267">
        <v>0</v>
      </c>
      <c r="H256" s="269">
        <f t="shared" si="31"/>
        <v>219979.01841388945</v>
      </c>
      <c r="I256" s="353">
        <v>20169.124503311257</v>
      </c>
      <c r="J256" s="158">
        <f>'B) D RI'!U257</f>
        <v>20100.413081761009</v>
      </c>
      <c r="K256" s="115">
        <f t="shared" si="37"/>
        <v>10.906721230154263</v>
      </c>
      <c r="L256" s="63">
        <f>'B) D RI'!S257</f>
        <v>79.5</v>
      </c>
      <c r="M256" s="63">
        <f t="shared" si="32"/>
        <v>68.593278769845739</v>
      </c>
      <c r="N256" s="223">
        <f>'J) Plafonnement effort'!G255+'J) Plafonnement effort'!H255-'K) Plafonnement aide'!I255</f>
        <v>3.1817467745692474</v>
      </c>
      <c r="O256" s="223">
        <f t="shared" si="33"/>
        <v>71.775025544414987</v>
      </c>
      <c r="P256" s="80">
        <f t="shared" si="34"/>
        <v>0</v>
      </c>
      <c r="Q256" s="98">
        <f t="shared" si="38"/>
        <v>0</v>
      </c>
      <c r="R256" s="258">
        <f t="shared" si="35"/>
        <v>71.775025544414987</v>
      </c>
      <c r="S256" s="223">
        <f t="shared" si="36"/>
        <v>-7.7249744555850128</v>
      </c>
      <c r="T256" s="257"/>
    </row>
    <row r="257" spans="1:20" x14ac:dyDescent="0.25">
      <c r="A257" s="82">
        <f>'A) Base RI'!A258</f>
        <v>5819</v>
      </c>
      <c r="B257" s="95" t="str">
        <f>'A) Base RI'!B258</f>
        <v>Henniez</v>
      </c>
      <c r="C257" s="266">
        <v>212276.94342716679</v>
      </c>
      <c r="D257" s="267">
        <v>235027.87607100001</v>
      </c>
      <c r="E257" s="268">
        <v>0</v>
      </c>
      <c r="F257" s="267">
        <v>0</v>
      </c>
      <c r="G257" s="267">
        <v>0</v>
      </c>
      <c r="H257" s="269">
        <f t="shared" si="31"/>
        <v>447304.81949816679</v>
      </c>
      <c r="I257" s="353">
        <v>14239.196000000002</v>
      </c>
      <c r="J257" s="158">
        <f>'B) D RI'!U258</f>
        <v>9884.2255223880602</v>
      </c>
      <c r="K257" s="115">
        <f t="shared" si="37"/>
        <v>31.413628936505035</v>
      </c>
      <c r="L257" s="63">
        <f>'B) D RI'!S258</f>
        <v>67</v>
      </c>
      <c r="M257" s="63">
        <f t="shared" si="32"/>
        <v>35.586371063494965</v>
      </c>
      <c r="N257" s="223">
        <f>'J) Plafonnement effort'!G256+'J) Plafonnement effort'!H256-'K) Plafonnement aide'!I256</f>
        <v>21.006180743869578</v>
      </c>
      <c r="O257" s="223">
        <f t="shared" si="33"/>
        <v>56.592551807364543</v>
      </c>
      <c r="P257" s="80">
        <f t="shared" si="34"/>
        <v>0</v>
      </c>
      <c r="Q257" s="98">
        <f t="shared" si="38"/>
        <v>0</v>
      </c>
      <c r="R257" s="258">
        <f t="shared" si="35"/>
        <v>56.592551807364543</v>
      </c>
      <c r="S257" s="223">
        <f t="shared" si="36"/>
        <v>-10.407448192635457</v>
      </c>
      <c r="T257" s="257"/>
    </row>
    <row r="258" spans="1:20" x14ac:dyDescent="0.25">
      <c r="A258" s="82">
        <f>'A) Base RI'!A259</f>
        <v>5821</v>
      </c>
      <c r="B258" s="95" t="str">
        <f>'A) Base RI'!B259</f>
        <v>Missy</v>
      </c>
      <c r="C258" s="266">
        <v>124710.5875619788</v>
      </c>
      <c r="D258" s="267">
        <v>-43036.732361805072</v>
      </c>
      <c r="E258" s="268">
        <v>0</v>
      </c>
      <c r="F258" s="267">
        <v>0</v>
      </c>
      <c r="G258" s="267">
        <v>0</v>
      </c>
      <c r="H258" s="269">
        <f t="shared" si="31"/>
        <v>81673.855200173726</v>
      </c>
      <c r="I258" s="353">
        <v>7115.1804166666661</v>
      </c>
      <c r="J258" s="158">
        <f>'B) D RI'!U259</f>
        <v>7497.2731944444431</v>
      </c>
      <c r="K258" s="115">
        <f t="shared" si="37"/>
        <v>11.478817179232745</v>
      </c>
      <c r="L258" s="63">
        <f>'B) D RI'!S259</f>
        <v>72</v>
      </c>
      <c r="M258" s="63">
        <f t="shared" si="32"/>
        <v>60.521182820767251</v>
      </c>
      <c r="N258" s="223">
        <f>'J) Plafonnement effort'!G257+'J) Plafonnement effort'!H257-'K) Plafonnement aide'!I257</f>
        <v>5.6267688239718368</v>
      </c>
      <c r="O258" s="223">
        <f t="shared" si="33"/>
        <v>66.147951644739095</v>
      </c>
      <c r="P258" s="80">
        <f t="shared" si="34"/>
        <v>0</v>
      </c>
      <c r="Q258" s="98">
        <f t="shared" si="38"/>
        <v>0</v>
      </c>
      <c r="R258" s="258">
        <f t="shared" si="35"/>
        <v>66.147951644739095</v>
      </c>
      <c r="S258" s="223">
        <f t="shared" si="36"/>
        <v>-5.8520483552609051</v>
      </c>
      <c r="T258" s="257"/>
    </row>
    <row r="259" spans="1:20" x14ac:dyDescent="0.25">
      <c r="A259" s="82">
        <f>'A) Base RI'!A260</f>
        <v>5822</v>
      </c>
      <c r="B259" s="95" t="str">
        <f>'A) Base RI'!B260</f>
        <v>Payerne</v>
      </c>
      <c r="C259" s="266">
        <v>3570559.5402099635</v>
      </c>
      <c r="D259" s="267">
        <v>-3868615.5528757237</v>
      </c>
      <c r="E259" s="268">
        <v>0</v>
      </c>
      <c r="F259" s="267">
        <v>0</v>
      </c>
      <c r="G259" s="267">
        <v>0</v>
      </c>
      <c r="H259" s="269">
        <f t="shared" si="31"/>
        <v>-298056.01266576024</v>
      </c>
      <c r="I259" s="353">
        <v>225898.62506849313</v>
      </c>
      <c r="J259" s="158">
        <f>'B) D RI'!U260</f>
        <v>232171.67534246575</v>
      </c>
      <c r="K259" s="115">
        <f t="shared" si="37"/>
        <v>-1.3194237573397747</v>
      </c>
      <c r="L259" s="63">
        <f>'B) D RI'!S260</f>
        <v>73</v>
      </c>
      <c r="M259" s="63">
        <f t="shared" si="32"/>
        <v>74.319423757339777</v>
      </c>
      <c r="N259" s="223">
        <f>'J) Plafonnement effort'!G258+'J) Plafonnement effort'!H258-'K) Plafonnement aide'!I258</f>
        <v>-1.4460800772257083</v>
      </c>
      <c r="O259" s="223">
        <f t="shared" si="33"/>
        <v>72.873343680114075</v>
      </c>
      <c r="P259" s="80">
        <f t="shared" si="34"/>
        <v>0</v>
      </c>
      <c r="Q259" s="98">
        <f t="shared" si="38"/>
        <v>0</v>
      </c>
      <c r="R259" s="258">
        <f t="shared" si="35"/>
        <v>72.873343680114075</v>
      </c>
      <c r="S259" s="223">
        <f t="shared" si="36"/>
        <v>-0.12665631988592452</v>
      </c>
      <c r="T259" s="257"/>
    </row>
    <row r="260" spans="1:20" x14ac:dyDescent="0.25">
      <c r="A260" s="82">
        <f>'A) Base RI'!A261</f>
        <v>5827</v>
      </c>
      <c r="B260" s="95" t="str">
        <f>'A) Base RI'!B261</f>
        <v>Trey</v>
      </c>
      <c r="C260" s="266">
        <v>102653.58146708687</v>
      </c>
      <c r="D260" s="267">
        <v>-46661.088149881805</v>
      </c>
      <c r="E260" s="268">
        <v>0</v>
      </c>
      <c r="F260" s="267">
        <v>0</v>
      </c>
      <c r="G260" s="267">
        <v>0</v>
      </c>
      <c r="H260" s="269">
        <f t="shared" si="31"/>
        <v>55992.493317205066</v>
      </c>
      <c r="I260" s="353">
        <v>6044.6848750000008</v>
      </c>
      <c r="J260" s="158">
        <f>'B) D RI'!U261</f>
        <v>6148.4623749999992</v>
      </c>
      <c r="K260" s="115">
        <f t="shared" si="37"/>
        <v>9.2630955087141835</v>
      </c>
      <c r="L260" s="63">
        <f>'B) D RI'!S261</f>
        <v>80</v>
      </c>
      <c r="M260" s="63">
        <f t="shared" si="32"/>
        <v>70.736904491285813</v>
      </c>
      <c r="N260" s="223">
        <f>'J) Plafonnement effort'!G259+'J) Plafonnement effort'!H259-'K) Plafonnement aide'!I259</f>
        <v>0.53311040202539939</v>
      </c>
      <c r="O260" s="223">
        <f t="shared" si="33"/>
        <v>71.270014893311213</v>
      </c>
      <c r="P260" s="80">
        <f t="shared" si="34"/>
        <v>0</v>
      </c>
      <c r="Q260" s="98">
        <f t="shared" si="38"/>
        <v>0</v>
      </c>
      <c r="R260" s="258">
        <f t="shared" si="35"/>
        <v>71.270014893311213</v>
      </c>
      <c r="S260" s="223">
        <f t="shared" si="36"/>
        <v>-8.7299851066887868</v>
      </c>
      <c r="T260" s="257"/>
    </row>
    <row r="261" spans="1:20" x14ac:dyDescent="0.25">
      <c r="A261" s="82">
        <f>'A) Base RI'!A262</f>
        <v>5828</v>
      </c>
      <c r="B261" s="95" t="str">
        <f>'A) Base RI'!B262</f>
        <v>Treytorrens</v>
      </c>
      <c r="C261" s="266">
        <v>49350.231247748459</v>
      </c>
      <c r="D261" s="267">
        <v>-58398.040439279808</v>
      </c>
      <c r="E261" s="268">
        <v>0</v>
      </c>
      <c r="F261" s="267">
        <v>0</v>
      </c>
      <c r="G261" s="267">
        <v>0</v>
      </c>
      <c r="H261" s="269">
        <f t="shared" si="31"/>
        <v>-9047.8091915313489</v>
      </c>
      <c r="I261" s="353">
        <v>2380.5239285714283</v>
      </c>
      <c r="J261" s="158">
        <f>'B) D RI'!U262</f>
        <v>2457.9002380952379</v>
      </c>
      <c r="K261" s="115">
        <f t="shared" si="37"/>
        <v>-3.8007638078903967</v>
      </c>
      <c r="L261" s="63">
        <f>'B) D RI'!S262</f>
        <v>84</v>
      </c>
      <c r="M261" s="63">
        <f t="shared" si="32"/>
        <v>87.800763807890391</v>
      </c>
      <c r="N261" s="223">
        <f>'J) Plafonnement effort'!G260+'J) Plafonnement effort'!H260-'K) Plafonnement aide'!I260</f>
        <v>-10.593645769176394</v>
      </c>
      <c r="O261" s="223">
        <f t="shared" si="33"/>
        <v>77.207118038714</v>
      </c>
      <c r="P261" s="80">
        <f t="shared" si="34"/>
        <v>0</v>
      </c>
      <c r="Q261" s="98">
        <f t="shared" si="38"/>
        <v>0</v>
      </c>
      <c r="R261" s="258">
        <f t="shared" si="35"/>
        <v>77.207118038714</v>
      </c>
      <c r="S261" s="223">
        <f t="shared" si="36"/>
        <v>-6.7928819612859996</v>
      </c>
      <c r="T261" s="257"/>
    </row>
    <row r="262" spans="1:20" x14ac:dyDescent="0.25">
      <c r="A262" s="82">
        <f>'A) Base RI'!A263</f>
        <v>5830</v>
      </c>
      <c r="B262" s="95" t="str">
        <f>'A) Base RI'!B263</f>
        <v>Villarzel</v>
      </c>
      <c r="C262" s="266">
        <v>134221.68803497287</v>
      </c>
      <c r="D262" s="267">
        <v>-86801.43370499133</v>
      </c>
      <c r="E262" s="268">
        <v>0</v>
      </c>
      <c r="F262" s="267">
        <v>0</v>
      </c>
      <c r="G262" s="267">
        <v>0</v>
      </c>
      <c r="H262" s="269">
        <f t="shared" si="31"/>
        <v>47420.254329981544</v>
      </c>
      <c r="I262" s="353">
        <v>9444.2076543209878</v>
      </c>
      <c r="J262" s="158">
        <f>'B) D RI'!U263</f>
        <v>9888.3237037037015</v>
      </c>
      <c r="K262" s="115">
        <f t="shared" si="37"/>
        <v>5.0210939938709904</v>
      </c>
      <c r="L262" s="63">
        <f>'B) D RI'!S263</f>
        <v>81</v>
      </c>
      <c r="M262" s="63">
        <f t="shared" si="32"/>
        <v>75.978906006129009</v>
      </c>
      <c r="N262" s="223">
        <f>'J) Plafonnement effort'!G261+'J) Plafonnement effort'!H261-'K) Plafonnement aide'!I261</f>
        <v>2.1405124245519005</v>
      </c>
      <c r="O262" s="223">
        <f t="shared" si="33"/>
        <v>78.119418430680909</v>
      </c>
      <c r="P262" s="80">
        <f t="shared" si="34"/>
        <v>0</v>
      </c>
      <c r="Q262" s="98">
        <f t="shared" si="38"/>
        <v>0</v>
      </c>
      <c r="R262" s="258">
        <f t="shared" si="35"/>
        <v>78.119418430680909</v>
      </c>
      <c r="S262" s="223">
        <f t="shared" si="36"/>
        <v>-2.8805815693190908</v>
      </c>
      <c r="T262" s="257"/>
    </row>
    <row r="263" spans="1:20" x14ac:dyDescent="0.25">
      <c r="A263" s="82">
        <f>'A) Base RI'!A264</f>
        <v>5831</v>
      </c>
      <c r="B263" s="95" t="str">
        <f>'A) Base RI'!B264</f>
        <v>Valbroye</v>
      </c>
      <c r="C263" s="266">
        <v>1199994.5441432877</v>
      </c>
      <c r="D263" s="267">
        <v>-487673.69326568581</v>
      </c>
      <c r="E263" s="268">
        <v>0</v>
      </c>
      <c r="F263" s="267">
        <v>0</v>
      </c>
      <c r="G263" s="267">
        <v>0</v>
      </c>
      <c r="H263" s="269">
        <f t="shared" ref="H263:H324" si="39">SUM(C263:G263)</f>
        <v>712320.85087760189</v>
      </c>
      <c r="I263" s="353">
        <v>75359.380977777764</v>
      </c>
      <c r="J263" s="158">
        <f>'B) D RI'!U264</f>
        <v>72189.06751111109</v>
      </c>
      <c r="K263" s="115">
        <f>H263/I263</f>
        <v>9.4523182334479827</v>
      </c>
      <c r="L263" s="63">
        <f>'B) D RI'!S264</f>
        <v>75</v>
      </c>
      <c r="M263" s="63">
        <f>L263-K263</f>
        <v>65.547681766552017</v>
      </c>
      <c r="N263" s="223">
        <f>'J) Plafonnement effort'!G262+'J) Plafonnement effort'!H262-'K) Plafonnement aide'!I262</f>
        <v>-0.55218172466541482</v>
      </c>
      <c r="O263" s="223">
        <f>M263+N263</f>
        <v>64.995500041886601</v>
      </c>
      <c r="P263" s="80">
        <f t="shared" si="34"/>
        <v>0</v>
      </c>
      <c r="Q263" s="98">
        <f>P263*J263</f>
        <v>0</v>
      </c>
      <c r="R263" s="258">
        <f>O263+P263</f>
        <v>64.995500041886601</v>
      </c>
      <c r="S263" s="223">
        <f>R263-L263</f>
        <v>-10.004499958113399</v>
      </c>
      <c r="T263" s="257"/>
    </row>
    <row r="264" spans="1:20" x14ac:dyDescent="0.25">
      <c r="A264" s="82">
        <f>'A) Base RI'!A265</f>
        <v>5841</v>
      </c>
      <c r="B264" s="95" t="str">
        <f>'A) Base RI'!B265</f>
        <v>Château-d'Oex</v>
      </c>
      <c r="C264" s="266">
        <v>1855868.8135567463</v>
      </c>
      <c r="D264" s="267">
        <v>-324235.55972612416</v>
      </c>
      <c r="E264" s="268">
        <v>0</v>
      </c>
      <c r="F264" s="267">
        <v>0</v>
      </c>
      <c r="G264" s="267">
        <v>0</v>
      </c>
      <c r="H264" s="269">
        <f t="shared" si="39"/>
        <v>1531633.2538306222</v>
      </c>
      <c r="I264" s="353">
        <v>101248.17903614459</v>
      </c>
      <c r="J264" s="158">
        <f>'B) D RI'!U265</f>
        <v>107402.16457831326</v>
      </c>
      <c r="K264" s="115">
        <f>H264/I264</f>
        <v>15.127514078883774</v>
      </c>
      <c r="L264" s="63">
        <f>'B) D RI'!S265</f>
        <v>83</v>
      </c>
      <c r="M264" s="63">
        <f>L264-K264</f>
        <v>67.872485921116223</v>
      </c>
      <c r="N264" s="223">
        <f>'J) Plafonnement effort'!G263+'J) Plafonnement effort'!H263-'K) Plafonnement aide'!I263</f>
        <v>3.0798506282778639</v>
      </c>
      <c r="O264" s="223">
        <f>M264+N264</f>
        <v>70.95233654939409</v>
      </c>
      <c r="P264" s="80">
        <f t="shared" si="34"/>
        <v>0</v>
      </c>
      <c r="Q264" s="98">
        <f>P264*J264</f>
        <v>0</v>
      </c>
      <c r="R264" s="258">
        <f>O264+P264</f>
        <v>70.95233654939409</v>
      </c>
      <c r="S264" s="223">
        <f>R264-L264</f>
        <v>-12.04766345060591</v>
      </c>
      <c r="T264" s="257"/>
    </row>
    <row r="265" spans="1:20" x14ac:dyDescent="0.25">
      <c r="A265" s="82">
        <f>'A) Base RI'!A266</f>
        <v>5842</v>
      </c>
      <c r="B265" s="95" t="str">
        <f>'A) Base RI'!B266</f>
        <v>Rossinière</v>
      </c>
      <c r="C265" s="266">
        <v>221489.31427117303</v>
      </c>
      <c r="D265" s="267">
        <v>-117314.02240875794</v>
      </c>
      <c r="E265" s="268">
        <v>0</v>
      </c>
      <c r="F265" s="267">
        <v>0</v>
      </c>
      <c r="G265" s="267">
        <v>0</v>
      </c>
      <c r="H265" s="269">
        <f t="shared" si="39"/>
        <v>104175.29186241509</v>
      </c>
      <c r="I265" s="353">
        <v>12565.918847736626</v>
      </c>
      <c r="J265" s="158">
        <f>'B) D RI'!U266</f>
        <v>14557.548271604937</v>
      </c>
      <c r="K265" s="115">
        <f t="shared" si="37"/>
        <v>8.290304364107774</v>
      </c>
      <c r="L265" s="63">
        <f>'B) D RI'!S266</f>
        <v>81</v>
      </c>
      <c r="M265" s="63">
        <f t="shared" si="32"/>
        <v>72.709695635892231</v>
      </c>
      <c r="N265" s="223">
        <f>'J) Plafonnement effort'!G264+'J) Plafonnement effort'!H264-'K) Plafonnement aide'!I264</f>
        <v>-3.0653257560329088</v>
      </c>
      <c r="O265" s="223">
        <f t="shared" si="33"/>
        <v>69.644369879859326</v>
      </c>
      <c r="P265" s="80">
        <f t="shared" si="34"/>
        <v>0</v>
      </c>
      <c r="Q265" s="98">
        <f t="shared" si="38"/>
        <v>0</v>
      </c>
      <c r="R265" s="258">
        <f t="shared" si="35"/>
        <v>69.644369879859326</v>
      </c>
      <c r="S265" s="223">
        <f t="shared" si="36"/>
        <v>-11.355630120140674</v>
      </c>
      <c r="T265" s="257"/>
    </row>
    <row r="266" spans="1:20" x14ac:dyDescent="0.25">
      <c r="A266" s="82">
        <f>'A) Base RI'!A267</f>
        <v>5843</v>
      </c>
      <c r="B266" s="95" t="str">
        <f>'A) Base RI'!B267</f>
        <v>Rougemont</v>
      </c>
      <c r="C266" s="266">
        <v>3406381.2558964947</v>
      </c>
      <c r="D266" s="267">
        <v>1289035.0135524999</v>
      </c>
      <c r="E266" s="268">
        <v>0</v>
      </c>
      <c r="F266" s="267">
        <v>0</v>
      </c>
      <c r="G266" s="267">
        <v>0</v>
      </c>
      <c r="H266" s="269">
        <f t="shared" si="39"/>
        <v>4695416.2694489947</v>
      </c>
      <c r="I266" s="353">
        <v>75136.1139634305</v>
      </c>
      <c r="J266" s="158">
        <f>'B) D RI'!U267</f>
        <v>80469.50922705316</v>
      </c>
      <c r="K266" s="115">
        <f t="shared" si="37"/>
        <v>62.492136228050079</v>
      </c>
      <c r="L266" s="63">
        <f>'B) D RI'!S267</f>
        <v>69</v>
      </c>
      <c r="M266" s="63">
        <f t="shared" si="32"/>
        <v>6.5078637719499213</v>
      </c>
      <c r="N266" s="223">
        <f>'J) Plafonnement effort'!G265+'J) Plafonnement effort'!H265-'K) Plafonnement aide'!I265</f>
        <v>37.47880688055011</v>
      </c>
      <c r="O266" s="223">
        <f t="shared" si="33"/>
        <v>43.986670652500031</v>
      </c>
      <c r="P266" s="80">
        <f t="shared" si="34"/>
        <v>0</v>
      </c>
      <c r="Q266" s="98">
        <f t="shared" si="38"/>
        <v>0</v>
      </c>
      <c r="R266" s="258">
        <f t="shared" si="35"/>
        <v>43.986670652500031</v>
      </c>
      <c r="S266" s="223">
        <f t="shared" si="36"/>
        <v>-25.013329347499969</v>
      </c>
      <c r="T266" s="257"/>
    </row>
    <row r="267" spans="1:20" x14ac:dyDescent="0.25">
      <c r="A267" s="82">
        <f>'A) Base RI'!A268</f>
        <v>5851</v>
      </c>
      <c r="B267" s="95" t="str">
        <f>'A) Base RI'!B268</f>
        <v>Allaman</v>
      </c>
      <c r="C267" s="266">
        <v>410206.2137709278</v>
      </c>
      <c r="D267" s="267">
        <v>396188.3602155</v>
      </c>
      <c r="E267" s="268">
        <v>0</v>
      </c>
      <c r="F267" s="267">
        <v>0</v>
      </c>
      <c r="G267" s="267">
        <v>0</v>
      </c>
      <c r="H267" s="269">
        <f t="shared" si="39"/>
        <v>806394.57398642786</v>
      </c>
      <c r="I267" s="353">
        <v>23810.425282558594</v>
      </c>
      <c r="J267" s="158">
        <f>'B) D RI'!U268</f>
        <v>24671.087704918031</v>
      </c>
      <c r="K267" s="115">
        <f t="shared" si="37"/>
        <v>33.867289828591218</v>
      </c>
      <c r="L267" s="63">
        <f>'B) D RI'!S268</f>
        <v>61</v>
      </c>
      <c r="M267" s="63">
        <f t="shared" si="32"/>
        <v>27.132710171408782</v>
      </c>
      <c r="N267" s="223">
        <f>'J) Plafonnement effort'!G266+'J) Plafonnement effort'!H266-'K) Plafonnement aide'!I266</f>
        <v>48.651861693408691</v>
      </c>
      <c r="O267" s="223">
        <f t="shared" si="33"/>
        <v>75.78457186481748</v>
      </c>
      <c r="P267" s="80">
        <f t="shared" si="34"/>
        <v>0</v>
      </c>
      <c r="Q267" s="98">
        <f t="shared" si="38"/>
        <v>0</v>
      </c>
      <c r="R267" s="258">
        <f t="shared" si="35"/>
        <v>75.78457186481748</v>
      </c>
      <c r="S267" s="223">
        <f t="shared" si="36"/>
        <v>14.78457186481748</v>
      </c>
      <c r="T267" s="257"/>
    </row>
    <row r="268" spans="1:20" x14ac:dyDescent="0.25">
      <c r="A268" s="82">
        <f>'A) Base RI'!A269</f>
        <v>5852</v>
      </c>
      <c r="B268" s="95" t="str">
        <f>'A) Base RI'!B269</f>
        <v>Bursinel</v>
      </c>
      <c r="C268" s="266">
        <v>852980.533163524</v>
      </c>
      <c r="D268" s="267">
        <v>569031.59405399999</v>
      </c>
      <c r="E268" s="268">
        <v>0</v>
      </c>
      <c r="F268" s="267">
        <v>0</v>
      </c>
      <c r="G268" s="267">
        <v>0</v>
      </c>
      <c r="H268" s="269">
        <f t="shared" si="39"/>
        <v>1422012.127217524</v>
      </c>
      <c r="I268" s="353">
        <v>33603.937361423006</v>
      </c>
      <c r="J268" s="158">
        <f>'B) D RI'!U269</f>
        <v>29914.872845528454</v>
      </c>
      <c r="K268" s="115">
        <f t="shared" si="37"/>
        <v>42.316830671455186</v>
      </c>
      <c r="L268" s="63">
        <f>'B) D RI'!S269</f>
        <v>61.5</v>
      </c>
      <c r="M268" s="63">
        <f t="shared" si="32"/>
        <v>19.183169328544814</v>
      </c>
      <c r="N268" s="223">
        <f>'J) Plafonnement effort'!G267+'J) Plafonnement effort'!H267-'K) Plafonnement aide'!I267</f>
        <v>34.475348035067455</v>
      </c>
      <c r="O268" s="223">
        <f t="shared" si="33"/>
        <v>53.658517363612269</v>
      </c>
      <c r="P268" s="80">
        <f t="shared" si="34"/>
        <v>0</v>
      </c>
      <c r="Q268" s="98">
        <f t="shared" si="38"/>
        <v>0</v>
      </c>
      <c r="R268" s="258">
        <f t="shared" si="35"/>
        <v>53.658517363612269</v>
      </c>
      <c r="S268" s="223">
        <f t="shared" si="36"/>
        <v>-7.841482636387731</v>
      </c>
      <c r="T268" s="257"/>
    </row>
    <row r="269" spans="1:20" x14ac:dyDescent="0.25">
      <c r="A269" s="82">
        <f>'A) Base RI'!A270</f>
        <v>5853</v>
      </c>
      <c r="B269" s="95" t="str">
        <f>'A) Base RI'!B270</f>
        <v>Bursins</v>
      </c>
      <c r="C269" s="266">
        <v>576880.38661403686</v>
      </c>
      <c r="D269" s="267">
        <v>591541.53599500004</v>
      </c>
      <c r="E269" s="268">
        <v>0</v>
      </c>
      <c r="F269" s="267">
        <v>0</v>
      </c>
      <c r="G269" s="267">
        <v>0</v>
      </c>
      <c r="H269" s="269">
        <f t="shared" si="39"/>
        <v>1168421.9226090368</v>
      </c>
      <c r="I269" s="353">
        <v>36385.521830985919</v>
      </c>
      <c r="J269" s="158">
        <f>'B) D RI'!U270</f>
        <v>35670.275774647889</v>
      </c>
      <c r="K269" s="115">
        <f t="shared" si="37"/>
        <v>32.112276087078364</v>
      </c>
      <c r="L269" s="63">
        <f>'B) D RI'!S270</f>
        <v>71</v>
      </c>
      <c r="M269" s="63">
        <f t="shared" si="32"/>
        <v>38.887723912921636</v>
      </c>
      <c r="N269" s="223">
        <f>'J) Plafonnement effort'!G268+'J) Plafonnement effort'!H268-'K) Plafonnement aide'!I268</f>
        <v>34.176878119358051</v>
      </c>
      <c r="O269" s="223">
        <f t="shared" si="33"/>
        <v>73.06460203227968</v>
      </c>
      <c r="P269" s="80">
        <f t="shared" si="34"/>
        <v>0</v>
      </c>
      <c r="Q269" s="98">
        <f t="shared" si="38"/>
        <v>0</v>
      </c>
      <c r="R269" s="258">
        <f t="shared" si="35"/>
        <v>73.06460203227968</v>
      </c>
      <c r="S269" s="223">
        <f t="shared" si="36"/>
        <v>2.0646020322796801</v>
      </c>
      <c r="T269" s="257"/>
    </row>
    <row r="270" spans="1:20" x14ac:dyDescent="0.25">
      <c r="A270" s="82">
        <f>'A) Base RI'!A271</f>
        <v>5854</v>
      </c>
      <c r="B270" s="95" t="str">
        <f>'A) Base RI'!B271</f>
        <v>Burtigny</v>
      </c>
      <c r="C270" s="266">
        <v>174997.16339460859</v>
      </c>
      <c r="D270" s="267">
        <v>54102.836214787851</v>
      </c>
      <c r="E270" s="268">
        <v>0</v>
      </c>
      <c r="F270" s="267">
        <v>0</v>
      </c>
      <c r="G270" s="267">
        <v>0</v>
      </c>
      <c r="H270" s="269">
        <f t="shared" si="39"/>
        <v>229099.99960939644</v>
      </c>
      <c r="I270" s="353">
        <v>10891.283815789473</v>
      </c>
      <c r="J270" s="158">
        <f>'B) D RI'!U271</f>
        <v>10927.480438596491</v>
      </c>
      <c r="K270" s="115">
        <f t="shared" si="37"/>
        <v>21.035169359672935</v>
      </c>
      <c r="L270" s="63">
        <f>'B) D RI'!S271</f>
        <v>76</v>
      </c>
      <c r="M270" s="63">
        <f t="shared" ref="M270:M299" si="40">L270-K270</f>
        <v>54.964830640327065</v>
      </c>
      <c r="N270" s="223">
        <f>'J) Plafonnement effort'!G269+'J) Plafonnement effort'!H269-'K) Plafonnement aide'!I269</f>
        <v>0.44117573175674707</v>
      </c>
      <c r="O270" s="223">
        <f t="shared" ref="O270:O323" si="41">M270+N270</f>
        <v>55.406006372083809</v>
      </c>
      <c r="P270" s="80">
        <f t="shared" ref="P270:P323" si="42">IF(O270&gt;$P$5,$P$5-O270,0)</f>
        <v>0</v>
      </c>
      <c r="Q270" s="98">
        <f t="shared" si="38"/>
        <v>0</v>
      </c>
      <c r="R270" s="258">
        <f t="shared" ref="R270:R323" si="43">O270+P270</f>
        <v>55.406006372083809</v>
      </c>
      <c r="S270" s="223">
        <f t="shared" ref="S270:S323" si="44">R270-L270</f>
        <v>-20.593993627916191</v>
      </c>
      <c r="T270" s="257"/>
    </row>
    <row r="271" spans="1:20" x14ac:dyDescent="0.25">
      <c r="A271" s="82">
        <f>'A) Base RI'!A272</f>
        <v>5855</v>
      </c>
      <c r="B271" s="95" t="str">
        <f>'A) Base RI'!B272</f>
        <v>Dully</v>
      </c>
      <c r="C271" s="266">
        <v>2014181.8855180044</v>
      </c>
      <c r="D271" s="267">
        <v>944343.84106649994</v>
      </c>
      <c r="E271" s="268">
        <v>0</v>
      </c>
      <c r="F271" s="267">
        <v>0</v>
      </c>
      <c r="G271" s="267">
        <v>0</v>
      </c>
      <c r="H271" s="269">
        <f t="shared" si="39"/>
        <v>2958525.7265845044</v>
      </c>
      <c r="I271" s="353">
        <v>54438.661346610017</v>
      </c>
      <c r="J271" s="158">
        <f>'B) D RI'!U272</f>
        <v>80286.552448979593</v>
      </c>
      <c r="K271" s="115">
        <f t="shared" si="37"/>
        <v>54.346041092884747</v>
      </c>
      <c r="L271" s="63">
        <f>'B) D RI'!S272</f>
        <v>49</v>
      </c>
      <c r="M271" s="63">
        <f t="shared" si="40"/>
        <v>-5.3460410928847466</v>
      </c>
      <c r="N271" s="223">
        <f>'J) Plafonnement effort'!G270+'J) Plafonnement effort'!H270-'K) Plafonnement aide'!I270</f>
        <v>45.955315300789636</v>
      </c>
      <c r="O271" s="223">
        <f t="shared" si="41"/>
        <v>40.609274207904889</v>
      </c>
      <c r="P271" s="80">
        <f t="shared" si="42"/>
        <v>0</v>
      </c>
      <c r="Q271" s="98">
        <f t="shared" si="38"/>
        <v>0</v>
      </c>
      <c r="R271" s="258">
        <f t="shared" si="43"/>
        <v>40.609274207904889</v>
      </c>
      <c r="S271" s="223">
        <f t="shared" si="44"/>
        <v>-8.390725792095111</v>
      </c>
      <c r="T271" s="257"/>
    </row>
    <row r="272" spans="1:20" x14ac:dyDescent="0.25">
      <c r="A272" s="82">
        <f>'A) Base RI'!A273</f>
        <v>5856</v>
      </c>
      <c r="B272" s="95" t="str">
        <f>'A) Base RI'!B273</f>
        <v>Essertines-sur-Rolle</v>
      </c>
      <c r="C272" s="266">
        <v>375769.76948072371</v>
      </c>
      <c r="D272" s="267">
        <v>372799.29473043431</v>
      </c>
      <c r="E272" s="268">
        <v>0</v>
      </c>
      <c r="F272" s="267">
        <v>0</v>
      </c>
      <c r="G272" s="267">
        <v>0</v>
      </c>
      <c r="H272" s="269">
        <f t="shared" si="39"/>
        <v>748569.06421115808</v>
      </c>
      <c r="I272" s="353">
        <v>26875.628495475117</v>
      </c>
      <c r="J272" s="158">
        <f>'B) D RI'!U273</f>
        <v>37372.082975113124</v>
      </c>
      <c r="K272" s="115">
        <f t="shared" si="37"/>
        <v>27.853081253046419</v>
      </c>
      <c r="L272" s="63">
        <f>'B) D RI'!S273</f>
        <v>68</v>
      </c>
      <c r="M272" s="63">
        <f t="shared" si="40"/>
        <v>40.146918746953581</v>
      </c>
      <c r="N272" s="223">
        <f>'J) Plafonnement effort'!G271+'J) Plafonnement effort'!H271-'K) Plafonnement aide'!I271</f>
        <v>32.811336927749004</v>
      </c>
      <c r="O272" s="223">
        <f t="shared" si="41"/>
        <v>72.958255674702585</v>
      </c>
      <c r="P272" s="80">
        <f t="shared" si="42"/>
        <v>0</v>
      </c>
      <c r="Q272" s="98">
        <f t="shared" si="38"/>
        <v>0</v>
      </c>
      <c r="R272" s="258">
        <f t="shared" si="43"/>
        <v>72.958255674702585</v>
      </c>
      <c r="S272" s="223">
        <f t="shared" si="44"/>
        <v>4.9582556747025848</v>
      </c>
      <c r="T272" s="257"/>
    </row>
    <row r="273" spans="1:20" x14ac:dyDescent="0.25">
      <c r="A273" s="82">
        <f>'A) Base RI'!A274</f>
        <v>5857</v>
      </c>
      <c r="B273" s="95" t="str">
        <f>'A) Base RI'!B274</f>
        <v>Gilly</v>
      </c>
      <c r="C273" s="266">
        <v>1055364.1591796372</v>
      </c>
      <c r="D273" s="267">
        <v>922709.57015399996</v>
      </c>
      <c r="E273" s="268">
        <v>0</v>
      </c>
      <c r="F273" s="267">
        <v>0</v>
      </c>
      <c r="G273" s="267">
        <v>0</v>
      </c>
      <c r="H273" s="269">
        <f t="shared" si="39"/>
        <v>1978073.7293336373</v>
      </c>
      <c r="I273" s="353">
        <v>56118.405454545449</v>
      </c>
      <c r="J273" s="158">
        <f>'B) D RI'!U274</f>
        <v>64256.086818181808</v>
      </c>
      <c r="K273" s="115">
        <f t="shared" si="37"/>
        <v>35.248216931891072</v>
      </c>
      <c r="L273" s="63">
        <f>'B) D RI'!S274</f>
        <v>66</v>
      </c>
      <c r="M273" s="63">
        <f t="shared" si="40"/>
        <v>30.751783068108928</v>
      </c>
      <c r="N273" s="223">
        <f>'J) Plafonnement effort'!G272+'J) Plafonnement effort'!H272-'K) Plafonnement aide'!I272</f>
        <v>38.594173536390983</v>
      </c>
      <c r="O273" s="223">
        <f t="shared" si="41"/>
        <v>69.345956604499918</v>
      </c>
      <c r="P273" s="80">
        <f t="shared" si="42"/>
        <v>0</v>
      </c>
      <c r="Q273" s="98">
        <f t="shared" si="38"/>
        <v>0</v>
      </c>
      <c r="R273" s="258">
        <f t="shared" si="43"/>
        <v>69.345956604499918</v>
      </c>
      <c r="S273" s="223">
        <f t="shared" si="44"/>
        <v>3.3459566044999178</v>
      </c>
      <c r="T273" s="257"/>
    </row>
    <row r="274" spans="1:20" x14ac:dyDescent="0.25">
      <c r="A274" s="82">
        <f>'A) Base RI'!A275</f>
        <v>5858</v>
      </c>
      <c r="B274" s="95" t="str">
        <f>'A) Base RI'!B275</f>
        <v>Luins</v>
      </c>
      <c r="C274" s="266">
        <v>606061.94981040491</v>
      </c>
      <c r="D274" s="267">
        <v>574152.96292600001</v>
      </c>
      <c r="E274" s="268">
        <v>0</v>
      </c>
      <c r="F274" s="267">
        <v>0</v>
      </c>
      <c r="G274" s="267">
        <v>0</v>
      </c>
      <c r="H274" s="269">
        <f t="shared" si="39"/>
        <v>1180214.9127364049</v>
      </c>
      <c r="I274" s="353">
        <v>34492.178791224869</v>
      </c>
      <c r="J274" s="158">
        <f>'B) D RI'!U275</f>
        <v>35566.654611111124</v>
      </c>
      <c r="K274" s="115">
        <f t="shared" ref="K274:K324" si="45">H274/I274</f>
        <v>34.216884931509824</v>
      </c>
      <c r="L274" s="63">
        <f>'B) D RI'!S275</f>
        <v>60</v>
      </c>
      <c r="M274" s="63">
        <f t="shared" si="40"/>
        <v>25.783115068490176</v>
      </c>
      <c r="N274" s="223">
        <f>'J) Plafonnement effort'!G273+'J) Plafonnement effort'!H273-'K) Plafonnement aide'!I273</f>
        <v>34.232421226410196</v>
      </c>
      <c r="O274" s="223">
        <f t="shared" si="41"/>
        <v>60.015536294900372</v>
      </c>
      <c r="P274" s="80">
        <f t="shared" si="42"/>
        <v>0</v>
      </c>
      <c r="Q274" s="98">
        <f t="shared" si="38"/>
        <v>0</v>
      </c>
      <c r="R274" s="258">
        <f t="shared" si="43"/>
        <v>60.015536294900372</v>
      </c>
      <c r="S274" s="223">
        <f t="shared" si="44"/>
        <v>1.5536294900371672E-2</v>
      </c>
      <c r="T274" s="257"/>
    </row>
    <row r="275" spans="1:20" x14ac:dyDescent="0.25">
      <c r="A275" s="82">
        <f>'A) Base RI'!A276</f>
        <v>5859</v>
      </c>
      <c r="B275" s="95" t="str">
        <f>'A) Base RI'!B276</f>
        <v>Mont-sur-Rolle</v>
      </c>
      <c r="C275" s="266">
        <v>2345724.2198094823</v>
      </c>
      <c r="D275" s="267">
        <v>1946877.2644827501</v>
      </c>
      <c r="E275" s="268">
        <v>0</v>
      </c>
      <c r="F275" s="267">
        <v>0</v>
      </c>
      <c r="G275" s="267">
        <v>0</v>
      </c>
      <c r="H275" s="269">
        <f t="shared" si="39"/>
        <v>4292601.4842922324</v>
      </c>
      <c r="I275" s="353">
        <v>141098.36884577738</v>
      </c>
      <c r="J275" s="158">
        <f>'B) D RI'!U276</f>
        <v>135944.39825396828</v>
      </c>
      <c r="K275" s="115">
        <f t="shared" si="45"/>
        <v>30.422757678964452</v>
      </c>
      <c r="L275" s="63">
        <f>'B) D RI'!S276</f>
        <v>63</v>
      </c>
      <c r="M275" s="63">
        <f t="shared" si="40"/>
        <v>32.577242321035548</v>
      </c>
      <c r="N275" s="223">
        <f>'J) Plafonnement effort'!G274+'J) Plafonnement effort'!H274-'K) Plafonnement aide'!I274</f>
        <v>31.499413772434146</v>
      </c>
      <c r="O275" s="223">
        <f t="shared" si="41"/>
        <v>64.076656093469694</v>
      </c>
      <c r="P275" s="80">
        <f t="shared" si="42"/>
        <v>0</v>
      </c>
      <c r="Q275" s="98">
        <f t="shared" ref="Q275:Q323" si="46">P275*J275</f>
        <v>0</v>
      </c>
      <c r="R275" s="258">
        <f t="shared" si="43"/>
        <v>64.076656093469694</v>
      </c>
      <c r="S275" s="223">
        <f t="shared" si="44"/>
        <v>1.076656093469694</v>
      </c>
      <c r="T275" s="257"/>
    </row>
    <row r="276" spans="1:20" x14ac:dyDescent="0.25">
      <c r="A276" s="82">
        <f>'A) Base RI'!A277</f>
        <v>5860</v>
      </c>
      <c r="B276" s="95" t="str">
        <f>'A) Base RI'!B277</f>
        <v>Perroy</v>
      </c>
      <c r="C276" s="266">
        <v>1331053.269954579</v>
      </c>
      <c r="D276" s="267">
        <v>1252976.8006547499</v>
      </c>
      <c r="E276" s="268">
        <v>0</v>
      </c>
      <c r="F276" s="267">
        <v>0</v>
      </c>
      <c r="G276" s="267">
        <v>0</v>
      </c>
      <c r="H276" s="269">
        <f t="shared" si="39"/>
        <v>2584030.0706093288</v>
      </c>
      <c r="I276" s="353">
        <v>81084.098257913734</v>
      </c>
      <c r="J276" s="158">
        <f>'B) D RI'!U277</f>
        <v>70993.86</v>
      </c>
      <c r="K276" s="115">
        <f t="shared" si="45"/>
        <v>31.868518317734758</v>
      </c>
      <c r="L276" s="63">
        <f>'B) D RI'!S277</f>
        <v>58</v>
      </c>
      <c r="M276" s="63">
        <f t="shared" si="40"/>
        <v>26.131481682265242</v>
      </c>
      <c r="N276" s="223">
        <f>'J) Plafonnement effort'!G275+'J) Plafonnement effort'!H275-'K) Plafonnement aide'!I275</f>
        <v>32.662588590315266</v>
      </c>
      <c r="O276" s="223">
        <f t="shared" si="41"/>
        <v>58.794070272580512</v>
      </c>
      <c r="P276" s="80">
        <f t="shared" si="42"/>
        <v>0</v>
      </c>
      <c r="Q276" s="98">
        <f t="shared" si="46"/>
        <v>0</v>
      </c>
      <c r="R276" s="258">
        <f t="shared" si="43"/>
        <v>58.794070272580512</v>
      </c>
      <c r="S276" s="223">
        <f t="shared" si="44"/>
        <v>0.79407027258051244</v>
      </c>
      <c r="T276" s="257"/>
    </row>
    <row r="277" spans="1:20" x14ac:dyDescent="0.25">
      <c r="A277" s="82">
        <f>'A) Base RI'!A278</f>
        <v>5861</v>
      </c>
      <c r="B277" s="95" t="str">
        <f>'A) Base RI'!B278</f>
        <v>Rolle</v>
      </c>
      <c r="C277" s="266">
        <v>7280218.8430664185</v>
      </c>
      <c r="D277" s="267">
        <v>4230777.9888559999</v>
      </c>
      <c r="E277" s="268">
        <v>0</v>
      </c>
      <c r="F277" s="267">
        <v>0</v>
      </c>
      <c r="G277" s="267">
        <v>0</v>
      </c>
      <c r="H277" s="269">
        <f t="shared" si="39"/>
        <v>11510996.831922419</v>
      </c>
      <c r="I277" s="353">
        <v>357482.86079851357</v>
      </c>
      <c r="J277" s="158">
        <f>'B) D RI'!U278</f>
        <v>356530.16436974786</v>
      </c>
      <c r="K277" s="115">
        <f t="shared" si="45"/>
        <v>32.200136270058302</v>
      </c>
      <c r="L277" s="63">
        <f>'B) D RI'!S278</f>
        <v>59.5</v>
      </c>
      <c r="M277" s="63">
        <f t="shared" si="40"/>
        <v>27.299863729941698</v>
      </c>
      <c r="N277" s="223">
        <f>'J) Plafonnement effort'!G276+'J) Plafonnement effort'!H276-'K) Plafonnement aide'!I276</f>
        <v>30.328743023202644</v>
      </c>
      <c r="O277" s="223">
        <f t="shared" si="41"/>
        <v>57.628606753144339</v>
      </c>
      <c r="P277" s="80">
        <f t="shared" si="42"/>
        <v>0</v>
      </c>
      <c r="Q277" s="98">
        <f t="shared" si="46"/>
        <v>0</v>
      </c>
      <c r="R277" s="258">
        <f t="shared" si="43"/>
        <v>57.628606753144339</v>
      </c>
      <c r="S277" s="223">
        <f t="shared" si="44"/>
        <v>-1.8713932468556607</v>
      </c>
      <c r="T277" s="257"/>
    </row>
    <row r="278" spans="1:20" x14ac:dyDescent="0.25">
      <c r="A278" s="82">
        <f>'A) Base RI'!A279</f>
        <v>5862</v>
      </c>
      <c r="B278" s="95" t="str">
        <f>'A) Base RI'!B279</f>
        <v>Tartegnin</v>
      </c>
      <c r="C278" s="266">
        <v>152235.56581578648</v>
      </c>
      <c r="D278" s="267">
        <v>75699.471747173287</v>
      </c>
      <c r="E278" s="268">
        <v>0</v>
      </c>
      <c r="F278" s="267">
        <v>0</v>
      </c>
      <c r="G278" s="267">
        <v>0</v>
      </c>
      <c r="H278" s="269">
        <f t="shared" si="39"/>
        <v>227935.03756295977</v>
      </c>
      <c r="I278" s="353">
        <v>7989.3944017094027</v>
      </c>
      <c r="J278" s="158">
        <f>'B) D RI'!U279</f>
        <v>7735.2980158730161</v>
      </c>
      <c r="K278" s="115">
        <f t="shared" si="45"/>
        <v>28.529701514571745</v>
      </c>
      <c r="L278" s="63">
        <f>'B) D RI'!S279</f>
        <v>84</v>
      </c>
      <c r="M278" s="63">
        <f t="shared" si="40"/>
        <v>55.470298485428259</v>
      </c>
      <c r="N278" s="223">
        <f>'J) Plafonnement effort'!G277+'J) Plafonnement effort'!H277-'K) Plafonnement aide'!I277</f>
        <v>27.699579370345184</v>
      </c>
      <c r="O278" s="223">
        <f t="shared" si="41"/>
        <v>83.16987785577345</v>
      </c>
      <c r="P278" s="80">
        <f t="shared" si="42"/>
        <v>0</v>
      </c>
      <c r="Q278" s="98">
        <f t="shared" si="46"/>
        <v>0</v>
      </c>
      <c r="R278" s="258">
        <f t="shared" si="43"/>
        <v>83.16987785577345</v>
      </c>
      <c r="S278" s="223">
        <f t="shared" si="44"/>
        <v>-0.83012214422655006</v>
      </c>
      <c r="T278" s="257"/>
    </row>
    <row r="279" spans="1:20" x14ac:dyDescent="0.25">
      <c r="A279" s="82">
        <f>'A) Base RI'!A280</f>
        <v>5863</v>
      </c>
      <c r="B279" s="95" t="str">
        <f>'A) Base RI'!B280</f>
        <v>Vinzel</v>
      </c>
      <c r="C279" s="266">
        <v>414749.04773810774</v>
      </c>
      <c r="D279" s="267">
        <v>367459.1494315</v>
      </c>
      <c r="E279" s="268">
        <v>0</v>
      </c>
      <c r="F279" s="267">
        <v>0</v>
      </c>
      <c r="G279" s="267">
        <v>0</v>
      </c>
      <c r="H279" s="269">
        <f t="shared" si="39"/>
        <v>782208.19716960774</v>
      </c>
      <c r="I279" s="353">
        <v>21898.517468377391</v>
      </c>
      <c r="J279" s="158">
        <f>'B) D RI'!U280</f>
        <v>21110.455753424656</v>
      </c>
      <c r="K279" s="115">
        <f t="shared" si="45"/>
        <v>35.719687339526864</v>
      </c>
      <c r="L279" s="63">
        <f>'B) D RI'!S280</f>
        <v>73</v>
      </c>
      <c r="M279" s="63">
        <f t="shared" si="40"/>
        <v>37.280312660473136</v>
      </c>
      <c r="N279" s="223">
        <f>'J) Plafonnement effort'!G278+'J) Plafonnement effort'!H278-'K) Plafonnement aide'!I278</f>
        <v>33.515682945889893</v>
      </c>
      <c r="O279" s="223">
        <f t="shared" si="41"/>
        <v>70.795995606363022</v>
      </c>
      <c r="P279" s="80">
        <f t="shared" si="42"/>
        <v>0</v>
      </c>
      <c r="Q279" s="98">
        <f t="shared" si="46"/>
        <v>0</v>
      </c>
      <c r="R279" s="258">
        <f t="shared" si="43"/>
        <v>70.795995606363022</v>
      </c>
      <c r="S279" s="223">
        <f t="shared" si="44"/>
        <v>-2.2040043936369784</v>
      </c>
      <c r="T279" s="257"/>
    </row>
    <row r="280" spans="1:20" x14ac:dyDescent="0.25">
      <c r="A280" s="82">
        <f>'A) Base RI'!A281</f>
        <v>5871</v>
      </c>
      <c r="B280" s="95" t="str">
        <f>'A) Base RI'!B281</f>
        <v>L'Abbaye</v>
      </c>
      <c r="C280" s="266">
        <v>1070831.4445155435</v>
      </c>
      <c r="D280" s="267">
        <v>703593.29901659116</v>
      </c>
      <c r="E280" s="268">
        <v>0</v>
      </c>
      <c r="F280" s="267">
        <v>0</v>
      </c>
      <c r="G280" s="267">
        <v>0</v>
      </c>
      <c r="H280" s="269">
        <f t="shared" si="39"/>
        <v>1774424.7435321347</v>
      </c>
      <c r="I280" s="353">
        <v>55552.126289554733</v>
      </c>
      <c r="J280" s="158">
        <f>'B) D RI'!U281</f>
        <v>60910.131722525337</v>
      </c>
      <c r="K280" s="115">
        <f t="shared" si="45"/>
        <v>31.941617037002118</v>
      </c>
      <c r="L280" s="63">
        <f>'B) D RI'!S281</f>
        <v>76.98</v>
      </c>
      <c r="M280" s="63">
        <f t="shared" si="40"/>
        <v>45.038382962997886</v>
      </c>
      <c r="N280" s="223">
        <f>'J) Plafonnement effort'!G279+'J) Plafonnement effort'!H279-'K) Plafonnement aide'!I279</f>
        <v>30.834243663947888</v>
      </c>
      <c r="O280" s="223">
        <f t="shared" si="41"/>
        <v>75.872626626945774</v>
      </c>
      <c r="P280" s="80">
        <f t="shared" si="42"/>
        <v>0</v>
      </c>
      <c r="Q280" s="98">
        <f t="shared" si="46"/>
        <v>0</v>
      </c>
      <c r="R280" s="258">
        <f t="shared" si="43"/>
        <v>75.872626626945774</v>
      </c>
      <c r="S280" s="223">
        <f t="shared" si="44"/>
        <v>-1.1073733730542301</v>
      </c>
      <c r="T280" s="257"/>
    </row>
    <row r="281" spans="1:20" x14ac:dyDescent="0.25">
      <c r="A281" s="82">
        <f>'A) Base RI'!A282</f>
        <v>5872</v>
      </c>
      <c r="B281" s="95" t="str">
        <f>'A) Base RI'!B282</f>
        <v>Le Chenit</v>
      </c>
      <c r="C281" s="266">
        <v>4711080.3025072664</v>
      </c>
      <c r="D281" s="267">
        <v>1678404.6013007488</v>
      </c>
      <c r="E281" s="268">
        <v>0</v>
      </c>
      <c r="F281" s="267">
        <v>0</v>
      </c>
      <c r="G281" s="267">
        <v>0</v>
      </c>
      <c r="H281" s="269">
        <f t="shared" si="39"/>
        <v>6389484.9038080154</v>
      </c>
      <c r="I281" s="353">
        <v>183299.42878439644</v>
      </c>
      <c r="J281" s="158">
        <f>'B) D RI'!U282</f>
        <v>373754.29606892174</v>
      </c>
      <c r="K281" s="115">
        <f t="shared" si="45"/>
        <v>34.858182298666975</v>
      </c>
      <c r="L281" s="63">
        <f>'B) D RI'!S282</f>
        <v>69.81</v>
      </c>
      <c r="M281" s="63">
        <f t="shared" si="40"/>
        <v>34.951817701333027</v>
      </c>
      <c r="N281" s="223">
        <f>'J) Plafonnement effort'!G280+'J) Plafonnement effort'!H280-'K) Plafonnement aide'!I280</f>
        <v>39.766626395580268</v>
      </c>
      <c r="O281" s="223">
        <f t="shared" si="41"/>
        <v>74.718444096913288</v>
      </c>
      <c r="P281" s="80">
        <f t="shared" si="42"/>
        <v>0</v>
      </c>
      <c r="Q281" s="98">
        <f t="shared" si="46"/>
        <v>0</v>
      </c>
      <c r="R281" s="258">
        <f t="shared" si="43"/>
        <v>74.718444096913288</v>
      </c>
      <c r="S281" s="223">
        <f t="shared" si="44"/>
        <v>4.9084440969132856</v>
      </c>
      <c r="T281" s="257"/>
    </row>
    <row r="282" spans="1:20" x14ac:dyDescent="0.25">
      <c r="A282" s="82">
        <f>'A) Base RI'!A283</f>
        <v>5873</v>
      </c>
      <c r="B282" s="95" t="str">
        <f>'A) Base RI'!B283</f>
        <v>Le Lieu</v>
      </c>
      <c r="C282" s="266">
        <v>666112.64097549161</v>
      </c>
      <c r="D282" s="267">
        <v>212644.05230119446</v>
      </c>
      <c r="E282" s="268">
        <v>0</v>
      </c>
      <c r="F282" s="267">
        <v>0</v>
      </c>
      <c r="G282" s="267">
        <v>0</v>
      </c>
      <c r="H282" s="269">
        <f t="shared" si="39"/>
        <v>878756.69327668613</v>
      </c>
      <c r="I282" s="353">
        <v>26454.441282051281</v>
      </c>
      <c r="J282" s="158">
        <f>'B) D RI'!U283</f>
        <v>39370.007846153843</v>
      </c>
      <c r="K282" s="115">
        <f t="shared" si="45"/>
        <v>33.217737766886877</v>
      </c>
      <c r="L282" s="63">
        <f>'B) D RI'!S283</f>
        <v>65</v>
      </c>
      <c r="M282" s="63">
        <f t="shared" si="40"/>
        <v>31.782262233113123</v>
      </c>
      <c r="N282" s="223">
        <f>'J) Plafonnement effort'!G281+'J) Plafonnement effort'!H281-'K) Plafonnement aide'!I281</f>
        <v>24.936918308045378</v>
      </c>
      <c r="O282" s="223">
        <f t="shared" si="41"/>
        <v>56.719180541158501</v>
      </c>
      <c r="P282" s="80">
        <f t="shared" si="42"/>
        <v>0</v>
      </c>
      <c r="Q282" s="98">
        <f t="shared" si="46"/>
        <v>0</v>
      </c>
      <c r="R282" s="258">
        <f t="shared" si="43"/>
        <v>56.719180541158501</v>
      </c>
      <c r="S282" s="223">
        <f t="shared" si="44"/>
        <v>-8.2808194588414992</v>
      </c>
      <c r="T282" s="257"/>
    </row>
    <row r="283" spans="1:20" x14ac:dyDescent="0.25">
      <c r="A283" s="82">
        <f>'A) Base RI'!A284</f>
        <v>5881</v>
      </c>
      <c r="B283" s="95" t="str">
        <f>'A) Base RI'!B284</f>
        <v>Blonay</v>
      </c>
      <c r="C283" s="266">
        <v>5232008.4036206147</v>
      </c>
      <c r="D283" s="267">
        <v>3445543.0122889997</v>
      </c>
      <c r="E283" s="268">
        <v>0</v>
      </c>
      <c r="F283" s="267">
        <v>0</v>
      </c>
      <c r="G283" s="267">
        <v>0</v>
      </c>
      <c r="H283" s="269">
        <f t="shared" si="39"/>
        <v>8677551.4159096144</v>
      </c>
      <c r="I283" s="353">
        <v>319742.14958333335</v>
      </c>
      <c r="J283" s="158">
        <f>'B) D RI'!U284</f>
        <v>331887.5422222222</v>
      </c>
      <c r="K283" s="115">
        <f t="shared" si="45"/>
        <v>27.13921648183582</v>
      </c>
      <c r="L283" s="63">
        <f>'B) D RI'!S284</f>
        <v>72</v>
      </c>
      <c r="M283" s="63">
        <f t="shared" si="40"/>
        <v>44.860783518164183</v>
      </c>
      <c r="N283" s="223">
        <f>'J) Plafonnement effort'!G282+'J) Plafonnement effort'!H282-'K) Plafonnement aide'!I282</f>
        <v>26.746560595893616</v>
      </c>
      <c r="O283" s="223">
        <f t="shared" si="41"/>
        <v>71.607344114057796</v>
      </c>
      <c r="P283" s="80">
        <f t="shared" si="42"/>
        <v>0</v>
      </c>
      <c r="Q283" s="98">
        <f t="shared" si="46"/>
        <v>0</v>
      </c>
      <c r="R283" s="258">
        <f t="shared" si="43"/>
        <v>71.607344114057796</v>
      </c>
      <c r="S283" s="223">
        <f t="shared" si="44"/>
        <v>-0.39265588594220446</v>
      </c>
      <c r="T283" s="257"/>
    </row>
    <row r="284" spans="1:20" x14ac:dyDescent="0.25">
      <c r="A284" s="82">
        <f>'A) Base RI'!A285</f>
        <v>5882</v>
      </c>
      <c r="B284" s="95" t="str">
        <f>'A) Base RI'!B285</f>
        <v>Chardonne</v>
      </c>
      <c r="C284" s="266">
        <v>2560996.4133757721</v>
      </c>
      <c r="D284" s="267">
        <v>1973464.2500405</v>
      </c>
      <c r="E284" s="268">
        <v>0</v>
      </c>
      <c r="F284" s="267">
        <v>0</v>
      </c>
      <c r="G284" s="267">
        <v>0</v>
      </c>
      <c r="H284" s="269">
        <f t="shared" si="39"/>
        <v>4534460.663416272</v>
      </c>
      <c r="I284" s="353">
        <v>147478.84348484848</v>
      </c>
      <c r="J284" s="158">
        <f>'B) D RI'!U285</f>
        <v>161225.34606060604</v>
      </c>
      <c r="K284" s="115">
        <f t="shared" si="45"/>
        <v>30.746516288501603</v>
      </c>
      <c r="L284" s="63">
        <f>'B) D RI'!S285</f>
        <v>66</v>
      </c>
      <c r="M284" s="63">
        <f t="shared" si="40"/>
        <v>35.253483711498397</v>
      </c>
      <c r="N284" s="223">
        <f>'J) Plafonnement effort'!G283+'J) Plafonnement effort'!H283-'K) Plafonnement aide'!I283</f>
        <v>37.331260938633527</v>
      </c>
      <c r="O284" s="223">
        <f t="shared" si="41"/>
        <v>72.584744650131924</v>
      </c>
      <c r="P284" s="80">
        <f t="shared" si="42"/>
        <v>0</v>
      </c>
      <c r="Q284" s="98">
        <f t="shared" si="46"/>
        <v>0</v>
      </c>
      <c r="R284" s="258">
        <f t="shared" si="43"/>
        <v>72.584744650131924</v>
      </c>
      <c r="S284" s="223">
        <f t="shared" si="44"/>
        <v>6.584744650131924</v>
      </c>
      <c r="T284" s="257"/>
    </row>
    <row r="285" spans="1:20" x14ac:dyDescent="0.25">
      <c r="A285" s="82">
        <f>'A) Base RI'!A286</f>
        <v>5883</v>
      </c>
      <c r="B285" s="95" t="str">
        <f>'A) Base RI'!B286</f>
        <v>Corseaux</v>
      </c>
      <c r="C285" s="266">
        <v>3038592.4845860424</v>
      </c>
      <c r="D285" s="267">
        <v>2117766.3308197497</v>
      </c>
      <c r="E285" s="268">
        <v>0</v>
      </c>
      <c r="F285" s="267">
        <v>0</v>
      </c>
      <c r="G285" s="267">
        <v>0</v>
      </c>
      <c r="H285" s="269">
        <f t="shared" si="39"/>
        <v>5156358.8154057916</v>
      </c>
      <c r="I285" s="353">
        <v>142246.40317093159</v>
      </c>
      <c r="J285" s="158">
        <f>'B) D RI'!U286</f>
        <v>159212.38328124999</v>
      </c>
      <c r="K285" s="115">
        <f t="shared" si="45"/>
        <v>36.24948470021846</v>
      </c>
      <c r="L285" s="63">
        <f>'B) D RI'!S286</f>
        <v>64</v>
      </c>
      <c r="M285" s="63">
        <f t="shared" si="40"/>
        <v>27.75051529978154</v>
      </c>
      <c r="N285" s="223">
        <f>'J) Plafonnement effort'!G284+'J) Plafonnement effort'!H284-'K) Plafonnement aide'!I284</f>
        <v>37.262555650803435</v>
      </c>
      <c r="O285" s="223">
        <f t="shared" si="41"/>
        <v>65.013070950584975</v>
      </c>
      <c r="P285" s="80">
        <f t="shared" si="42"/>
        <v>0</v>
      </c>
      <c r="Q285" s="98">
        <f t="shared" si="46"/>
        <v>0</v>
      </c>
      <c r="R285" s="258">
        <f t="shared" si="43"/>
        <v>65.013070950584975</v>
      </c>
      <c r="S285" s="223">
        <f t="shared" si="44"/>
        <v>1.0130709505849751</v>
      </c>
      <c r="T285" s="257"/>
    </row>
    <row r="286" spans="1:20" x14ac:dyDescent="0.25">
      <c r="A286" s="82">
        <f>'A) Base RI'!A287</f>
        <v>5884</v>
      </c>
      <c r="B286" s="95" t="str">
        <f>'A) Base RI'!B287</f>
        <v>Corsier-sur-Vevey</v>
      </c>
      <c r="C286" s="266">
        <v>2044777.1038802746</v>
      </c>
      <c r="D286" s="267">
        <v>485878.5934221663</v>
      </c>
      <c r="E286" s="268">
        <v>0</v>
      </c>
      <c r="F286" s="267">
        <v>0</v>
      </c>
      <c r="G286" s="267">
        <v>0</v>
      </c>
      <c r="H286" s="269">
        <f t="shared" si="39"/>
        <v>2530655.6973024411</v>
      </c>
      <c r="I286" s="353">
        <v>111676.55681372549</v>
      </c>
      <c r="J286" s="158">
        <f>'B) D RI'!U287</f>
        <v>121405.28277777777</v>
      </c>
      <c r="K286" s="115">
        <f t="shared" si="45"/>
        <v>22.660581320782747</v>
      </c>
      <c r="L286" s="63">
        <f>'B) D RI'!S287</f>
        <v>66</v>
      </c>
      <c r="M286" s="63">
        <f t="shared" si="40"/>
        <v>43.339418679217253</v>
      </c>
      <c r="N286" s="223">
        <f>'J) Plafonnement effort'!G285+'J) Plafonnement effort'!H285-'K) Plafonnement aide'!I285</f>
        <v>18.368061405433156</v>
      </c>
      <c r="O286" s="223">
        <f t="shared" si="41"/>
        <v>61.707480084650413</v>
      </c>
      <c r="P286" s="80">
        <f t="shared" si="42"/>
        <v>0</v>
      </c>
      <c r="Q286" s="98">
        <f t="shared" si="46"/>
        <v>0</v>
      </c>
      <c r="R286" s="258">
        <f t="shared" si="43"/>
        <v>61.707480084650413</v>
      </c>
      <c r="S286" s="223">
        <f t="shared" si="44"/>
        <v>-4.2925199153495868</v>
      </c>
      <c r="T286" s="257"/>
    </row>
    <row r="287" spans="1:20" x14ac:dyDescent="0.25">
      <c r="A287" s="82">
        <f>'A) Base RI'!A288</f>
        <v>5885</v>
      </c>
      <c r="B287" s="95" t="str">
        <f>'A) Base RI'!B288</f>
        <v>Jongny</v>
      </c>
      <c r="C287" s="266">
        <v>1129866.5953537473</v>
      </c>
      <c r="D287" s="267">
        <v>1111786.503817</v>
      </c>
      <c r="E287" s="268">
        <v>0</v>
      </c>
      <c r="F287" s="267">
        <v>0</v>
      </c>
      <c r="G287" s="267">
        <v>0</v>
      </c>
      <c r="H287" s="269">
        <f t="shared" si="39"/>
        <v>2241653.0991707472</v>
      </c>
      <c r="I287" s="353">
        <v>74561.675338164248</v>
      </c>
      <c r="J287" s="158">
        <f>'B) D RI'!U288</f>
        <v>76199.638309178743</v>
      </c>
      <c r="K287" s="115">
        <f t="shared" si="45"/>
        <v>30.064414312098503</v>
      </c>
      <c r="L287" s="63">
        <f>'B) D RI'!S288</f>
        <v>69</v>
      </c>
      <c r="M287" s="63">
        <f t="shared" si="40"/>
        <v>38.935585687901494</v>
      </c>
      <c r="N287" s="223">
        <f>'J) Plafonnement effort'!G286+'J) Plafonnement effort'!H286-'K) Plafonnement aide'!I286</f>
        <v>32.363539495586664</v>
      </c>
      <c r="O287" s="223">
        <f t="shared" si="41"/>
        <v>71.299125183488158</v>
      </c>
      <c r="P287" s="80">
        <f t="shared" si="42"/>
        <v>0</v>
      </c>
      <c r="Q287" s="98">
        <f t="shared" si="46"/>
        <v>0</v>
      </c>
      <c r="R287" s="258">
        <f t="shared" si="43"/>
        <v>71.299125183488158</v>
      </c>
      <c r="S287" s="223">
        <f t="shared" si="44"/>
        <v>2.2991251834881581</v>
      </c>
      <c r="T287" s="257"/>
    </row>
    <row r="288" spans="1:20" x14ac:dyDescent="0.25">
      <c r="A288" s="82">
        <f>'A) Base RI'!A289</f>
        <v>5886</v>
      </c>
      <c r="B288" s="95" t="str">
        <f>'A) Base RI'!B289</f>
        <v>Montreux</v>
      </c>
      <c r="C288" s="266">
        <v>24966192.336175285</v>
      </c>
      <c r="D288" s="267">
        <v>-118813.36410565302</v>
      </c>
      <c r="E288" s="268">
        <v>0</v>
      </c>
      <c r="F288" s="267">
        <v>0</v>
      </c>
      <c r="G288" s="267">
        <v>0</v>
      </c>
      <c r="H288" s="269">
        <f t="shared" si="39"/>
        <v>24847378.972069632</v>
      </c>
      <c r="I288" s="353">
        <v>1121275.4279797978</v>
      </c>
      <c r="J288" s="158">
        <f>'B) D RI'!U289</f>
        <v>1119854.9833838383</v>
      </c>
      <c r="K288" s="115">
        <f t="shared" si="45"/>
        <v>22.159924628721384</v>
      </c>
      <c r="L288" s="63">
        <f>'B) D RI'!S289</f>
        <v>66</v>
      </c>
      <c r="M288" s="63">
        <f t="shared" si="40"/>
        <v>43.840075371278616</v>
      </c>
      <c r="N288" s="223">
        <f>'J) Plafonnement effort'!G287+'J) Plafonnement effort'!H287-'K) Plafonnement aide'!I287</f>
        <v>14.722807902874056</v>
      </c>
      <c r="O288" s="223">
        <f t="shared" si="41"/>
        <v>58.562883274152668</v>
      </c>
      <c r="P288" s="80">
        <f t="shared" si="42"/>
        <v>0</v>
      </c>
      <c r="Q288" s="98">
        <f t="shared" si="46"/>
        <v>0</v>
      </c>
      <c r="R288" s="258">
        <f t="shared" si="43"/>
        <v>58.562883274152668</v>
      </c>
      <c r="S288" s="223">
        <f t="shared" si="44"/>
        <v>-7.4371167258473321</v>
      </c>
      <c r="T288" s="257"/>
    </row>
    <row r="289" spans="1:20" x14ac:dyDescent="0.25">
      <c r="A289" s="82">
        <f>'A) Base RI'!A290</f>
        <v>5888</v>
      </c>
      <c r="B289" s="95" t="str">
        <f>'A) Base RI'!B290</f>
        <v>St-Légier-La Chiésaz</v>
      </c>
      <c r="C289" s="266">
        <v>6013313.6167879356</v>
      </c>
      <c r="D289" s="267">
        <v>3827299.2590999999</v>
      </c>
      <c r="E289" s="268">
        <v>0</v>
      </c>
      <c r="F289" s="267">
        <v>0</v>
      </c>
      <c r="G289" s="267">
        <v>0</v>
      </c>
      <c r="H289" s="269">
        <f t="shared" si="39"/>
        <v>9840612.875887936</v>
      </c>
      <c r="I289" s="353">
        <v>309530.56832368026</v>
      </c>
      <c r="J289" s="158">
        <f>'B) D RI'!U290</f>
        <v>357526.04545454547</v>
      </c>
      <c r="K289" s="115">
        <f t="shared" si="45"/>
        <v>31.792055076116021</v>
      </c>
      <c r="L289" s="63">
        <f>'B) D RI'!S290</f>
        <v>66</v>
      </c>
      <c r="M289" s="63">
        <f t="shared" si="40"/>
        <v>34.207944923883979</v>
      </c>
      <c r="N289" s="223">
        <f>'J) Plafonnement effort'!G288+'J) Plafonnement effort'!H288-'K) Plafonnement aide'!I288</f>
        <v>30.629920199545342</v>
      </c>
      <c r="O289" s="223">
        <f t="shared" si="41"/>
        <v>64.837865123429324</v>
      </c>
      <c r="P289" s="80">
        <f t="shared" si="42"/>
        <v>0</v>
      </c>
      <c r="Q289" s="98">
        <f t="shared" si="46"/>
        <v>0</v>
      </c>
      <c r="R289" s="258">
        <f t="shared" si="43"/>
        <v>64.837865123429324</v>
      </c>
      <c r="S289" s="223">
        <f t="shared" si="44"/>
        <v>-1.1621348765706756</v>
      </c>
      <c r="T289" s="257"/>
    </row>
    <row r="290" spans="1:20" x14ac:dyDescent="0.25">
      <c r="A290" s="82">
        <f>'A) Base RI'!A291</f>
        <v>5889</v>
      </c>
      <c r="B290" s="95" t="str">
        <f>'A) Base RI'!B291</f>
        <v>La Tour-de-Peilz</v>
      </c>
      <c r="C290" s="266">
        <v>10775273.365483647</v>
      </c>
      <c r="D290" s="267">
        <v>5357426.5886364989</v>
      </c>
      <c r="E290" s="268">
        <v>0</v>
      </c>
      <c r="F290" s="267">
        <v>0</v>
      </c>
      <c r="G290" s="267">
        <v>0</v>
      </c>
      <c r="H290" s="269">
        <f t="shared" si="39"/>
        <v>16132699.954120146</v>
      </c>
      <c r="I290" s="353">
        <v>611477.36813515285</v>
      </c>
      <c r="J290" s="158">
        <f>'B) D RI'!U291</f>
        <v>593029.02942708356</v>
      </c>
      <c r="K290" s="115">
        <f t="shared" si="45"/>
        <v>26.383151355741408</v>
      </c>
      <c r="L290" s="63">
        <f>'B) D RI'!S291</f>
        <v>64</v>
      </c>
      <c r="M290" s="63">
        <f t="shared" si="40"/>
        <v>37.616848644258596</v>
      </c>
      <c r="N290" s="223">
        <f>'J) Plafonnement effort'!G289+'J) Plafonnement effort'!H289-'K) Plafonnement aide'!I289</f>
        <v>25.488807790933279</v>
      </c>
      <c r="O290" s="223">
        <f t="shared" si="41"/>
        <v>63.105656435191875</v>
      </c>
      <c r="P290" s="80">
        <f t="shared" si="42"/>
        <v>0</v>
      </c>
      <c r="Q290" s="98">
        <f t="shared" si="46"/>
        <v>0</v>
      </c>
      <c r="R290" s="258">
        <f t="shared" si="43"/>
        <v>63.105656435191875</v>
      </c>
      <c r="S290" s="223">
        <f t="shared" si="44"/>
        <v>-0.89434356480812482</v>
      </c>
      <c r="T290" s="257"/>
    </row>
    <row r="291" spans="1:20" x14ac:dyDescent="0.25">
      <c r="A291" s="82">
        <f>'A) Base RI'!A292</f>
        <v>5890</v>
      </c>
      <c r="B291" s="95" t="str">
        <f>'A) Base RI'!B292</f>
        <v>Vevey</v>
      </c>
      <c r="C291" s="266">
        <v>13907526.717185911</v>
      </c>
      <c r="D291" s="267">
        <v>2064420.3943144977</v>
      </c>
      <c r="E291" s="268">
        <v>0</v>
      </c>
      <c r="F291" s="267">
        <v>0</v>
      </c>
      <c r="G291" s="267">
        <v>0</v>
      </c>
      <c r="H291" s="269">
        <f t="shared" si="39"/>
        <v>15971947.111500409</v>
      </c>
      <c r="I291" s="353">
        <v>863224.16184931516</v>
      </c>
      <c r="J291" s="158">
        <f>'B) D RI'!U292</f>
        <v>920050.18059360737</v>
      </c>
      <c r="K291" s="115">
        <f t="shared" si="45"/>
        <v>18.502664565462521</v>
      </c>
      <c r="L291" s="63">
        <f>'B) D RI'!S292</f>
        <v>73</v>
      </c>
      <c r="M291" s="63">
        <f t="shared" si="40"/>
        <v>54.497335434537476</v>
      </c>
      <c r="N291" s="223">
        <f>'J) Plafonnement effort'!G290+'J) Plafonnement effort'!H290-'K) Plafonnement aide'!I290</f>
        <v>19.918352214343059</v>
      </c>
      <c r="O291" s="223">
        <f t="shared" si="41"/>
        <v>74.415687648880535</v>
      </c>
      <c r="P291" s="80">
        <f t="shared" si="42"/>
        <v>0</v>
      </c>
      <c r="Q291" s="98">
        <f t="shared" si="46"/>
        <v>0</v>
      </c>
      <c r="R291" s="258">
        <f t="shared" si="43"/>
        <v>74.415687648880535</v>
      </c>
      <c r="S291" s="223">
        <f t="shared" si="44"/>
        <v>1.4156876488805352</v>
      </c>
      <c r="T291" s="257"/>
    </row>
    <row r="292" spans="1:20" x14ac:dyDescent="0.25">
      <c r="A292" s="82">
        <f>'A) Base RI'!A293</f>
        <v>5891</v>
      </c>
      <c r="B292" s="95" t="str">
        <f>'A) Base RI'!B293</f>
        <v>Veytaux</v>
      </c>
      <c r="C292" s="266">
        <v>635646.66849704774</v>
      </c>
      <c r="D292" s="267">
        <v>681131.77642050001</v>
      </c>
      <c r="E292" s="268">
        <v>0</v>
      </c>
      <c r="F292" s="267">
        <v>0</v>
      </c>
      <c r="G292" s="267">
        <v>0</v>
      </c>
      <c r="H292" s="269">
        <f t="shared" si="39"/>
        <v>1316778.4449175477</v>
      </c>
      <c r="I292" s="353">
        <v>41658.845676328499</v>
      </c>
      <c r="J292" s="158">
        <f>'B) D RI'!U293</f>
        <v>37637.543719806752</v>
      </c>
      <c r="K292" s="115">
        <f t="shared" si="45"/>
        <v>31.608615734299406</v>
      </c>
      <c r="L292" s="63">
        <f>'B) D RI'!S293</f>
        <v>69</v>
      </c>
      <c r="M292" s="63">
        <f t="shared" si="40"/>
        <v>37.391384265700594</v>
      </c>
      <c r="N292" s="223">
        <f>'J) Plafonnement effort'!G291+'J) Plafonnement effort'!H291-'K) Plafonnement aide'!I291</f>
        <v>29.988699075203336</v>
      </c>
      <c r="O292" s="223">
        <f t="shared" si="41"/>
        <v>67.380083340903923</v>
      </c>
      <c r="P292" s="80">
        <f t="shared" si="42"/>
        <v>0</v>
      </c>
      <c r="Q292" s="98">
        <f t="shared" si="46"/>
        <v>0</v>
      </c>
      <c r="R292" s="258">
        <f t="shared" si="43"/>
        <v>67.380083340903923</v>
      </c>
      <c r="S292" s="223">
        <f t="shared" si="44"/>
        <v>-1.6199166590960772</v>
      </c>
      <c r="T292" s="257"/>
    </row>
    <row r="293" spans="1:20" x14ac:dyDescent="0.25">
      <c r="A293" s="82">
        <f>'A) Base RI'!A294</f>
        <v>5902</v>
      </c>
      <c r="B293" s="95" t="str">
        <f>'A) Base RI'!B294</f>
        <v>Belmont-sur-Yverdon</v>
      </c>
      <c r="C293" s="266">
        <v>145071.15366215445</v>
      </c>
      <c r="D293" s="267">
        <v>-11647.326570705191</v>
      </c>
      <c r="E293" s="268">
        <v>0</v>
      </c>
      <c r="F293" s="267">
        <v>0</v>
      </c>
      <c r="G293" s="267">
        <v>0</v>
      </c>
      <c r="H293" s="269">
        <f t="shared" si="39"/>
        <v>133423.82709144926</v>
      </c>
      <c r="I293" s="353">
        <v>9291.9905263157907</v>
      </c>
      <c r="J293" s="158">
        <f>'B) D RI'!U294</f>
        <v>8809.0856578947369</v>
      </c>
      <c r="K293" s="115">
        <f t="shared" si="45"/>
        <v>14.359014541995112</v>
      </c>
      <c r="L293" s="63">
        <f>'B) D RI'!S294</f>
        <v>76</v>
      </c>
      <c r="M293" s="63">
        <f t="shared" si="40"/>
        <v>61.640985458004891</v>
      </c>
      <c r="N293" s="223">
        <f>'J) Plafonnement effort'!G292+'J) Plafonnement effort'!H292-'K) Plafonnement aide'!I292</f>
        <v>14.812697100984952</v>
      </c>
      <c r="O293" s="223">
        <f t="shared" si="41"/>
        <v>76.45368255898984</v>
      </c>
      <c r="P293" s="80">
        <f t="shared" si="42"/>
        <v>0</v>
      </c>
      <c r="Q293" s="98">
        <f t="shared" si="46"/>
        <v>0</v>
      </c>
      <c r="R293" s="258">
        <f t="shared" si="43"/>
        <v>76.45368255898984</v>
      </c>
      <c r="S293" s="223">
        <f t="shared" si="44"/>
        <v>0.45368255898983989</v>
      </c>
      <c r="T293" s="257"/>
    </row>
    <row r="294" spans="1:20" x14ac:dyDescent="0.25">
      <c r="A294" s="82">
        <f>'A) Base RI'!A295</f>
        <v>5903</v>
      </c>
      <c r="B294" s="95" t="str">
        <f>'A) Base RI'!B295</f>
        <v>Bioley-Magnoux</v>
      </c>
      <c r="C294" s="266">
        <v>83227.732853211957</v>
      </c>
      <c r="D294" s="267">
        <v>5500.0566456917149</v>
      </c>
      <c r="E294" s="268">
        <v>0</v>
      </c>
      <c r="F294" s="267">
        <v>0</v>
      </c>
      <c r="G294" s="267">
        <v>0</v>
      </c>
      <c r="H294" s="269">
        <f t="shared" si="39"/>
        <v>88727.789498903672</v>
      </c>
      <c r="I294" s="353">
        <v>4963.3172222222229</v>
      </c>
      <c r="J294" s="158">
        <f>'B) D RI'!U295</f>
        <v>6088.8460038610028</v>
      </c>
      <c r="K294" s="115">
        <f t="shared" si="45"/>
        <v>17.876711386014861</v>
      </c>
      <c r="L294" s="63">
        <f>'B) D RI'!S295</f>
        <v>74</v>
      </c>
      <c r="M294" s="63">
        <f t="shared" si="40"/>
        <v>56.123288613985139</v>
      </c>
      <c r="N294" s="223">
        <f>'J) Plafonnement effort'!G293+'J) Plafonnement effort'!H293-'K) Plafonnement aide'!I293</f>
        <v>18.907202917932338</v>
      </c>
      <c r="O294" s="223">
        <f t="shared" si="41"/>
        <v>75.030491531917477</v>
      </c>
      <c r="P294" s="80">
        <f t="shared" si="42"/>
        <v>0</v>
      </c>
      <c r="Q294" s="98">
        <f t="shared" si="46"/>
        <v>0</v>
      </c>
      <c r="R294" s="258">
        <f t="shared" si="43"/>
        <v>75.030491531917477</v>
      </c>
      <c r="S294" s="223">
        <f t="shared" si="44"/>
        <v>1.0304915319174768</v>
      </c>
      <c r="T294" s="257"/>
    </row>
    <row r="295" spans="1:20" x14ac:dyDescent="0.25">
      <c r="A295" s="82">
        <f>'A) Base RI'!A296</f>
        <v>5904</v>
      </c>
      <c r="B295" s="95" t="str">
        <f>'A) Base RI'!B296</f>
        <v>Chamblon</v>
      </c>
      <c r="C295" s="266">
        <v>284039.8936562973</v>
      </c>
      <c r="D295" s="267">
        <v>148848.72746242958</v>
      </c>
      <c r="E295" s="268">
        <v>0</v>
      </c>
      <c r="F295" s="267">
        <v>0</v>
      </c>
      <c r="G295" s="267">
        <v>0</v>
      </c>
      <c r="H295" s="269">
        <f t="shared" si="39"/>
        <v>432888.62111872691</v>
      </c>
      <c r="I295" s="353">
        <v>18242.349696969693</v>
      </c>
      <c r="J295" s="158">
        <f>'B) D RI'!U296</f>
        <v>21622.015909090911</v>
      </c>
      <c r="K295" s="115">
        <f t="shared" si="45"/>
        <v>23.729871881067805</v>
      </c>
      <c r="L295" s="63">
        <f>'B) D RI'!S296</f>
        <v>66</v>
      </c>
      <c r="M295" s="63">
        <f t="shared" si="40"/>
        <v>42.270128118932192</v>
      </c>
      <c r="N295" s="223">
        <f>'J) Plafonnement effort'!G294+'J) Plafonnement effort'!H294-'K) Plafonnement aide'!I294</f>
        <v>28.544791454216789</v>
      </c>
      <c r="O295" s="223">
        <f t="shared" si="41"/>
        <v>70.814919573148984</v>
      </c>
      <c r="P295" s="80">
        <f t="shared" si="42"/>
        <v>0</v>
      </c>
      <c r="Q295" s="98">
        <f t="shared" si="46"/>
        <v>0</v>
      </c>
      <c r="R295" s="258">
        <f t="shared" si="43"/>
        <v>70.814919573148984</v>
      </c>
      <c r="S295" s="223">
        <f t="shared" si="44"/>
        <v>4.814919573148984</v>
      </c>
      <c r="T295" s="257"/>
    </row>
    <row r="296" spans="1:20" x14ac:dyDescent="0.25">
      <c r="A296" s="82">
        <f>'A) Base RI'!A297</f>
        <v>5905</v>
      </c>
      <c r="B296" s="95" t="str">
        <f>'A) Base RI'!B297</f>
        <v>Champvent</v>
      </c>
      <c r="C296" s="266">
        <v>332331.61402147706</v>
      </c>
      <c r="D296" s="267">
        <v>289541.47183399741</v>
      </c>
      <c r="E296" s="268">
        <v>0</v>
      </c>
      <c r="F296" s="267">
        <v>0</v>
      </c>
      <c r="G296" s="267">
        <v>0</v>
      </c>
      <c r="H296" s="269">
        <f t="shared" si="39"/>
        <v>621873.08585547446</v>
      </c>
      <c r="I296" s="353">
        <v>22628.997746478879</v>
      </c>
      <c r="J296" s="158">
        <f>'B) D RI'!U297</f>
        <v>20315.716338028171</v>
      </c>
      <c r="K296" s="115">
        <f t="shared" si="45"/>
        <v>27.481247416370408</v>
      </c>
      <c r="L296" s="63">
        <f>'B) D RI'!S297</f>
        <v>71</v>
      </c>
      <c r="M296" s="63">
        <f t="shared" si="40"/>
        <v>43.518752583629592</v>
      </c>
      <c r="N296" s="223">
        <f>'J) Plafonnement effort'!G295+'J) Plafonnement effort'!H295-'K) Plafonnement aide'!I295</f>
        <v>27.44430932677394</v>
      </c>
      <c r="O296" s="223">
        <f t="shared" si="41"/>
        <v>70.963061910403525</v>
      </c>
      <c r="P296" s="80">
        <f t="shared" si="42"/>
        <v>0</v>
      </c>
      <c r="Q296" s="98">
        <f t="shared" si="46"/>
        <v>0</v>
      </c>
      <c r="R296" s="258">
        <f t="shared" si="43"/>
        <v>70.963061910403525</v>
      </c>
      <c r="S296" s="223">
        <f t="shared" si="44"/>
        <v>-3.6938089596475265E-2</v>
      </c>
      <c r="T296" s="257"/>
    </row>
    <row r="297" spans="1:20" x14ac:dyDescent="0.25">
      <c r="A297" s="82">
        <f>'A) Base RI'!A298</f>
        <v>5907</v>
      </c>
      <c r="B297" s="95" t="str">
        <f>'A) Base RI'!B298</f>
        <v>Chavannes-le-Chêne</v>
      </c>
      <c r="C297" s="266">
        <v>103948.14843029673</v>
      </c>
      <c r="D297" s="267">
        <v>-7943.6226883772179</v>
      </c>
      <c r="E297" s="268">
        <v>0</v>
      </c>
      <c r="F297" s="267">
        <v>0</v>
      </c>
      <c r="G297" s="267">
        <v>0</v>
      </c>
      <c r="H297" s="269">
        <f t="shared" si="39"/>
        <v>96004.525741919511</v>
      </c>
      <c r="I297" s="353">
        <v>7297.0278205128197</v>
      </c>
      <c r="J297" s="158">
        <f>'B) D RI'!U298</f>
        <v>6770.541794871795</v>
      </c>
      <c r="K297" s="115">
        <f t="shared" si="45"/>
        <v>13.156661602966523</v>
      </c>
      <c r="L297" s="63">
        <f>'B) D RI'!S298</f>
        <v>78</v>
      </c>
      <c r="M297" s="63">
        <f t="shared" si="40"/>
        <v>64.843338397033477</v>
      </c>
      <c r="N297" s="223">
        <f>'J) Plafonnement effort'!G296+'J) Plafonnement effort'!H296-'K) Plafonnement aide'!I296</f>
        <v>-3.7857755624627512</v>
      </c>
      <c r="O297" s="223">
        <f t="shared" si="41"/>
        <v>61.057562834570724</v>
      </c>
      <c r="P297" s="80">
        <f t="shared" si="42"/>
        <v>0</v>
      </c>
      <c r="Q297" s="98">
        <f t="shared" si="46"/>
        <v>0</v>
      </c>
      <c r="R297" s="258">
        <f t="shared" si="43"/>
        <v>61.057562834570724</v>
      </c>
      <c r="S297" s="223">
        <f t="shared" si="44"/>
        <v>-16.942437165429276</v>
      </c>
      <c r="T297" s="257"/>
    </row>
    <row r="298" spans="1:20" x14ac:dyDescent="0.25">
      <c r="A298" s="82">
        <f>'A) Base RI'!A299</f>
        <v>5908</v>
      </c>
      <c r="B298" s="95" t="str">
        <f>'A) Base RI'!B299</f>
        <v>Chêne-Pâquier</v>
      </c>
      <c r="C298" s="266">
        <v>62392.540886702387</v>
      </c>
      <c r="D298" s="267">
        <v>10141.537861678058</v>
      </c>
      <c r="E298" s="268">
        <v>0</v>
      </c>
      <c r="F298" s="267">
        <v>0</v>
      </c>
      <c r="G298" s="267">
        <v>0</v>
      </c>
      <c r="H298" s="269">
        <f t="shared" si="39"/>
        <v>72534.078748380445</v>
      </c>
      <c r="I298" s="353">
        <v>3705.0798765432096</v>
      </c>
      <c r="J298" s="158">
        <f>'B) D RI'!U299</f>
        <v>3326.5444303797472</v>
      </c>
      <c r="K298" s="115">
        <f t="shared" si="45"/>
        <v>19.576927128506007</v>
      </c>
      <c r="L298" s="63">
        <f>'B) D RI'!S299</f>
        <v>79</v>
      </c>
      <c r="M298" s="63">
        <f t="shared" si="40"/>
        <v>59.423072871493993</v>
      </c>
      <c r="N298" s="223">
        <f>'J) Plafonnement effort'!G297+'J) Plafonnement effort'!H297-'K) Plafonnement aide'!I297</f>
        <v>6.0231220137085337</v>
      </c>
      <c r="O298" s="223">
        <f t="shared" si="41"/>
        <v>65.44619488520253</v>
      </c>
      <c r="P298" s="80">
        <f t="shared" si="42"/>
        <v>0</v>
      </c>
      <c r="Q298" s="98">
        <f t="shared" si="46"/>
        <v>0</v>
      </c>
      <c r="R298" s="258">
        <f t="shared" si="43"/>
        <v>65.44619488520253</v>
      </c>
      <c r="S298" s="223">
        <f t="shared" si="44"/>
        <v>-13.55380511479747</v>
      </c>
      <c r="T298" s="257"/>
    </row>
    <row r="299" spans="1:20" x14ac:dyDescent="0.25">
      <c r="A299" s="82">
        <f>'A) Base RI'!A300</f>
        <v>5909</v>
      </c>
      <c r="B299" s="95" t="str">
        <f>'A) Base RI'!B300</f>
        <v>Cheseaux-Noréaz</v>
      </c>
      <c r="C299" s="266">
        <v>445311.12129233941</v>
      </c>
      <c r="D299" s="267">
        <v>485619.17371</v>
      </c>
      <c r="E299" s="268">
        <v>0</v>
      </c>
      <c r="F299" s="267">
        <v>0</v>
      </c>
      <c r="G299" s="267">
        <v>0</v>
      </c>
      <c r="H299" s="269">
        <f t="shared" si="39"/>
        <v>930930.29500233941</v>
      </c>
      <c r="I299" s="353">
        <v>30022.004218750004</v>
      </c>
      <c r="J299" s="158">
        <f>'B) D RI'!U300</f>
        <v>30671.321093750001</v>
      </c>
      <c r="K299" s="115">
        <f t="shared" si="45"/>
        <v>31.008266077750211</v>
      </c>
      <c r="L299" s="63">
        <f>'B) D RI'!S300</f>
        <v>64</v>
      </c>
      <c r="M299" s="63">
        <f t="shared" si="40"/>
        <v>32.991733922249793</v>
      </c>
      <c r="N299" s="223">
        <f>'J) Plafonnement effort'!G298+'J) Plafonnement effort'!H298-'K) Plafonnement aide'!I298</f>
        <v>33.927937407681696</v>
      </c>
      <c r="O299" s="223">
        <f t="shared" si="41"/>
        <v>66.919671329931489</v>
      </c>
      <c r="P299" s="80">
        <f t="shared" si="42"/>
        <v>0</v>
      </c>
      <c r="Q299" s="98">
        <f t="shared" si="46"/>
        <v>0</v>
      </c>
      <c r="R299" s="258">
        <f t="shared" si="43"/>
        <v>66.919671329931489</v>
      </c>
      <c r="S299" s="223">
        <f t="shared" si="44"/>
        <v>2.9196713299314894</v>
      </c>
      <c r="T299" s="257"/>
    </row>
    <row r="300" spans="1:20" x14ac:dyDescent="0.25">
      <c r="A300" s="82">
        <f>'A) Base RI'!A301</f>
        <v>5910</v>
      </c>
      <c r="B300" s="95" t="str">
        <f>'A) Base RI'!B301</f>
        <v>Cronay</v>
      </c>
      <c r="C300" s="266">
        <v>122230.28432588179</v>
      </c>
      <c r="D300" s="267">
        <v>-60709.488952401414</v>
      </c>
      <c r="E300" s="268">
        <v>0</v>
      </c>
      <c r="F300" s="267">
        <v>0</v>
      </c>
      <c r="G300" s="267">
        <v>0</v>
      </c>
      <c r="H300" s="269">
        <f t="shared" si="39"/>
        <v>61520.795373480374</v>
      </c>
      <c r="I300" s="353">
        <v>8436.837654320987</v>
      </c>
      <c r="J300" s="158">
        <f>'B) D RI'!U301</f>
        <v>9292.7018518518507</v>
      </c>
      <c r="K300" s="115">
        <f t="shared" si="45"/>
        <v>7.2919259435995025</v>
      </c>
      <c r="L300" s="63">
        <f>'B) D RI'!S301</f>
        <v>81</v>
      </c>
      <c r="M300" s="63">
        <f t="shared" ref="M300:M323" si="47">L300-K300</f>
        <v>73.708074056400491</v>
      </c>
      <c r="N300" s="223">
        <f>'J) Plafonnement effort'!G299+'J) Plafonnement effort'!H299-'K) Plafonnement aide'!I299</f>
        <v>4.1609964578017049</v>
      </c>
      <c r="O300" s="223">
        <f t="shared" si="41"/>
        <v>77.869070514202193</v>
      </c>
      <c r="P300" s="80">
        <f t="shared" si="42"/>
        <v>0</v>
      </c>
      <c r="Q300" s="98">
        <f t="shared" si="46"/>
        <v>0</v>
      </c>
      <c r="R300" s="258">
        <f t="shared" si="43"/>
        <v>77.869070514202193</v>
      </c>
      <c r="S300" s="223">
        <f t="shared" si="44"/>
        <v>-3.1309294857978074</v>
      </c>
      <c r="T300" s="257"/>
    </row>
    <row r="301" spans="1:20" x14ac:dyDescent="0.25">
      <c r="A301" s="82">
        <f>'A) Base RI'!A302</f>
        <v>5911</v>
      </c>
      <c r="B301" s="95" t="str">
        <f>'A) Base RI'!B302</f>
        <v>Cuarny</v>
      </c>
      <c r="C301" s="266">
        <v>102266.52981676794</v>
      </c>
      <c r="D301" s="267">
        <v>-20089.360567091382</v>
      </c>
      <c r="E301" s="268">
        <v>0</v>
      </c>
      <c r="F301" s="267">
        <v>0</v>
      </c>
      <c r="G301" s="267">
        <v>0</v>
      </c>
      <c r="H301" s="269">
        <f t="shared" si="39"/>
        <v>82177.169249676561</v>
      </c>
      <c r="I301" s="353">
        <v>5095.3364197530864</v>
      </c>
      <c r="J301" s="158">
        <f>'B) D RI'!U302</f>
        <v>6815.3613580246902</v>
      </c>
      <c r="K301" s="115">
        <f t="shared" si="45"/>
        <v>16.127918253071652</v>
      </c>
      <c r="L301" s="63">
        <f>'B) D RI'!S302</f>
        <v>81</v>
      </c>
      <c r="M301" s="63">
        <f t="shared" si="47"/>
        <v>64.872081746928345</v>
      </c>
      <c r="N301" s="223">
        <f>'J) Plafonnement effort'!G300+'J) Plafonnement effort'!H300-'K) Plafonnement aide'!I300</f>
        <v>11.07244099229985</v>
      </c>
      <c r="O301" s="223">
        <f t="shared" si="41"/>
        <v>75.944522739228191</v>
      </c>
      <c r="P301" s="80">
        <f t="shared" si="42"/>
        <v>0</v>
      </c>
      <c r="Q301" s="98">
        <f t="shared" si="46"/>
        <v>0</v>
      </c>
      <c r="R301" s="258">
        <f t="shared" si="43"/>
        <v>75.944522739228191</v>
      </c>
      <c r="S301" s="223">
        <f t="shared" si="44"/>
        <v>-5.0554772607718093</v>
      </c>
      <c r="T301" s="257"/>
    </row>
    <row r="302" spans="1:20" x14ac:dyDescent="0.25">
      <c r="A302" s="82">
        <f>'A) Base RI'!A303</f>
        <v>5912</v>
      </c>
      <c r="B302" s="95" t="str">
        <f>'A) Base RI'!B303</f>
        <v>Démoret</v>
      </c>
      <c r="C302" s="266">
        <v>42451.227356507363</v>
      </c>
      <c r="D302" s="267">
        <v>-8957.8771631138807</v>
      </c>
      <c r="E302" s="268">
        <v>0</v>
      </c>
      <c r="F302" s="267">
        <v>0</v>
      </c>
      <c r="G302" s="267">
        <v>0</v>
      </c>
      <c r="H302" s="269">
        <f t="shared" si="39"/>
        <v>33493.350193393482</v>
      </c>
      <c r="I302" s="353">
        <v>3160.8659259259261</v>
      </c>
      <c r="J302" s="158">
        <f>'B) D RI'!U303</f>
        <v>3149.2327160493824</v>
      </c>
      <c r="K302" s="115">
        <f t="shared" si="45"/>
        <v>10.596257790840061</v>
      </c>
      <c r="L302" s="63">
        <f>'B) D RI'!S303</f>
        <v>81</v>
      </c>
      <c r="M302" s="63">
        <f t="shared" si="47"/>
        <v>70.403742209159944</v>
      </c>
      <c r="N302" s="223">
        <f>'J) Plafonnement effort'!G301+'J) Plafonnement effort'!H301-'K) Plafonnement aide'!I301</f>
        <v>3.3815046505900233</v>
      </c>
      <c r="O302" s="223">
        <f t="shared" si="41"/>
        <v>73.785246859749961</v>
      </c>
      <c r="P302" s="80">
        <f t="shared" si="42"/>
        <v>0</v>
      </c>
      <c r="Q302" s="98">
        <f t="shared" si="46"/>
        <v>0</v>
      </c>
      <c r="R302" s="258">
        <f t="shared" si="43"/>
        <v>73.785246859749961</v>
      </c>
      <c r="S302" s="223">
        <f t="shared" si="44"/>
        <v>-7.2147531402500391</v>
      </c>
      <c r="T302" s="257"/>
    </row>
    <row r="303" spans="1:20" x14ac:dyDescent="0.25">
      <c r="A303" s="82">
        <f>'A) Base RI'!A304</f>
        <v>5913</v>
      </c>
      <c r="B303" s="95" t="str">
        <f>'A) Base RI'!B304</f>
        <v>Donneloye</v>
      </c>
      <c r="C303" s="266">
        <v>317017.2709574562</v>
      </c>
      <c r="D303" s="267">
        <v>82485.61065836146</v>
      </c>
      <c r="E303" s="268">
        <v>0</v>
      </c>
      <c r="F303" s="267">
        <v>0</v>
      </c>
      <c r="G303" s="267">
        <v>0</v>
      </c>
      <c r="H303" s="269">
        <f t="shared" si="39"/>
        <v>399502.88161581766</v>
      </c>
      <c r="I303" s="353">
        <v>21320.294794520545</v>
      </c>
      <c r="J303" s="158">
        <f>'B) D RI'!U304</f>
        <v>23147.804931506846</v>
      </c>
      <c r="K303" s="115">
        <f t="shared" si="45"/>
        <v>18.738149986485766</v>
      </c>
      <c r="L303" s="63">
        <f>'B) D RI'!S304</f>
        <v>73</v>
      </c>
      <c r="M303" s="63">
        <f t="shared" si="47"/>
        <v>54.261850013514234</v>
      </c>
      <c r="N303" s="223">
        <f>'J) Plafonnement effort'!G302+'J) Plafonnement effort'!H302-'K) Plafonnement aide'!I302</f>
        <v>22.814540116965137</v>
      </c>
      <c r="O303" s="223">
        <f t="shared" si="41"/>
        <v>77.076390130479368</v>
      </c>
      <c r="P303" s="80">
        <f t="shared" si="42"/>
        <v>0</v>
      </c>
      <c r="Q303" s="98">
        <f t="shared" si="46"/>
        <v>0</v>
      </c>
      <c r="R303" s="258">
        <f t="shared" si="43"/>
        <v>77.076390130479368</v>
      </c>
      <c r="S303" s="223">
        <f t="shared" si="44"/>
        <v>4.0763901304793677</v>
      </c>
      <c r="T303" s="257"/>
    </row>
    <row r="304" spans="1:20" x14ac:dyDescent="0.25">
      <c r="A304" s="82">
        <f>'A) Base RI'!A305</f>
        <v>5914</v>
      </c>
      <c r="B304" s="95" t="str">
        <f>'A) Base RI'!B305</f>
        <v>Ependes</v>
      </c>
      <c r="C304" s="266">
        <v>133366.65088071016</v>
      </c>
      <c r="D304" s="267">
        <v>-17162.225297207275</v>
      </c>
      <c r="E304" s="268">
        <v>0</v>
      </c>
      <c r="F304" s="267">
        <v>0</v>
      </c>
      <c r="G304" s="267">
        <v>0</v>
      </c>
      <c r="H304" s="269">
        <f t="shared" si="39"/>
        <v>116204.42558350289</v>
      </c>
      <c r="I304" s="353">
        <v>8370.4777333333332</v>
      </c>
      <c r="J304" s="158">
        <f>'B) D RI'!U305</f>
        <v>8718.0938666666661</v>
      </c>
      <c r="K304" s="115">
        <f t="shared" si="45"/>
        <v>13.882651538603088</v>
      </c>
      <c r="L304" s="63">
        <f>'B) D RI'!S305</f>
        <v>75</v>
      </c>
      <c r="M304" s="63">
        <f t="shared" si="47"/>
        <v>61.117348461396915</v>
      </c>
      <c r="N304" s="223">
        <f>'J) Plafonnement effort'!G303+'J) Plafonnement effort'!H303-'K) Plafonnement aide'!I303</f>
        <v>10.814581689057915</v>
      </c>
      <c r="O304" s="223">
        <f t="shared" si="41"/>
        <v>71.931930150454832</v>
      </c>
      <c r="P304" s="80">
        <f t="shared" si="42"/>
        <v>0</v>
      </c>
      <c r="Q304" s="98">
        <f t="shared" si="46"/>
        <v>0</v>
      </c>
      <c r="R304" s="258">
        <f t="shared" si="43"/>
        <v>71.931930150454832</v>
      </c>
      <c r="S304" s="223">
        <f t="shared" si="44"/>
        <v>-3.0680698495451679</v>
      </c>
      <c r="T304" s="257"/>
    </row>
    <row r="305" spans="1:20" x14ac:dyDescent="0.25">
      <c r="A305" s="82">
        <f>'A) Base RI'!A306</f>
        <v>5915</v>
      </c>
      <c r="B305" s="95" t="str">
        <f>'A) Base RI'!B306</f>
        <v>Essert-Pittet</v>
      </c>
      <c r="C305" s="266">
        <v>58099.483201216201</v>
      </c>
      <c r="D305" s="267">
        <v>-20437.739744694845</v>
      </c>
      <c r="E305" s="268">
        <v>0</v>
      </c>
      <c r="F305" s="267">
        <v>0</v>
      </c>
      <c r="G305" s="267">
        <v>0</v>
      </c>
      <c r="H305" s="269">
        <f t="shared" si="39"/>
        <v>37661.743456521355</v>
      </c>
      <c r="I305" s="353">
        <v>3340.5101388888893</v>
      </c>
      <c r="J305" s="158">
        <f>'B) D RI'!U306</f>
        <v>3469.1017098039219</v>
      </c>
      <c r="K305" s="115">
        <f t="shared" si="45"/>
        <v>11.274249108864639</v>
      </c>
      <c r="L305" s="63">
        <f>'B) D RI'!S306</f>
        <v>75</v>
      </c>
      <c r="M305" s="63">
        <f t="shared" si="47"/>
        <v>63.725750891135363</v>
      </c>
      <c r="N305" s="223">
        <f>'J) Plafonnement effort'!G304+'J) Plafonnement effort'!H304-'K) Plafonnement aide'!I304</f>
        <v>7.619697902859464</v>
      </c>
      <c r="O305" s="223">
        <f t="shared" si="41"/>
        <v>71.345448793994819</v>
      </c>
      <c r="P305" s="80">
        <f t="shared" si="42"/>
        <v>0</v>
      </c>
      <c r="Q305" s="98">
        <f t="shared" si="46"/>
        <v>0</v>
      </c>
      <c r="R305" s="258">
        <f t="shared" si="43"/>
        <v>71.345448793994819</v>
      </c>
      <c r="S305" s="223">
        <f t="shared" si="44"/>
        <v>-3.6545512060051806</v>
      </c>
      <c r="T305" s="257"/>
    </row>
    <row r="306" spans="1:20" x14ac:dyDescent="0.25">
      <c r="A306" s="82">
        <f>'A) Base RI'!A307</f>
        <v>5919</v>
      </c>
      <c r="B306" s="95" t="str">
        <f>'A) Base RI'!B307</f>
        <v>Mathod</v>
      </c>
      <c r="C306" s="266">
        <v>201169.07516698889</v>
      </c>
      <c r="D306" s="267">
        <v>-15586.708236324135</v>
      </c>
      <c r="E306" s="268">
        <v>0</v>
      </c>
      <c r="F306" s="267">
        <v>0</v>
      </c>
      <c r="G306" s="267">
        <v>0</v>
      </c>
      <c r="H306" s="269">
        <f t="shared" si="39"/>
        <v>185582.36693066475</v>
      </c>
      <c r="I306" s="353">
        <v>14148.087177777777</v>
      </c>
      <c r="J306" s="158">
        <f>'B) D RI'!U307</f>
        <v>14691.435202702703</v>
      </c>
      <c r="K306" s="115">
        <f t="shared" si="45"/>
        <v>13.117134818207555</v>
      </c>
      <c r="L306" s="63">
        <f>'B) D RI'!S307</f>
        <v>74</v>
      </c>
      <c r="M306" s="63">
        <f t="shared" si="47"/>
        <v>60.882865181792447</v>
      </c>
      <c r="N306" s="223">
        <f>'J) Plafonnement effort'!G305+'J) Plafonnement effort'!H305-'K) Plafonnement aide'!I305</f>
        <v>15.249812528589263</v>
      </c>
      <c r="O306" s="223">
        <f t="shared" si="41"/>
        <v>76.132677710381714</v>
      </c>
      <c r="P306" s="80">
        <f t="shared" si="42"/>
        <v>0</v>
      </c>
      <c r="Q306" s="98">
        <f t="shared" si="46"/>
        <v>0</v>
      </c>
      <c r="R306" s="258">
        <f t="shared" si="43"/>
        <v>76.132677710381714</v>
      </c>
      <c r="S306" s="223">
        <f t="shared" si="44"/>
        <v>2.1326777103817136</v>
      </c>
      <c r="T306" s="257"/>
    </row>
    <row r="307" spans="1:20" x14ac:dyDescent="0.25">
      <c r="A307" s="82">
        <f>'A) Base RI'!A308</f>
        <v>5921</v>
      </c>
      <c r="B307" s="95" t="str">
        <f>'A) Base RI'!B308</f>
        <v>Molondin</v>
      </c>
      <c r="C307" s="266">
        <v>109997.84133747626</v>
      </c>
      <c r="D307" s="267">
        <v>-37132.051719589508</v>
      </c>
      <c r="E307" s="268">
        <v>0</v>
      </c>
      <c r="F307" s="267">
        <v>0</v>
      </c>
      <c r="G307" s="267">
        <v>0</v>
      </c>
      <c r="H307" s="269">
        <f t="shared" si="39"/>
        <v>72865.789617886752</v>
      </c>
      <c r="I307" s="353">
        <v>5130.2104938271614</v>
      </c>
      <c r="J307" s="158">
        <f>'B) D RI'!U308</f>
        <v>4662.1348148148145</v>
      </c>
      <c r="K307" s="115">
        <f t="shared" si="45"/>
        <v>14.203274837467443</v>
      </c>
      <c r="L307" s="63">
        <f>'B) D RI'!S308</f>
        <v>81</v>
      </c>
      <c r="M307" s="63">
        <f t="shared" si="47"/>
        <v>66.796725162532553</v>
      </c>
      <c r="N307" s="223">
        <f>'J) Plafonnement effort'!G306+'J) Plafonnement effort'!H306-'K) Plafonnement aide'!I306</f>
        <v>-12.660293102537594</v>
      </c>
      <c r="O307" s="223">
        <f t="shared" si="41"/>
        <v>54.136432059994959</v>
      </c>
      <c r="P307" s="80">
        <f t="shared" si="42"/>
        <v>0</v>
      </c>
      <c r="Q307" s="98">
        <f t="shared" si="46"/>
        <v>0</v>
      </c>
      <c r="R307" s="258">
        <f t="shared" si="43"/>
        <v>54.136432059994959</v>
      </c>
      <c r="S307" s="223">
        <f t="shared" si="44"/>
        <v>-26.863567940005041</v>
      </c>
      <c r="T307" s="257"/>
    </row>
    <row r="308" spans="1:20" x14ac:dyDescent="0.25">
      <c r="A308" s="82">
        <f>'A) Base RI'!A309</f>
        <v>5922</v>
      </c>
      <c r="B308" s="95" t="str">
        <f>'A) Base RI'!B309</f>
        <v>Montagny-près-Yverdon</v>
      </c>
      <c r="C308" s="266">
        <v>692970.35194714181</v>
      </c>
      <c r="D308" s="267">
        <v>672267.35155899997</v>
      </c>
      <c r="E308" s="268">
        <v>0</v>
      </c>
      <c r="F308" s="267">
        <v>0</v>
      </c>
      <c r="G308" s="267">
        <v>0</v>
      </c>
      <c r="H308" s="269">
        <f t="shared" si="39"/>
        <v>1365237.7035061419</v>
      </c>
      <c r="I308" s="353">
        <v>40474.332973348028</v>
      </c>
      <c r="J308" s="158">
        <f>'B) D RI'!U309</f>
        <v>45740.98344262295</v>
      </c>
      <c r="K308" s="115">
        <f t="shared" si="45"/>
        <v>33.730950041971987</v>
      </c>
      <c r="L308" s="63">
        <f>'B) D RI'!S309</f>
        <v>61</v>
      </c>
      <c r="M308" s="63">
        <f t="shared" si="47"/>
        <v>27.269049958028013</v>
      </c>
      <c r="N308" s="223">
        <f>'J) Plafonnement effort'!G307+'J) Plafonnement effort'!H307-'K) Plafonnement aide'!I307</f>
        <v>34.939737264484002</v>
      </c>
      <c r="O308" s="223">
        <f t="shared" si="41"/>
        <v>62.208787222512015</v>
      </c>
      <c r="P308" s="80">
        <f t="shared" si="42"/>
        <v>0</v>
      </c>
      <c r="Q308" s="98">
        <f t="shared" si="46"/>
        <v>0</v>
      </c>
      <c r="R308" s="258">
        <f t="shared" si="43"/>
        <v>62.208787222512015</v>
      </c>
      <c r="S308" s="223">
        <f t="shared" si="44"/>
        <v>1.2087872225120151</v>
      </c>
      <c r="T308" s="257"/>
    </row>
    <row r="309" spans="1:20" x14ac:dyDescent="0.25">
      <c r="A309" s="82">
        <f>'A) Base RI'!A310</f>
        <v>5923</v>
      </c>
      <c r="B309" s="95" t="str">
        <f>'A) Base RI'!B310</f>
        <v>Oppens</v>
      </c>
      <c r="C309" s="266">
        <v>61449.045694926448</v>
      </c>
      <c r="D309" s="267">
        <v>-34524.678180796443</v>
      </c>
      <c r="E309" s="268">
        <v>0</v>
      </c>
      <c r="F309" s="267">
        <v>0</v>
      </c>
      <c r="G309" s="267">
        <v>0</v>
      </c>
      <c r="H309" s="269">
        <f t="shared" si="39"/>
        <v>26924.367514130005</v>
      </c>
      <c r="I309" s="353">
        <v>4152.0980246913587</v>
      </c>
      <c r="J309" s="158">
        <f>'B) D RI'!U310</f>
        <v>4470.86061728395</v>
      </c>
      <c r="K309" s="115">
        <f t="shared" si="45"/>
        <v>6.4845211635222402</v>
      </c>
      <c r="L309" s="63">
        <f>'B) D RI'!S310</f>
        <v>81</v>
      </c>
      <c r="M309" s="63">
        <f t="shared" si="47"/>
        <v>74.515478836477754</v>
      </c>
      <c r="N309" s="223">
        <f>'J) Plafonnement effort'!G308+'J) Plafonnement effort'!H308-'K) Plafonnement aide'!I308</f>
        <v>7.27363677324173</v>
      </c>
      <c r="O309" s="223">
        <f t="shared" si="41"/>
        <v>81.789115609719488</v>
      </c>
      <c r="P309" s="80">
        <f t="shared" si="42"/>
        <v>0</v>
      </c>
      <c r="Q309" s="98">
        <f t="shared" si="46"/>
        <v>0</v>
      </c>
      <c r="R309" s="258">
        <f t="shared" si="43"/>
        <v>81.789115609719488</v>
      </c>
      <c r="S309" s="223">
        <f t="shared" si="44"/>
        <v>0.78911560971948802</v>
      </c>
      <c r="T309" s="257"/>
    </row>
    <row r="310" spans="1:20" x14ac:dyDescent="0.25">
      <c r="A310" s="82">
        <f>'A) Base RI'!A311</f>
        <v>5924</v>
      </c>
      <c r="B310" s="95" t="str">
        <f>'A) Base RI'!B311</f>
        <v>Orges</v>
      </c>
      <c r="C310" s="266">
        <v>156983.89253220413</v>
      </c>
      <c r="D310" s="267">
        <v>51958.536581273496</v>
      </c>
      <c r="E310" s="268">
        <v>0</v>
      </c>
      <c r="F310" s="267">
        <v>0</v>
      </c>
      <c r="G310" s="267">
        <v>0</v>
      </c>
      <c r="H310" s="269">
        <f t="shared" si="39"/>
        <v>208942.42911347764</v>
      </c>
      <c r="I310" s="353">
        <v>8299.8432432432437</v>
      </c>
      <c r="J310" s="158">
        <f>'B) D RI'!U311</f>
        <v>7786.4310810810803</v>
      </c>
      <c r="K310" s="115">
        <f t="shared" si="45"/>
        <v>25.174262090259838</v>
      </c>
      <c r="L310" s="63">
        <f>'B) D RI'!S311</f>
        <v>74</v>
      </c>
      <c r="M310" s="63">
        <f t="shared" si="47"/>
        <v>48.825737909740162</v>
      </c>
      <c r="N310" s="223">
        <f>'J) Plafonnement effort'!G309+'J) Plafonnement effort'!H309-'K) Plafonnement aide'!I309</f>
        <v>20.413713449974921</v>
      </c>
      <c r="O310" s="223">
        <f t="shared" si="41"/>
        <v>69.239451359715076</v>
      </c>
      <c r="P310" s="80">
        <f t="shared" si="42"/>
        <v>0</v>
      </c>
      <c r="Q310" s="98">
        <f t="shared" si="46"/>
        <v>0</v>
      </c>
      <c r="R310" s="258">
        <f t="shared" si="43"/>
        <v>69.239451359715076</v>
      </c>
      <c r="S310" s="223">
        <f t="shared" si="44"/>
        <v>-4.7605486402849237</v>
      </c>
      <c r="T310" s="257"/>
    </row>
    <row r="311" spans="1:20" x14ac:dyDescent="0.25">
      <c r="A311" s="82">
        <f>'A) Base RI'!A312</f>
        <v>5925</v>
      </c>
      <c r="B311" s="95" t="str">
        <f>'A) Base RI'!B312</f>
        <v>Orzens</v>
      </c>
      <c r="C311" s="266">
        <v>155465.27607252484</v>
      </c>
      <c r="D311" s="267">
        <v>-45667.750876777034</v>
      </c>
      <c r="E311" s="268">
        <v>0</v>
      </c>
      <c r="F311" s="267">
        <v>0</v>
      </c>
      <c r="G311" s="267">
        <v>0</v>
      </c>
      <c r="H311" s="269">
        <f t="shared" si="39"/>
        <v>109797.5251957478</v>
      </c>
      <c r="I311" s="353">
        <v>4488.6301234567909</v>
      </c>
      <c r="J311" s="158">
        <f>'B) D RI'!U312</f>
        <v>5069.9973417721512</v>
      </c>
      <c r="K311" s="115">
        <f t="shared" si="45"/>
        <v>24.461254809560998</v>
      </c>
      <c r="L311" s="63">
        <f>'B) D RI'!S312</f>
        <v>79</v>
      </c>
      <c r="M311" s="63">
        <f t="shared" si="47"/>
        <v>54.538745190439002</v>
      </c>
      <c r="N311" s="223">
        <f>'J) Plafonnement effort'!G310+'J) Plafonnement effort'!H310-'K) Plafonnement aide'!I310</f>
        <v>10.667054404399053</v>
      </c>
      <c r="O311" s="223">
        <f t="shared" si="41"/>
        <v>65.205799594838055</v>
      </c>
      <c r="P311" s="80">
        <f t="shared" si="42"/>
        <v>0</v>
      </c>
      <c r="Q311" s="98">
        <f t="shared" si="46"/>
        <v>0</v>
      </c>
      <c r="R311" s="258">
        <f t="shared" si="43"/>
        <v>65.205799594838055</v>
      </c>
      <c r="S311" s="223">
        <f t="shared" si="44"/>
        <v>-13.794200405161945</v>
      </c>
      <c r="T311" s="257"/>
    </row>
    <row r="312" spans="1:20" x14ac:dyDescent="0.25">
      <c r="A312" s="82">
        <f>'A) Base RI'!A313</f>
        <v>5926</v>
      </c>
      <c r="B312" s="95" t="str">
        <f>'A) Base RI'!B313</f>
        <v>Pomy</v>
      </c>
      <c r="C312" s="266">
        <v>368645.7895110203</v>
      </c>
      <c r="D312" s="267">
        <v>1987.9319654713618</v>
      </c>
      <c r="E312" s="268">
        <v>0</v>
      </c>
      <c r="F312" s="267">
        <v>0</v>
      </c>
      <c r="G312" s="267">
        <v>0</v>
      </c>
      <c r="H312" s="269">
        <f t="shared" si="39"/>
        <v>370633.72147649166</v>
      </c>
      <c r="I312" s="353">
        <v>18141.219295774648</v>
      </c>
      <c r="J312" s="158">
        <f>'B) D RI'!U313</f>
        <v>22116.912816901407</v>
      </c>
      <c r="K312" s="115">
        <f t="shared" si="45"/>
        <v>20.430474679439964</v>
      </c>
      <c r="L312" s="63">
        <f>'B) D RI'!S313</f>
        <v>71</v>
      </c>
      <c r="M312" s="63">
        <f t="shared" si="47"/>
        <v>50.569525320560032</v>
      </c>
      <c r="N312" s="223">
        <f>'J) Plafonnement effort'!G311+'J) Plafonnement effort'!H311-'K) Plafonnement aide'!I311</f>
        <v>22.032685737886027</v>
      </c>
      <c r="O312" s="223">
        <f t="shared" si="41"/>
        <v>72.602211058446059</v>
      </c>
      <c r="P312" s="80">
        <f t="shared" si="42"/>
        <v>0</v>
      </c>
      <c r="Q312" s="98">
        <f t="shared" si="46"/>
        <v>0</v>
      </c>
      <c r="R312" s="258">
        <f t="shared" si="43"/>
        <v>72.602211058446059</v>
      </c>
      <c r="S312" s="223">
        <f t="shared" si="44"/>
        <v>1.6022110584460592</v>
      </c>
      <c r="T312" s="257"/>
    </row>
    <row r="313" spans="1:20" x14ac:dyDescent="0.25">
      <c r="A313" s="82">
        <f>'A) Base RI'!A314</f>
        <v>5928</v>
      </c>
      <c r="B313" s="95" t="str">
        <f>'A) Base RI'!B314</f>
        <v>Rovray</v>
      </c>
      <c r="C313" s="266">
        <v>49842.543585812957</v>
      </c>
      <c r="D313" s="267">
        <v>-55933.35569071825</v>
      </c>
      <c r="E313" s="268">
        <v>0</v>
      </c>
      <c r="F313" s="267">
        <v>0</v>
      </c>
      <c r="G313" s="267">
        <v>0</v>
      </c>
      <c r="H313" s="269">
        <f t="shared" si="39"/>
        <v>-6090.8121049052934</v>
      </c>
      <c r="I313" s="353">
        <v>3024.0875949367091</v>
      </c>
      <c r="J313" s="158">
        <f>'B) D RI'!U314</f>
        <v>4108.2366666666667</v>
      </c>
      <c r="K313" s="115">
        <f t="shared" si="45"/>
        <v>-2.0140991005363942</v>
      </c>
      <c r="L313" s="63">
        <f>'B) D RI'!S314</f>
        <v>75</v>
      </c>
      <c r="M313" s="63">
        <f t="shared" si="47"/>
        <v>77.014099100536399</v>
      </c>
      <c r="N313" s="223">
        <f>'J) Plafonnement effort'!G312+'J) Plafonnement effort'!H312-'K) Plafonnement aide'!I312</f>
        <v>11.257752005087445</v>
      </c>
      <c r="O313" s="223">
        <f t="shared" si="41"/>
        <v>88.271851105623838</v>
      </c>
      <c r="P313" s="80">
        <f t="shared" si="42"/>
        <v>0</v>
      </c>
      <c r="Q313" s="98">
        <f t="shared" si="46"/>
        <v>0</v>
      </c>
      <c r="R313" s="258">
        <f t="shared" si="43"/>
        <v>88.271851105623838</v>
      </c>
      <c r="S313" s="223">
        <f t="shared" si="44"/>
        <v>13.271851105623838</v>
      </c>
      <c r="T313" s="257"/>
    </row>
    <row r="314" spans="1:20" x14ac:dyDescent="0.25">
      <c r="A314" s="82">
        <f>'A) Base RI'!A315</f>
        <v>5929</v>
      </c>
      <c r="B314" s="95" t="str">
        <f>'A) Base RI'!B315</f>
        <v>Suchy</v>
      </c>
      <c r="C314" s="266">
        <v>246850.74675026353</v>
      </c>
      <c r="D314" s="267">
        <v>159576.74044368151</v>
      </c>
      <c r="E314" s="268">
        <v>0</v>
      </c>
      <c r="F314" s="267">
        <v>0</v>
      </c>
      <c r="G314" s="267">
        <v>0</v>
      </c>
      <c r="H314" s="269">
        <f t="shared" si="39"/>
        <v>406427.48719394504</v>
      </c>
      <c r="I314" s="353">
        <v>16381.763823529411</v>
      </c>
      <c r="J314" s="158">
        <f>'B) D RI'!U315</f>
        <v>16171.057696078431</v>
      </c>
      <c r="K314" s="115">
        <f t="shared" si="45"/>
        <v>24.80975135352557</v>
      </c>
      <c r="L314" s="63">
        <f>'B) D RI'!S315</f>
        <v>68</v>
      </c>
      <c r="M314" s="63">
        <f t="shared" si="47"/>
        <v>43.19024864647443</v>
      </c>
      <c r="N314" s="223">
        <f>'J) Plafonnement effort'!G313+'J) Plafonnement effort'!H313-'K) Plafonnement aide'!I313</f>
        <v>21.755167698948057</v>
      </c>
      <c r="O314" s="223">
        <f t="shared" si="41"/>
        <v>64.945416345422487</v>
      </c>
      <c r="P314" s="80">
        <f t="shared" si="42"/>
        <v>0</v>
      </c>
      <c r="Q314" s="98">
        <f t="shared" si="46"/>
        <v>0</v>
      </c>
      <c r="R314" s="258">
        <f t="shared" si="43"/>
        <v>64.945416345422487</v>
      </c>
      <c r="S314" s="223">
        <f t="shared" si="44"/>
        <v>-3.0545836545775131</v>
      </c>
      <c r="T314" s="257"/>
    </row>
    <row r="315" spans="1:20" x14ac:dyDescent="0.25">
      <c r="A315" s="82">
        <f>'A) Base RI'!A316</f>
        <v>5930</v>
      </c>
      <c r="B315" s="95" t="str">
        <f>'A) Base RI'!B316</f>
        <v>Suscévaz</v>
      </c>
      <c r="C315" s="266">
        <v>82079.228088455013</v>
      </c>
      <c r="D315" s="267">
        <v>-13103.427416808758</v>
      </c>
      <c r="E315" s="268">
        <v>0</v>
      </c>
      <c r="F315" s="267">
        <v>0</v>
      </c>
      <c r="G315" s="267">
        <v>0</v>
      </c>
      <c r="H315" s="269">
        <f t="shared" si="39"/>
        <v>68975.800671646255</v>
      </c>
      <c r="I315" s="353">
        <v>4331.1975757575756</v>
      </c>
      <c r="J315" s="158">
        <f>'B) D RI'!U316</f>
        <v>4973.4774242424237</v>
      </c>
      <c r="K315" s="115">
        <f t="shared" si="45"/>
        <v>15.925341540112402</v>
      </c>
      <c r="L315" s="63">
        <f>'B) D RI'!S316</f>
        <v>66</v>
      </c>
      <c r="M315" s="63">
        <f t="shared" si="47"/>
        <v>50.074658459887601</v>
      </c>
      <c r="N315" s="223">
        <f>'J) Plafonnement effort'!G314+'J) Plafonnement effort'!H314-'K) Plafonnement aide'!I314</f>
        <v>29.714173372322865</v>
      </c>
      <c r="O315" s="223">
        <f t="shared" si="41"/>
        <v>79.788831832210462</v>
      </c>
      <c r="P315" s="80">
        <f t="shared" si="42"/>
        <v>0</v>
      </c>
      <c r="Q315" s="98">
        <f t="shared" si="46"/>
        <v>0</v>
      </c>
      <c r="R315" s="258">
        <f t="shared" si="43"/>
        <v>79.788831832210462</v>
      </c>
      <c r="S315" s="223">
        <f t="shared" si="44"/>
        <v>13.788831832210462</v>
      </c>
      <c r="T315" s="257"/>
    </row>
    <row r="316" spans="1:20" x14ac:dyDescent="0.25">
      <c r="A316" s="82">
        <f>'A) Base RI'!A317</f>
        <v>5931</v>
      </c>
      <c r="B316" s="95" t="str">
        <f>'A) Base RI'!B317</f>
        <v>Treycovagnes</v>
      </c>
      <c r="C316" s="266">
        <v>199471.94426602498</v>
      </c>
      <c r="D316" s="267">
        <v>39633.855718378327</v>
      </c>
      <c r="E316" s="268">
        <v>0</v>
      </c>
      <c r="F316" s="267">
        <v>0</v>
      </c>
      <c r="G316" s="267">
        <v>0</v>
      </c>
      <c r="H316" s="269">
        <f t="shared" si="39"/>
        <v>239105.7999844033</v>
      </c>
      <c r="I316" s="353">
        <v>13294.513896103896</v>
      </c>
      <c r="J316" s="158">
        <f>'B) D RI'!U317</f>
        <v>11474.723896103897</v>
      </c>
      <c r="K316" s="115">
        <f t="shared" si="45"/>
        <v>17.985298436107236</v>
      </c>
      <c r="L316" s="63">
        <f>'B) D RI'!S317</f>
        <v>77</v>
      </c>
      <c r="M316" s="63">
        <f t="shared" si="47"/>
        <v>59.014701563892764</v>
      </c>
      <c r="N316" s="223">
        <f>'J) Plafonnement effort'!G315+'J) Plafonnement effort'!H315-'K) Plafonnement aide'!I315</f>
        <v>9.6576901383444511</v>
      </c>
      <c r="O316" s="223">
        <f t="shared" si="41"/>
        <v>68.672391702237221</v>
      </c>
      <c r="P316" s="80">
        <f t="shared" si="42"/>
        <v>0</v>
      </c>
      <c r="Q316" s="98">
        <f t="shared" si="46"/>
        <v>0</v>
      </c>
      <c r="R316" s="258">
        <f t="shared" si="43"/>
        <v>68.672391702237221</v>
      </c>
      <c r="S316" s="223">
        <f t="shared" si="44"/>
        <v>-8.3276082977627794</v>
      </c>
      <c r="T316" s="257"/>
    </row>
    <row r="317" spans="1:20" x14ac:dyDescent="0.25">
      <c r="A317" s="82">
        <f>'A) Base RI'!A318</f>
        <v>5932</v>
      </c>
      <c r="B317" s="95" t="str">
        <f>'A) Base RI'!B318</f>
        <v>Ursins</v>
      </c>
      <c r="C317" s="266">
        <v>123470.59426856626</v>
      </c>
      <c r="D317" s="267">
        <v>36208.485183160272</v>
      </c>
      <c r="E317" s="268">
        <v>0</v>
      </c>
      <c r="F317" s="267">
        <v>0</v>
      </c>
      <c r="G317" s="267">
        <v>0</v>
      </c>
      <c r="H317" s="269">
        <f t="shared" si="39"/>
        <v>159679.07945172652</v>
      </c>
      <c r="I317" s="353">
        <v>6373.41641025641</v>
      </c>
      <c r="J317" s="158">
        <f>'B) D RI'!U318</f>
        <v>5257.3797435897432</v>
      </c>
      <c r="K317" s="115">
        <f t="shared" si="45"/>
        <v>25.053922288015453</v>
      </c>
      <c r="L317" s="63">
        <f>'B) D RI'!S318</f>
        <v>78</v>
      </c>
      <c r="M317" s="63">
        <f t="shared" si="47"/>
        <v>52.946077711984543</v>
      </c>
      <c r="N317" s="223">
        <f>'J) Plafonnement effort'!G316+'J) Plafonnement effort'!H316-'K) Plafonnement aide'!I316</f>
        <v>6.9542353578298828</v>
      </c>
      <c r="O317" s="223">
        <f t="shared" si="41"/>
        <v>59.900313069814423</v>
      </c>
      <c r="P317" s="80">
        <f t="shared" si="42"/>
        <v>0</v>
      </c>
      <c r="Q317" s="98">
        <f t="shared" si="46"/>
        <v>0</v>
      </c>
      <c r="R317" s="258">
        <f t="shared" si="43"/>
        <v>59.900313069814423</v>
      </c>
      <c r="S317" s="223">
        <f t="shared" si="44"/>
        <v>-18.099686930185577</v>
      </c>
      <c r="T317" s="257"/>
    </row>
    <row r="318" spans="1:20" x14ac:dyDescent="0.25">
      <c r="A318" s="82">
        <f>'A) Base RI'!A319</f>
        <v>5933</v>
      </c>
      <c r="B318" s="95" t="str">
        <f>'A) Base RI'!B319</f>
        <v>Valeyres-sous-Montagny</v>
      </c>
      <c r="C318" s="266">
        <v>274807.65326431388</v>
      </c>
      <c r="D318" s="267">
        <v>96316.616253916698</v>
      </c>
      <c r="E318" s="268">
        <v>0</v>
      </c>
      <c r="F318" s="267">
        <v>0</v>
      </c>
      <c r="G318" s="267">
        <v>0</v>
      </c>
      <c r="H318" s="269">
        <f t="shared" si="39"/>
        <v>371124.26951823058</v>
      </c>
      <c r="I318" s="353">
        <v>19397.496944444443</v>
      </c>
      <c r="J318" s="158">
        <f>'B) D RI'!U319</f>
        <v>19712.293888888889</v>
      </c>
      <c r="K318" s="115">
        <f t="shared" si="45"/>
        <v>19.132585538286307</v>
      </c>
      <c r="L318" s="63">
        <f>'B) D RI'!S319</f>
        <v>72</v>
      </c>
      <c r="M318" s="63">
        <f t="shared" si="47"/>
        <v>52.867414461713693</v>
      </c>
      <c r="N318" s="223">
        <f>'J) Plafonnement effort'!G317+'J) Plafonnement effort'!H317-'K) Plafonnement aide'!I317</f>
        <v>15.40179788501408</v>
      </c>
      <c r="O318" s="223">
        <f t="shared" si="41"/>
        <v>68.26921234672777</v>
      </c>
      <c r="P318" s="80">
        <f t="shared" si="42"/>
        <v>0</v>
      </c>
      <c r="Q318" s="98">
        <f t="shared" si="46"/>
        <v>0</v>
      </c>
      <c r="R318" s="258">
        <f t="shared" si="43"/>
        <v>68.26921234672777</v>
      </c>
      <c r="S318" s="223">
        <f t="shared" si="44"/>
        <v>-3.7307876532722304</v>
      </c>
      <c r="T318" s="257"/>
    </row>
    <row r="319" spans="1:20" x14ac:dyDescent="0.25">
      <c r="A319" s="82">
        <f>'A) Base RI'!A320</f>
        <v>5934</v>
      </c>
      <c r="B319" s="95" t="str">
        <f>'A) Base RI'!B320</f>
        <v>Valeyres-sous-Ursins</v>
      </c>
      <c r="C319" s="266">
        <v>89295.348853800941</v>
      </c>
      <c r="D319" s="267">
        <v>5207.1554433143465</v>
      </c>
      <c r="E319" s="268">
        <v>0</v>
      </c>
      <c r="F319" s="267">
        <v>0</v>
      </c>
      <c r="G319" s="267">
        <v>0</v>
      </c>
      <c r="H319" s="269">
        <f t="shared" si="39"/>
        <v>94502.504297115287</v>
      </c>
      <c r="I319" s="353">
        <v>6624.3614102564097</v>
      </c>
      <c r="J319" s="158">
        <f>'B) D RI'!U320</f>
        <v>5945.0260256410256</v>
      </c>
      <c r="K319" s="115">
        <f t="shared" si="45"/>
        <v>14.265904053905986</v>
      </c>
      <c r="L319" s="63">
        <f>'B) D RI'!S320</f>
        <v>78</v>
      </c>
      <c r="M319" s="63">
        <f t="shared" si="47"/>
        <v>63.734095946094016</v>
      </c>
      <c r="N319" s="223">
        <f>'J) Plafonnement effort'!G318+'J) Plafonnement effort'!H318-'K) Plafonnement aide'!I318</f>
        <v>6.5659212335200037</v>
      </c>
      <c r="O319" s="223">
        <f t="shared" si="41"/>
        <v>70.300017179614017</v>
      </c>
      <c r="P319" s="80">
        <f t="shared" si="42"/>
        <v>0</v>
      </c>
      <c r="Q319" s="98">
        <f t="shared" si="46"/>
        <v>0</v>
      </c>
      <c r="R319" s="258">
        <f t="shared" si="43"/>
        <v>70.300017179614017</v>
      </c>
      <c r="S319" s="223">
        <f t="shared" si="44"/>
        <v>-7.6999828203859835</v>
      </c>
      <c r="T319" s="257"/>
    </row>
    <row r="320" spans="1:20" x14ac:dyDescent="0.25">
      <c r="A320" s="82">
        <f>'A) Base RI'!A321</f>
        <v>5935</v>
      </c>
      <c r="B320" s="95" t="str">
        <f>'A) Base RI'!B321</f>
        <v>Villars-Epeney</v>
      </c>
      <c r="C320" s="266">
        <v>62745.379912973622</v>
      </c>
      <c r="D320" s="267">
        <v>69618.273360499996</v>
      </c>
      <c r="E320" s="268">
        <v>0</v>
      </c>
      <c r="F320" s="267">
        <v>0</v>
      </c>
      <c r="G320" s="267">
        <v>0</v>
      </c>
      <c r="H320" s="269">
        <f t="shared" si="39"/>
        <v>132363.65327347361</v>
      </c>
      <c r="I320" s="353">
        <v>4240.7286666666669</v>
      </c>
      <c r="J320" s="158">
        <f>'B) D RI'!U321</f>
        <v>3981.1370000000011</v>
      </c>
      <c r="K320" s="115">
        <f t="shared" si="45"/>
        <v>31.212478721850225</v>
      </c>
      <c r="L320" s="63">
        <f>'B) D RI'!S321</f>
        <v>60</v>
      </c>
      <c r="M320" s="63">
        <f t="shared" si="47"/>
        <v>28.787521278149775</v>
      </c>
      <c r="N320" s="223">
        <f>'J) Plafonnement effort'!G319+'J) Plafonnement effort'!H319-'K) Plafonnement aide'!I319</f>
        <v>33.150215300505565</v>
      </c>
      <c r="O320" s="223">
        <f t="shared" si="41"/>
        <v>61.93773657865534</v>
      </c>
      <c r="P320" s="80">
        <f t="shared" si="42"/>
        <v>0</v>
      </c>
      <c r="Q320" s="98">
        <f t="shared" si="46"/>
        <v>0</v>
      </c>
      <c r="R320" s="258">
        <f t="shared" si="43"/>
        <v>61.93773657865534</v>
      </c>
      <c r="S320" s="223">
        <f t="shared" si="44"/>
        <v>1.9377365786553398</v>
      </c>
      <c r="T320" s="257"/>
    </row>
    <row r="321" spans="1:20" x14ac:dyDescent="0.25">
      <c r="A321" s="82">
        <f>'A) Base RI'!A322</f>
        <v>5937</v>
      </c>
      <c r="B321" s="95" t="str">
        <f>'A) Base RI'!B322</f>
        <v>Vugelles-La Mothe</v>
      </c>
      <c r="C321" s="266">
        <v>47551.855788214903</v>
      </c>
      <c r="D321" s="267">
        <v>-40853.23425269463</v>
      </c>
      <c r="E321" s="268">
        <v>0</v>
      </c>
      <c r="F321" s="267">
        <v>0</v>
      </c>
      <c r="G321" s="267">
        <v>0</v>
      </c>
      <c r="H321" s="269">
        <f t="shared" si="39"/>
        <v>6698.621535520273</v>
      </c>
      <c r="I321" s="353">
        <v>2171.2381224489795</v>
      </c>
      <c r="J321" s="158">
        <f>'B) D RI'!U322</f>
        <v>2078.5690612244898</v>
      </c>
      <c r="K321" s="115">
        <f t="shared" si="45"/>
        <v>3.0851620862131761</v>
      </c>
      <c r="L321" s="63">
        <f>'B) D RI'!S322</f>
        <v>70</v>
      </c>
      <c r="M321" s="63">
        <f t="shared" si="47"/>
        <v>66.914837913786826</v>
      </c>
      <c r="N321" s="223">
        <f>'J) Plafonnement effort'!G320+'J) Plafonnement effort'!H320-'K) Plafonnement aide'!I320</f>
        <v>-22.623878584003588</v>
      </c>
      <c r="O321" s="223">
        <f t="shared" si="41"/>
        <v>44.290959329783234</v>
      </c>
      <c r="P321" s="80">
        <f t="shared" si="42"/>
        <v>0</v>
      </c>
      <c r="Q321" s="98">
        <f t="shared" si="46"/>
        <v>0</v>
      </c>
      <c r="R321" s="258">
        <f t="shared" si="43"/>
        <v>44.290959329783234</v>
      </c>
      <c r="S321" s="223">
        <f t="shared" si="44"/>
        <v>-25.709040670216766</v>
      </c>
      <c r="T321" s="257"/>
    </row>
    <row r="322" spans="1:20" x14ac:dyDescent="0.25">
      <c r="A322" s="82">
        <f>'A) Base RI'!A323</f>
        <v>5938</v>
      </c>
      <c r="B322" s="95" t="str">
        <f>'A) Base RI'!B323</f>
        <v>Yverdon-les-Bains</v>
      </c>
      <c r="C322" s="266">
        <v>12928932.551382184</v>
      </c>
      <c r="D322" s="267">
        <v>-21493557.934709832</v>
      </c>
      <c r="E322" s="268">
        <v>5557729.605549871</v>
      </c>
      <c r="F322" s="267">
        <v>0</v>
      </c>
      <c r="G322" s="267">
        <v>0</v>
      </c>
      <c r="H322" s="269">
        <f t="shared" si="39"/>
        <v>-3006895.7777777771</v>
      </c>
      <c r="I322" s="353">
        <v>751723.94444444438</v>
      </c>
      <c r="J322" s="158">
        <f>'B) D RI'!U323</f>
        <v>756903.16758169921</v>
      </c>
      <c r="K322" s="115">
        <f t="shared" si="45"/>
        <v>-3.9999999999999996</v>
      </c>
      <c r="L322" s="63">
        <f>'B) D RI'!S323</f>
        <v>76.5</v>
      </c>
      <c r="M322" s="63">
        <f t="shared" si="47"/>
        <v>80.5</v>
      </c>
      <c r="N322" s="223">
        <f>'J) Plafonnement effort'!G321+'J) Plafonnement effort'!H321-'K) Plafonnement aide'!I321</f>
        <v>-14.197659465521273</v>
      </c>
      <c r="O322" s="223">
        <f t="shared" si="41"/>
        <v>66.302340534478731</v>
      </c>
      <c r="P322" s="80">
        <f t="shared" si="42"/>
        <v>0</v>
      </c>
      <c r="Q322" s="98">
        <f t="shared" si="46"/>
        <v>0</v>
      </c>
      <c r="R322" s="258">
        <f t="shared" si="43"/>
        <v>66.302340534478731</v>
      </c>
      <c r="S322" s="223">
        <f t="shared" si="44"/>
        <v>-10.197659465521269</v>
      </c>
      <c r="T322" s="257"/>
    </row>
    <row r="323" spans="1:20" x14ac:dyDescent="0.25">
      <c r="A323" s="84">
        <f>'A) Base RI'!A324</f>
        <v>5939</v>
      </c>
      <c r="B323" s="96" t="str">
        <f>'A) Base RI'!B324</f>
        <v>Yvonand</v>
      </c>
      <c r="C323" s="270">
        <v>1547219.9465403832</v>
      </c>
      <c r="D323" s="267">
        <v>-317643.33774997713</v>
      </c>
      <c r="E323" s="268">
        <v>0</v>
      </c>
      <c r="F323" s="267">
        <v>0</v>
      </c>
      <c r="G323" s="267">
        <v>0</v>
      </c>
      <c r="H323" s="269">
        <f t="shared" si="39"/>
        <v>1229576.608790406</v>
      </c>
      <c r="I323" s="354">
        <v>79443.391917808229</v>
      </c>
      <c r="J323" s="159">
        <f>'B) D RI'!U324</f>
        <v>81342.881095890421</v>
      </c>
      <c r="K323" s="115">
        <f t="shared" si="45"/>
        <v>15.477393136266391</v>
      </c>
      <c r="L323" s="151">
        <f>'B) D RI'!S324</f>
        <v>73</v>
      </c>
      <c r="M323" s="151">
        <f t="shared" si="47"/>
        <v>57.522606863733607</v>
      </c>
      <c r="N323" s="226">
        <f>'J) Plafonnement effort'!G322+'J) Plafonnement effort'!H322-'K) Plafonnement aide'!I322</f>
        <v>12.304527950655952</v>
      </c>
      <c r="O323" s="226">
        <f t="shared" si="41"/>
        <v>69.827134814389552</v>
      </c>
      <c r="P323" s="80">
        <f t="shared" si="42"/>
        <v>0</v>
      </c>
      <c r="Q323" s="98">
        <f t="shared" si="46"/>
        <v>0</v>
      </c>
      <c r="R323" s="259">
        <f t="shared" si="43"/>
        <v>69.827134814389552</v>
      </c>
      <c r="S323" s="226">
        <f t="shared" si="44"/>
        <v>-3.1728651856104477</v>
      </c>
      <c r="T323" s="257"/>
    </row>
    <row r="324" spans="1:20" x14ac:dyDescent="0.25">
      <c r="A324" s="60"/>
      <c r="B324" s="213">
        <f>COUNTA(B6:B323)</f>
        <v>318</v>
      </c>
      <c r="C324" s="271">
        <f>SUM(C6:C323)</f>
        <v>638238502.99999893</v>
      </c>
      <c r="D324" s="271">
        <f>SUM(D6:D323)</f>
        <v>125065631.40895346</v>
      </c>
      <c r="E324" s="271">
        <f>SUM(E6:E323)</f>
        <v>6569327.5033911765</v>
      </c>
      <c r="F324" s="271">
        <f>SUM(F6:F323)</f>
        <v>-38370.692304672266</v>
      </c>
      <c r="G324" s="272">
        <f>SUM(G6:G323)</f>
        <v>-23031.397784901172</v>
      </c>
      <c r="H324" s="229">
        <f t="shared" si="39"/>
        <v>769812059.82225382</v>
      </c>
      <c r="I324" s="273">
        <v>31897703.393335767</v>
      </c>
      <c r="J324" s="159">
        <f>SUM(J6:J323)</f>
        <v>34755744.815253168</v>
      </c>
      <c r="K324" s="107">
        <f t="shared" si="45"/>
        <v>24.13377697853592</v>
      </c>
      <c r="L324" s="45">
        <f>'B) D RI'!S325</f>
        <v>67.882509741731482</v>
      </c>
      <c r="M324" s="45"/>
      <c r="N324" s="160"/>
      <c r="O324" s="160"/>
      <c r="P324" s="208"/>
      <c r="Q324" s="67">
        <f>SUM(Q6:Q323)</f>
        <v>-68223.049893038304</v>
      </c>
      <c r="R324" s="212"/>
      <c r="S324" s="160"/>
      <c r="T324" s="261"/>
    </row>
    <row r="325" spans="1:20" x14ac:dyDescent="0.25">
      <c r="T325" s="51"/>
    </row>
  </sheetData>
  <sheetProtection sheet="1" objects="1" scenarios="1"/>
  <mergeCells count="17">
    <mergeCell ref="M4:M5"/>
    <mergeCell ref="L4:L5"/>
    <mergeCell ref="H4:H5"/>
    <mergeCell ref="G4:G5"/>
    <mergeCell ref="F4:F5"/>
    <mergeCell ref="S4:S5"/>
    <mergeCell ref="R4:R5"/>
    <mergeCell ref="Q4:Q5"/>
    <mergeCell ref="O4:O5"/>
    <mergeCell ref="N4:N5"/>
    <mergeCell ref="C3:I3"/>
    <mergeCell ref="C4:C5"/>
    <mergeCell ref="B4:B5"/>
    <mergeCell ref="A4:A5"/>
    <mergeCell ref="K4:K5"/>
    <mergeCell ref="E4:E5"/>
    <mergeCell ref="D4:D5"/>
  </mergeCells>
  <phoneticPr fontId="0" type="noConversion"/>
  <printOptions horizontalCentered="1"/>
  <pageMargins left="0" right="0" top="0" bottom="0" header="0.51181102362204722" footer="0.51181102362204722"/>
  <pageSetup paperSize="9" scale="63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325"/>
  <sheetViews>
    <sheetView workbookViewId="0"/>
  </sheetViews>
  <sheetFormatPr baseColWidth="10" defaultColWidth="9.375" defaultRowHeight="15" x14ac:dyDescent="0.25"/>
  <cols>
    <col min="1" max="1" width="8.125" style="374" customWidth="1"/>
    <col min="2" max="2" width="17.875" style="374" bestFit="1" customWidth="1"/>
    <col min="3" max="3" width="9.875" style="374" customWidth="1"/>
    <col min="4" max="4" width="10.5" style="374" customWidth="1"/>
    <col min="5" max="5" width="5.625" style="374" bestFit="1" customWidth="1"/>
    <col min="6" max="6" width="12" style="374" bestFit="1" customWidth="1"/>
    <col min="7" max="7" width="10.875" style="374" bestFit="1" customWidth="1"/>
    <col min="8" max="8" width="12" style="374" bestFit="1" customWidth="1"/>
    <col min="9" max="9" width="9.875" style="374" bestFit="1" customWidth="1"/>
    <col min="10" max="10" width="11.375" style="374" bestFit="1" customWidth="1"/>
    <col min="11" max="11" width="11.75" style="374" customWidth="1"/>
    <col min="12" max="12" width="11.375" style="374" bestFit="1" customWidth="1"/>
    <col min="13" max="13" width="9.75" style="374" bestFit="1" customWidth="1"/>
    <col min="14" max="14" width="11.375" style="374" bestFit="1" customWidth="1"/>
    <col min="15" max="15" width="10.75" style="374" bestFit="1" customWidth="1"/>
    <col min="16" max="18" width="9.375" style="375"/>
    <col min="19" max="19" width="1.625" style="375" bestFit="1" customWidth="1"/>
    <col min="20" max="20" width="9.375" style="376"/>
    <col min="21" max="21" width="8.875" style="376" customWidth="1"/>
    <col min="22" max="22" width="13.125" style="376" customWidth="1"/>
    <col min="23" max="23" width="9.375" style="375"/>
    <col min="24" max="24" width="9.875" style="376" customWidth="1"/>
    <col min="25" max="25" width="11.75" style="376" bestFit="1" customWidth="1"/>
    <col min="26" max="28" width="9.375" style="375"/>
    <col min="29" max="255" width="9.375" style="374"/>
    <col min="256" max="256" width="5" style="374" customWidth="1"/>
    <col min="257" max="257" width="17.875" style="374" bestFit="1" customWidth="1"/>
    <col min="258" max="258" width="9.875" style="374" customWidth="1"/>
    <col min="259" max="259" width="8.875" style="374" customWidth="1"/>
    <col min="260" max="260" width="7.375" style="374" bestFit="1" customWidth="1"/>
    <col min="261" max="261" width="10.125" style="374" bestFit="1" customWidth="1"/>
    <col min="262" max="262" width="9.375" style="374"/>
    <col min="263" max="263" width="10.125" style="374" bestFit="1" customWidth="1"/>
    <col min="264" max="264" width="10.75" style="374" customWidth="1"/>
    <col min="265" max="267" width="9.375" style="374"/>
    <col min="268" max="269" width="10.75" style="374" customWidth="1"/>
    <col min="270" max="274" width="9.375" style="374"/>
    <col min="275" max="275" width="1.625" style="374" bestFit="1" customWidth="1"/>
    <col min="276" max="276" width="9.375" style="374"/>
    <col min="277" max="277" width="8.875" style="374" customWidth="1"/>
    <col min="278" max="278" width="13.125" style="374" customWidth="1"/>
    <col min="279" max="279" width="9.375" style="374"/>
    <col min="280" max="280" width="9.875" style="374" customWidth="1"/>
    <col min="281" max="281" width="11.75" style="374" bestFit="1" customWidth="1"/>
    <col min="282" max="511" width="9.375" style="374"/>
    <col min="512" max="512" width="5" style="374" customWidth="1"/>
    <col min="513" max="513" width="17.875" style="374" bestFit="1" customWidth="1"/>
    <col min="514" max="514" width="9.875" style="374" customWidth="1"/>
    <col min="515" max="515" width="8.875" style="374" customWidth="1"/>
    <col min="516" max="516" width="7.375" style="374" bestFit="1" customWidth="1"/>
    <col min="517" max="517" width="10.125" style="374" bestFit="1" customWidth="1"/>
    <col min="518" max="518" width="9.375" style="374"/>
    <col min="519" max="519" width="10.125" style="374" bestFit="1" customWidth="1"/>
    <col min="520" max="520" width="10.75" style="374" customWidth="1"/>
    <col min="521" max="523" width="9.375" style="374"/>
    <col min="524" max="525" width="10.75" style="374" customWidth="1"/>
    <col min="526" max="530" width="9.375" style="374"/>
    <col min="531" max="531" width="1.625" style="374" bestFit="1" customWidth="1"/>
    <col min="532" max="532" width="9.375" style="374"/>
    <col min="533" max="533" width="8.875" style="374" customWidth="1"/>
    <col min="534" max="534" width="13.125" style="374" customWidth="1"/>
    <col min="535" max="535" width="9.375" style="374"/>
    <col min="536" max="536" width="9.875" style="374" customWidth="1"/>
    <col min="537" max="537" width="11.75" style="374" bestFit="1" customWidth="1"/>
    <col min="538" max="767" width="9.375" style="374"/>
    <col min="768" max="768" width="5" style="374" customWidth="1"/>
    <col min="769" max="769" width="17.875" style="374" bestFit="1" customWidth="1"/>
    <col min="770" max="770" width="9.875" style="374" customWidth="1"/>
    <col min="771" max="771" width="8.875" style="374" customWidth="1"/>
    <col min="772" max="772" width="7.375" style="374" bestFit="1" customWidth="1"/>
    <col min="773" max="773" width="10.125" style="374" bestFit="1" customWidth="1"/>
    <col min="774" max="774" width="9.375" style="374"/>
    <col min="775" max="775" width="10.125" style="374" bestFit="1" customWidth="1"/>
    <col min="776" max="776" width="10.75" style="374" customWidth="1"/>
    <col min="777" max="779" width="9.375" style="374"/>
    <col min="780" max="781" width="10.75" style="374" customWidth="1"/>
    <col min="782" max="786" width="9.375" style="374"/>
    <col min="787" max="787" width="1.625" style="374" bestFit="1" customWidth="1"/>
    <col min="788" max="788" width="9.375" style="374"/>
    <col min="789" max="789" width="8.875" style="374" customWidth="1"/>
    <col min="790" max="790" width="13.125" style="374" customWidth="1"/>
    <col min="791" max="791" width="9.375" style="374"/>
    <col min="792" max="792" width="9.875" style="374" customWidth="1"/>
    <col min="793" max="793" width="11.75" style="374" bestFit="1" customWidth="1"/>
    <col min="794" max="1023" width="9.375" style="374"/>
    <col min="1024" max="1024" width="5" style="374" customWidth="1"/>
    <col min="1025" max="1025" width="17.875" style="374" bestFit="1" customWidth="1"/>
    <col min="1026" max="1026" width="9.875" style="374" customWidth="1"/>
    <col min="1027" max="1027" width="8.875" style="374" customWidth="1"/>
    <col min="1028" max="1028" width="7.375" style="374" bestFit="1" customWidth="1"/>
    <col min="1029" max="1029" width="10.125" style="374" bestFit="1" customWidth="1"/>
    <col min="1030" max="1030" width="9.375" style="374"/>
    <col min="1031" max="1031" width="10.125" style="374" bestFit="1" customWidth="1"/>
    <col min="1032" max="1032" width="10.75" style="374" customWidth="1"/>
    <col min="1033" max="1035" width="9.375" style="374"/>
    <col min="1036" max="1037" width="10.75" style="374" customWidth="1"/>
    <col min="1038" max="1042" width="9.375" style="374"/>
    <col min="1043" max="1043" width="1.625" style="374" bestFit="1" customWidth="1"/>
    <col min="1044" max="1044" width="9.375" style="374"/>
    <col min="1045" max="1045" width="8.875" style="374" customWidth="1"/>
    <col min="1046" max="1046" width="13.125" style="374" customWidth="1"/>
    <col min="1047" max="1047" width="9.375" style="374"/>
    <col min="1048" max="1048" width="9.875" style="374" customWidth="1"/>
    <col min="1049" max="1049" width="11.75" style="374" bestFit="1" customWidth="1"/>
    <col min="1050" max="1279" width="9.375" style="374"/>
    <col min="1280" max="1280" width="5" style="374" customWidth="1"/>
    <col min="1281" max="1281" width="17.875" style="374" bestFit="1" customWidth="1"/>
    <col min="1282" max="1282" width="9.875" style="374" customWidth="1"/>
    <col min="1283" max="1283" width="8.875" style="374" customWidth="1"/>
    <col min="1284" max="1284" width="7.375" style="374" bestFit="1" customWidth="1"/>
    <col min="1285" max="1285" width="10.125" style="374" bestFit="1" customWidth="1"/>
    <col min="1286" max="1286" width="9.375" style="374"/>
    <col min="1287" max="1287" width="10.125" style="374" bestFit="1" customWidth="1"/>
    <col min="1288" max="1288" width="10.75" style="374" customWidth="1"/>
    <col min="1289" max="1291" width="9.375" style="374"/>
    <col min="1292" max="1293" width="10.75" style="374" customWidth="1"/>
    <col min="1294" max="1298" width="9.375" style="374"/>
    <col min="1299" max="1299" width="1.625" style="374" bestFit="1" customWidth="1"/>
    <col min="1300" max="1300" width="9.375" style="374"/>
    <col min="1301" max="1301" width="8.875" style="374" customWidth="1"/>
    <col min="1302" max="1302" width="13.125" style="374" customWidth="1"/>
    <col min="1303" max="1303" width="9.375" style="374"/>
    <col min="1304" max="1304" width="9.875" style="374" customWidth="1"/>
    <col min="1305" max="1305" width="11.75" style="374" bestFit="1" customWidth="1"/>
    <col min="1306" max="1535" width="9.375" style="374"/>
    <col min="1536" max="1536" width="5" style="374" customWidth="1"/>
    <col min="1537" max="1537" width="17.875" style="374" bestFit="1" customWidth="1"/>
    <col min="1538" max="1538" width="9.875" style="374" customWidth="1"/>
    <col min="1539" max="1539" width="8.875" style="374" customWidth="1"/>
    <col min="1540" max="1540" width="7.375" style="374" bestFit="1" customWidth="1"/>
    <col min="1541" max="1541" width="10.125" style="374" bestFit="1" customWidth="1"/>
    <col min="1542" max="1542" width="9.375" style="374"/>
    <col min="1543" max="1543" width="10.125" style="374" bestFit="1" customWidth="1"/>
    <col min="1544" max="1544" width="10.75" style="374" customWidth="1"/>
    <col min="1545" max="1547" width="9.375" style="374"/>
    <col min="1548" max="1549" width="10.75" style="374" customWidth="1"/>
    <col min="1550" max="1554" width="9.375" style="374"/>
    <col min="1555" max="1555" width="1.625" style="374" bestFit="1" customWidth="1"/>
    <col min="1556" max="1556" width="9.375" style="374"/>
    <col min="1557" max="1557" width="8.875" style="374" customWidth="1"/>
    <col min="1558" max="1558" width="13.125" style="374" customWidth="1"/>
    <col min="1559" max="1559" width="9.375" style="374"/>
    <col min="1560" max="1560" width="9.875" style="374" customWidth="1"/>
    <col min="1561" max="1561" width="11.75" style="374" bestFit="1" customWidth="1"/>
    <col min="1562" max="1791" width="9.375" style="374"/>
    <col min="1792" max="1792" width="5" style="374" customWidth="1"/>
    <col min="1793" max="1793" width="17.875" style="374" bestFit="1" customWidth="1"/>
    <col min="1794" max="1794" width="9.875" style="374" customWidth="1"/>
    <col min="1795" max="1795" width="8.875" style="374" customWidth="1"/>
    <col min="1796" max="1796" width="7.375" style="374" bestFit="1" customWidth="1"/>
    <col min="1797" max="1797" width="10.125" style="374" bestFit="1" customWidth="1"/>
    <col min="1798" max="1798" width="9.375" style="374"/>
    <col min="1799" max="1799" width="10.125" style="374" bestFit="1" customWidth="1"/>
    <col min="1800" max="1800" width="10.75" style="374" customWidth="1"/>
    <col min="1801" max="1803" width="9.375" style="374"/>
    <col min="1804" max="1805" width="10.75" style="374" customWidth="1"/>
    <col min="1806" max="1810" width="9.375" style="374"/>
    <col min="1811" max="1811" width="1.625" style="374" bestFit="1" customWidth="1"/>
    <col min="1812" max="1812" width="9.375" style="374"/>
    <col min="1813" max="1813" width="8.875" style="374" customWidth="1"/>
    <col min="1814" max="1814" width="13.125" style="374" customWidth="1"/>
    <col min="1815" max="1815" width="9.375" style="374"/>
    <col min="1816" max="1816" width="9.875" style="374" customWidth="1"/>
    <col min="1817" max="1817" width="11.75" style="374" bestFit="1" customWidth="1"/>
    <col min="1818" max="2047" width="9.375" style="374"/>
    <col min="2048" max="2048" width="5" style="374" customWidth="1"/>
    <col min="2049" max="2049" width="17.875" style="374" bestFit="1" customWidth="1"/>
    <col min="2050" max="2050" width="9.875" style="374" customWidth="1"/>
    <col min="2051" max="2051" width="8.875" style="374" customWidth="1"/>
    <col min="2052" max="2052" width="7.375" style="374" bestFit="1" customWidth="1"/>
    <col min="2053" max="2053" width="10.125" style="374" bestFit="1" customWidth="1"/>
    <col min="2054" max="2054" width="9.375" style="374"/>
    <col min="2055" max="2055" width="10.125" style="374" bestFit="1" customWidth="1"/>
    <col min="2056" max="2056" width="10.75" style="374" customWidth="1"/>
    <col min="2057" max="2059" width="9.375" style="374"/>
    <col min="2060" max="2061" width="10.75" style="374" customWidth="1"/>
    <col min="2062" max="2066" width="9.375" style="374"/>
    <col min="2067" max="2067" width="1.625" style="374" bestFit="1" customWidth="1"/>
    <col min="2068" max="2068" width="9.375" style="374"/>
    <col min="2069" max="2069" width="8.875" style="374" customWidth="1"/>
    <col min="2070" max="2070" width="13.125" style="374" customWidth="1"/>
    <col min="2071" max="2071" width="9.375" style="374"/>
    <col min="2072" max="2072" width="9.875" style="374" customWidth="1"/>
    <col min="2073" max="2073" width="11.75" style="374" bestFit="1" customWidth="1"/>
    <col min="2074" max="2303" width="9.375" style="374"/>
    <col min="2304" max="2304" width="5" style="374" customWidth="1"/>
    <col min="2305" max="2305" width="17.875" style="374" bestFit="1" customWidth="1"/>
    <col min="2306" max="2306" width="9.875" style="374" customWidth="1"/>
    <col min="2307" max="2307" width="8.875" style="374" customWidth="1"/>
    <col min="2308" max="2308" width="7.375" style="374" bestFit="1" customWidth="1"/>
    <col min="2309" max="2309" width="10.125" style="374" bestFit="1" customWidth="1"/>
    <col min="2310" max="2310" width="9.375" style="374"/>
    <col min="2311" max="2311" width="10.125" style="374" bestFit="1" customWidth="1"/>
    <col min="2312" max="2312" width="10.75" style="374" customWidth="1"/>
    <col min="2313" max="2315" width="9.375" style="374"/>
    <col min="2316" max="2317" width="10.75" style="374" customWidth="1"/>
    <col min="2318" max="2322" width="9.375" style="374"/>
    <col min="2323" max="2323" width="1.625" style="374" bestFit="1" customWidth="1"/>
    <col min="2324" max="2324" width="9.375" style="374"/>
    <col min="2325" max="2325" width="8.875" style="374" customWidth="1"/>
    <col min="2326" max="2326" width="13.125" style="374" customWidth="1"/>
    <col min="2327" max="2327" width="9.375" style="374"/>
    <col min="2328" max="2328" width="9.875" style="374" customWidth="1"/>
    <col min="2329" max="2329" width="11.75" style="374" bestFit="1" customWidth="1"/>
    <col min="2330" max="2559" width="9.375" style="374"/>
    <col min="2560" max="2560" width="5" style="374" customWidth="1"/>
    <col min="2561" max="2561" width="17.875" style="374" bestFit="1" customWidth="1"/>
    <col min="2562" max="2562" width="9.875" style="374" customWidth="1"/>
    <col min="2563" max="2563" width="8.875" style="374" customWidth="1"/>
    <col min="2564" max="2564" width="7.375" style="374" bestFit="1" customWidth="1"/>
    <col min="2565" max="2565" width="10.125" style="374" bestFit="1" customWidth="1"/>
    <col min="2566" max="2566" width="9.375" style="374"/>
    <col min="2567" max="2567" width="10.125" style="374" bestFit="1" customWidth="1"/>
    <col min="2568" max="2568" width="10.75" style="374" customWidth="1"/>
    <col min="2569" max="2571" width="9.375" style="374"/>
    <col min="2572" max="2573" width="10.75" style="374" customWidth="1"/>
    <col min="2574" max="2578" width="9.375" style="374"/>
    <col min="2579" max="2579" width="1.625" style="374" bestFit="1" customWidth="1"/>
    <col min="2580" max="2580" width="9.375" style="374"/>
    <col min="2581" max="2581" width="8.875" style="374" customWidth="1"/>
    <col min="2582" max="2582" width="13.125" style="374" customWidth="1"/>
    <col min="2583" max="2583" width="9.375" style="374"/>
    <col min="2584" max="2584" width="9.875" style="374" customWidth="1"/>
    <col min="2585" max="2585" width="11.75" style="374" bestFit="1" customWidth="1"/>
    <col min="2586" max="2815" width="9.375" style="374"/>
    <col min="2816" max="2816" width="5" style="374" customWidth="1"/>
    <col min="2817" max="2817" width="17.875" style="374" bestFit="1" customWidth="1"/>
    <col min="2818" max="2818" width="9.875" style="374" customWidth="1"/>
    <col min="2819" max="2819" width="8.875" style="374" customWidth="1"/>
    <col min="2820" max="2820" width="7.375" style="374" bestFit="1" customWidth="1"/>
    <col min="2821" max="2821" width="10.125" style="374" bestFit="1" customWidth="1"/>
    <col min="2822" max="2822" width="9.375" style="374"/>
    <col min="2823" max="2823" width="10.125" style="374" bestFit="1" customWidth="1"/>
    <col min="2824" max="2824" width="10.75" style="374" customWidth="1"/>
    <col min="2825" max="2827" width="9.375" style="374"/>
    <col min="2828" max="2829" width="10.75" style="374" customWidth="1"/>
    <col min="2830" max="2834" width="9.375" style="374"/>
    <col min="2835" max="2835" width="1.625" style="374" bestFit="1" customWidth="1"/>
    <col min="2836" max="2836" width="9.375" style="374"/>
    <col min="2837" max="2837" width="8.875" style="374" customWidth="1"/>
    <col min="2838" max="2838" width="13.125" style="374" customWidth="1"/>
    <col min="2839" max="2839" width="9.375" style="374"/>
    <col min="2840" max="2840" width="9.875" style="374" customWidth="1"/>
    <col min="2841" max="2841" width="11.75" style="374" bestFit="1" customWidth="1"/>
    <col min="2842" max="3071" width="9.375" style="374"/>
    <col min="3072" max="3072" width="5" style="374" customWidth="1"/>
    <col min="3073" max="3073" width="17.875" style="374" bestFit="1" customWidth="1"/>
    <col min="3074" max="3074" width="9.875" style="374" customWidth="1"/>
    <col min="3075" max="3075" width="8.875" style="374" customWidth="1"/>
    <col min="3076" max="3076" width="7.375" style="374" bestFit="1" customWidth="1"/>
    <col min="3077" max="3077" width="10.125" style="374" bestFit="1" customWidth="1"/>
    <col min="3078" max="3078" width="9.375" style="374"/>
    <col min="3079" max="3079" width="10.125" style="374" bestFit="1" customWidth="1"/>
    <col min="3080" max="3080" width="10.75" style="374" customWidth="1"/>
    <col min="3081" max="3083" width="9.375" style="374"/>
    <col min="3084" max="3085" width="10.75" style="374" customWidth="1"/>
    <col min="3086" max="3090" width="9.375" style="374"/>
    <col min="3091" max="3091" width="1.625" style="374" bestFit="1" customWidth="1"/>
    <col min="3092" max="3092" width="9.375" style="374"/>
    <col min="3093" max="3093" width="8.875" style="374" customWidth="1"/>
    <col min="3094" max="3094" width="13.125" style="374" customWidth="1"/>
    <col min="3095" max="3095" width="9.375" style="374"/>
    <col min="3096" max="3096" width="9.875" style="374" customWidth="1"/>
    <col min="3097" max="3097" width="11.75" style="374" bestFit="1" customWidth="1"/>
    <col min="3098" max="3327" width="9.375" style="374"/>
    <col min="3328" max="3328" width="5" style="374" customWidth="1"/>
    <col min="3329" max="3329" width="17.875" style="374" bestFit="1" customWidth="1"/>
    <col min="3330" max="3330" width="9.875" style="374" customWidth="1"/>
    <col min="3331" max="3331" width="8.875" style="374" customWidth="1"/>
    <col min="3332" max="3332" width="7.375" style="374" bestFit="1" customWidth="1"/>
    <col min="3333" max="3333" width="10.125" style="374" bestFit="1" customWidth="1"/>
    <col min="3334" max="3334" width="9.375" style="374"/>
    <col min="3335" max="3335" width="10.125" style="374" bestFit="1" customWidth="1"/>
    <col min="3336" max="3336" width="10.75" style="374" customWidth="1"/>
    <col min="3337" max="3339" width="9.375" style="374"/>
    <col min="3340" max="3341" width="10.75" style="374" customWidth="1"/>
    <col min="3342" max="3346" width="9.375" style="374"/>
    <col min="3347" max="3347" width="1.625" style="374" bestFit="1" customWidth="1"/>
    <col min="3348" max="3348" width="9.375" style="374"/>
    <col min="3349" max="3349" width="8.875" style="374" customWidth="1"/>
    <col min="3350" max="3350" width="13.125" style="374" customWidth="1"/>
    <col min="3351" max="3351" width="9.375" style="374"/>
    <col min="3352" max="3352" width="9.875" style="374" customWidth="1"/>
    <col min="3353" max="3353" width="11.75" style="374" bestFit="1" customWidth="1"/>
    <col min="3354" max="3583" width="9.375" style="374"/>
    <col min="3584" max="3584" width="5" style="374" customWidth="1"/>
    <col min="3585" max="3585" width="17.875" style="374" bestFit="1" customWidth="1"/>
    <col min="3586" max="3586" width="9.875" style="374" customWidth="1"/>
    <col min="3587" max="3587" width="8.875" style="374" customWidth="1"/>
    <col min="3588" max="3588" width="7.375" style="374" bestFit="1" customWidth="1"/>
    <col min="3589" max="3589" width="10.125" style="374" bestFit="1" customWidth="1"/>
    <col min="3590" max="3590" width="9.375" style="374"/>
    <col min="3591" max="3591" width="10.125" style="374" bestFit="1" customWidth="1"/>
    <col min="3592" max="3592" width="10.75" style="374" customWidth="1"/>
    <col min="3593" max="3595" width="9.375" style="374"/>
    <col min="3596" max="3597" width="10.75" style="374" customWidth="1"/>
    <col min="3598" max="3602" width="9.375" style="374"/>
    <col min="3603" max="3603" width="1.625" style="374" bestFit="1" customWidth="1"/>
    <col min="3604" max="3604" width="9.375" style="374"/>
    <col min="3605" max="3605" width="8.875" style="374" customWidth="1"/>
    <col min="3606" max="3606" width="13.125" style="374" customWidth="1"/>
    <col min="3607" max="3607" width="9.375" style="374"/>
    <col min="3608" max="3608" width="9.875" style="374" customWidth="1"/>
    <col min="3609" max="3609" width="11.75" style="374" bestFit="1" customWidth="1"/>
    <col min="3610" max="3839" width="9.375" style="374"/>
    <col min="3840" max="3840" width="5" style="374" customWidth="1"/>
    <col min="3841" max="3841" width="17.875" style="374" bestFit="1" customWidth="1"/>
    <col min="3842" max="3842" width="9.875" style="374" customWidth="1"/>
    <col min="3843" max="3843" width="8.875" style="374" customWidth="1"/>
    <col min="3844" max="3844" width="7.375" style="374" bestFit="1" customWidth="1"/>
    <col min="3845" max="3845" width="10.125" style="374" bestFit="1" customWidth="1"/>
    <col min="3846" max="3846" width="9.375" style="374"/>
    <col min="3847" max="3847" width="10.125" style="374" bestFit="1" customWidth="1"/>
    <col min="3848" max="3848" width="10.75" style="374" customWidth="1"/>
    <col min="3849" max="3851" width="9.375" style="374"/>
    <col min="3852" max="3853" width="10.75" style="374" customWidth="1"/>
    <col min="3854" max="3858" width="9.375" style="374"/>
    <col min="3859" max="3859" width="1.625" style="374" bestFit="1" customWidth="1"/>
    <col min="3860" max="3860" width="9.375" style="374"/>
    <col min="3861" max="3861" width="8.875" style="374" customWidth="1"/>
    <col min="3862" max="3862" width="13.125" style="374" customWidth="1"/>
    <col min="3863" max="3863" width="9.375" style="374"/>
    <col min="3864" max="3864" width="9.875" style="374" customWidth="1"/>
    <col min="3865" max="3865" width="11.75" style="374" bestFit="1" customWidth="1"/>
    <col min="3866" max="4095" width="9.375" style="374"/>
    <col min="4096" max="4096" width="5" style="374" customWidth="1"/>
    <col min="4097" max="4097" width="17.875" style="374" bestFit="1" customWidth="1"/>
    <col min="4098" max="4098" width="9.875" style="374" customWidth="1"/>
    <col min="4099" max="4099" width="8.875" style="374" customWidth="1"/>
    <col min="4100" max="4100" width="7.375" style="374" bestFit="1" customWidth="1"/>
    <col min="4101" max="4101" width="10.125" style="374" bestFit="1" customWidth="1"/>
    <col min="4102" max="4102" width="9.375" style="374"/>
    <col min="4103" max="4103" width="10.125" style="374" bestFit="1" customWidth="1"/>
    <col min="4104" max="4104" width="10.75" style="374" customWidth="1"/>
    <col min="4105" max="4107" width="9.375" style="374"/>
    <col min="4108" max="4109" width="10.75" style="374" customWidth="1"/>
    <col min="4110" max="4114" width="9.375" style="374"/>
    <col min="4115" max="4115" width="1.625" style="374" bestFit="1" customWidth="1"/>
    <col min="4116" max="4116" width="9.375" style="374"/>
    <col min="4117" max="4117" width="8.875" style="374" customWidth="1"/>
    <col min="4118" max="4118" width="13.125" style="374" customWidth="1"/>
    <col min="4119" max="4119" width="9.375" style="374"/>
    <col min="4120" max="4120" width="9.875" style="374" customWidth="1"/>
    <col min="4121" max="4121" width="11.75" style="374" bestFit="1" customWidth="1"/>
    <col min="4122" max="4351" width="9.375" style="374"/>
    <col min="4352" max="4352" width="5" style="374" customWidth="1"/>
    <col min="4353" max="4353" width="17.875" style="374" bestFit="1" customWidth="1"/>
    <col min="4354" max="4354" width="9.875" style="374" customWidth="1"/>
    <col min="4355" max="4355" width="8.875" style="374" customWidth="1"/>
    <col min="4356" max="4356" width="7.375" style="374" bestFit="1" customWidth="1"/>
    <col min="4357" max="4357" width="10.125" style="374" bestFit="1" customWidth="1"/>
    <col min="4358" max="4358" width="9.375" style="374"/>
    <col min="4359" max="4359" width="10.125" style="374" bestFit="1" customWidth="1"/>
    <col min="4360" max="4360" width="10.75" style="374" customWidth="1"/>
    <col min="4361" max="4363" width="9.375" style="374"/>
    <col min="4364" max="4365" width="10.75" style="374" customWidth="1"/>
    <col min="4366" max="4370" width="9.375" style="374"/>
    <col min="4371" max="4371" width="1.625" style="374" bestFit="1" customWidth="1"/>
    <col min="4372" max="4372" width="9.375" style="374"/>
    <col min="4373" max="4373" width="8.875" style="374" customWidth="1"/>
    <col min="4374" max="4374" width="13.125" style="374" customWidth="1"/>
    <col min="4375" max="4375" width="9.375" style="374"/>
    <col min="4376" max="4376" width="9.875" style="374" customWidth="1"/>
    <col min="4377" max="4377" width="11.75" style="374" bestFit="1" customWidth="1"/>
    <col min="4378" max="4607" width="9.375" style="374"/>
    <col min="4608" max="4608" width="5" style="374" customWidth="1"/>
    <col min="4609" max="4609" width="17.875" style="374" bestFit="1" customWidth="1"/>
    <col min="4610" max="4610" width="9.875" style="374" customWidth="1"/>
    <col min="4611" max="4611" width="8.875" style="374" customWidth="1"/>
    <col min="4612" max="4612" width="7.375" style="374" bestFit="1" customWidth="1"/>
    <col min="4613" max="4613" width="10.125" style="374" bestFit="1" customWidth="1"/>
    <col min="4614" max="4614" width="9.375" style="374"/>
    <col min="4615" max="4615" width="10.125" style="374" bestFit="1" customWidth="1"/>
    <col min="4616" max="4616" width="10.75" style="374" customWidth="1"/>
    <col min="4617" max="4619" width="9.375" style="374"/>
    <col min="4620" max="4621" width="10.75" style="374" customWidth="1"/>
    <col min="4622" max="4626" width="9.375" style="374"/>
    <col min="4627" max="4627" width="1.625" style="374" bestFit="1" customWidth="1"/>
    <col min="4628" max="4628" width="9.375" style="374"/>
    <col min="4629" max="4629" width="8.875" style="374" customWidth="1"/>
    <col min="4630" max="4630" width="13.125" style="374" customWidth="1"/>
    <col min="4631" max="4631" width="9.375" style="374"/>
    <col min="4632" max="4632" width="9.875" style="374" customWidth="1"/>
    <col min="4633" max="4633" width="11.75" style="374" bestFit="1" customWidth="1"/>
    <col min="4634" max="4863" width="9.375" style="374"/>
    <col min="4864" max="4864" width="5" style="374" customWidth="1"/>
    <col min="4865" max="4865" width="17.875" style="374" bestFit="1" customWidth="1"/>
    <col min="4866" max="4866" width="9.875" style="374" customWidth="1"/>
    <col min="4867" max="4867" width="8.875" style="374" customWidth="1"/>
    <col min="4868" max="4868" width="7.375" style="374" bestFit="1" customWidth="1"/>
    <col min="4869" max="4869" width="10.125" style="374" bestFit="1" customWidth="1"/>
    <col min="4870" max="4870" width="9.375" style="374"/>
    <col min="4871" max="4871" width="10.125" style="374" bestFit="1" customWidth="1"/>
    <col min="4872" max="4872" width="10.75" style="374" customWidth="1"/>
    <col min="4873" max="4875" width="9.375" style="374"/>
    <col min="4876" max="4877" width="10.75" style="374" customWidth="1"/>
    <col min="4878" max="4882" width="9.375" style="374"/>
    <col min="4883" max="4883" width="1.625" style="374" bestFit="1" customWidth="1"/>
    <col min="4884" max="4884" width="9.375" style="374"/>
    <col min="4885" max="4885" width="8.875" style="374" customWidth="1"/>
    <col min="4886" max="4886" width="13.125" style="374" customWidth="1"/>
    <col min="4887" max="4887" width="9.375" style="374"/>
    <col min="4888" max="4888" width="9.875" style="374" customWidth="1"/>
    <col min="4889" max="4889" width="11.75" style="374" bestFit="1" customWidth="1"/>
    <col min="4890" max="5119" width="9.375" style="374"/>
    <col min="5120" max="5120" width="5" style="374" customWidth="1"/>
    <col min="5121" max="5121" width="17.875" style="374" bestFit="1" customWidth="1"/>
    <col min="5122" max="5122" width="9.875" style="374" customWidth="1"/>
    <col min="5123" max="5123" width="8.875" style="374" customWidth="1"/>
    <col min="5124" max="5124" width="7.375" style="374" bestFit="1" customWidth="1"/>
    <col min="5125" max="5125" width="10.125" style="374" bestFit="1" customWidth="1"/>
    <col min="5126" max="5126" width="9.375" style="374"/>
    <col min="5127" max="5127" width="10.125" style="374" bestFit="1" customWidth="1"/>
    <col min="5128" max="5128" width="10.75" style="374" customWidth="1"/>
    <col min="5129" max="5131" width="9.375" style="374"/>
    <col min="5132" max="5133" width="10.75" style="374" customWidth="1"/>
    <col min="5134" max="5138" width="9.375" style="374"/>
    <col min="5139" max="5139" width="1.625" style="374" bestFit="1" customWidth="1"/>
    <col min="5140" max="5140" width="9.375" style="374"/>
    <col min="5141" max="5141" width="8.875" style="374" customWidth="1"/>
    <col min="5142" max="5142" width="13.125" style="374" customWidth="1"/>
    <col min="5143" max="5143" width="9.375" style="374"/>
    <col min="5144" max="5144" width="9.875" style="374" customWidth="1"/>
    <col min="5145" max="5145" width="11.75" style="374" bestFit="1" customWidth="1"/>
    <col min="5146" max="5375" width="9.375" style="374"/>
    <col min="5376" max="5376" width="5" style="374" customWidth="1"/>
    <col min="5377" max="5377" width="17.875" style="374" bestFit="1" customWidth="1"/>
    <col min="5378" max="5378" width="9.875" style="374" customWidth="1"/>
    <col min="5379" max="5379" width="8.875" style="374" customWidth="1"/>
    <col min="5380" max="5380" width="7.375" style="374" bestFit="1" customWidth="1"/>
    <col min="5381" max="5381" width="10.125" style="374" bestFit="1" customWidth="1"/>
    <col min="5382" max="5382" width="9.375" style="374"/>
    <col min="5383" max="5383" width="10.125" style="374" bestFit="1" customWidth="1"/>
    <col min="5384" max="5384" width="10.75" style="374" customWidth="1"/>
    <col min="5385" max="5387" width="9.375" style="374"/>
    <col min="5388" max="5389" width="10.75" style="374" customWidth="1"/>
    <col min="5390" max="5394" width="9.375" style="374"/>
    <col min="5395" max="5395" width="1.625" style="374" bestFit="1" customWidth="1"/>
    <col min="5396" max="5396" width="9.375" style="374"/>
    <col min="5397" max="5397" width="8.875" style="374" customWidth="1"/>
    <col min="5398" max="5398" width="13.125" style="374" customWidth="1"/>
    <col min="5399" max="5399" width="9.375" style="374"/>
    <col min="5400" max="5400" width="9.875" style="374" customWidth="1"/>
    <col min="5401" max="5401" width="11.75" style="374" bestFit="1" customWidth="1"/>
    <col min="5402" max="5631" width="9.375" style="374"/>
    <col min="5632" max="5632" width="5" style="374" customWidth="1"/>
    <col min="5633" max="5633" width="17.875" style="374" bestFit="1" customWidth="1"/>
    <col min="5634" max="5634" width="9.875" style="374" customWidth="1"/>
    <col min="5635" max="5635" width="8.875" style="374" customWidth="1"/>
    <col min="5636" max="5636" width="7.375" style="374" bestFit="1" customWidth="1"/>
    <col min="5637" max="5637" width="10.125" style="374" bestFit="1" customWidth="1"/>
    <col min="5638" max="5638" width="9.375" style="374"/>
    <col min="5639" max="5639" width="10.125" style="374" bestFit="1" customWidth="1"/>
    <col min="5640" max="5640" width="10.75" style="374" customWidth="1"/>
    <col min="5641" max="5643" width="9.375" style="374"/>
    <col min="5644" max="5645" width="10.75" style="374" customWidth="1"/>
    <col min="5646" max="5650" width="9.375" style="374"/>
    <col min="5651" max="5651" width="1.625" style="374" bestFit="1" customWidth="1"/>
    <col min="5652" max="5652" width="9.375" style="374"/>
    <col min="5653" max="5653" width="8.875" style="374" customWidth="1"/>
    <col min="5654" max="5654" width="13.125" style="374" customWidth="1"/>
    <col min="5655" max="5655" width="9.375" style="374"/>
    <col min="5656" max="5656" width="9.875" style="374" customWidth="1"/>
    <col min="5657" max="5657" width="11.75" style="374" bestFit="1" customWidth="1"/>
    <col min="5658" max="5887" width="9.375" style="374"/>
    <col min="5888" max="5888" width="5" style="374" customWidth="1"/>
    <col min="5889" max="5889" width="17.875" style="374" bestFit="1" customWidth="1"/>
    <col min="5890" max="5890" width="9.875" style="374" customWidth="1"/>
    <col min="5891" max="5891" width="8.875" style="374" customWidth="1"/>
    <col min="5892" max="5892" width="7.375" style="374" bestFit="1" customWidth="1"/>
    <col min="5893" max="5893" width="10.125" style="374" bestFit="1" customWidth="1"/>
    <col min="5894" max="5894" width="9.375" style="374"/>
    <col min="5895" max="5895" width="10.125" style="374" bestFit="1" customWidth="1"/>
    <col min="5896" max="5896" width="10.75" style="374" customWidth="1"/>
    <col min="5897" max="5899" width="9.375" style="374"/>
    <col min="5900" max="5901" width="10.75" style="374" customWidth="1"/>
    <col min="5902" max="5906" width="9.375" style="374"/>
    <col min="5907" max="5907" width="1.625" style="374" bestFit="1" customWidth="1"/>
    <col min="5908" max="5908" width="9.375" style="374"/>
    <col min="5909" max="5909" width="8.875" style="374" customWidth="1"/>
    <col min="5910" max="5910" width="13.125" style="374" customWidth="1"/>
    <col min="5911" max="5911" width="9.375" style="374"/>
    <col min="5912" max="5912" width="9.875" style="374" customWidth="1"/>
    <col min="5913" max="5913" width="11.75" style="374" bestFit="1" customWidth="1"/>
    <col min="5914" max="6143" width="9.375" style="374"/>
    <col min="6144" max="6144" width="5" style="374" customWidth="1"/>
    <col min="6145" max="6145" width="17.875" style="374" bestFit="1" customWidth="1"/>
    <col min="6146" max="6146" width="9.875" style="374" customWidth="1"/>
    <col min="6147" max="6147" width="8.875" style="374" customWidth="1"/>
    <col min="6148" max="6148" width="7.375" style="374" bestFit="1" customWidth="1"/>
    <col min="6149" max="6149" width="10.125" style="374" bestFit="1" customWidth="1"/>
    <col min="6150" max="6150" width="9.375" style="374"/>
    <col min="6151" max="6151" width="10.125" style="374" bestFit="1" customWidth="1"/>
    <col min="6152" max="6152" width="10.75" style="374" customWidth="1"/>
    <col min="6153" max="6155" width="9.375" style="374"/>
    <col min="6156" max="6157" width="10.75" style="374" customWidth="1"/>
    <col min="6158" max="6162" width="9.375" style="374"/>
    <col min="6163" max="6163" width="1.625" style="374" bestFit="1" customWidth="1"/>
    <col min="6164" max="6164" width="9.375" style="374"/>
    <col min="6165" max="6165" width="8.875" style="374" customWidth="1"/>
    <col min="6166" max="6166" width="13.125" style="374" customWidth="1"/>
    <col min="6167" max="6167" width="9.375" style="374"/>
    <col min="6168" max="6168" width="9.875" style="374" customWidth="1"/>
    <col min="6169" max="6169" width="11.75" style="374" bestFit="1" customWidth="1"/>
    <col min="6170" max="6399" width="9.375" style="374"/>
    <col min="6400" max="6400" width="5" style="374" customWidth="1"/>
    <col min="6401" max="6401" width="17.875" style="374" bestFit="1" customWidth="1"/>
    <col min="6402" max="6402" width="9.875" style="374" customWidth="1"/>
    <col min="6403" max="6403" width="8.875" style="374" customWidth="1"/>
    <col min="6404" max="6404" width="7.375" style="374" bestFit="1" customWidth="1"/>
    <col min="6405" max="6405" width="10.125" style="374" bestFit="1" customWidth="1"/>
    <col min="6406" max="6406" width="9.375" style="374"/>
    <col min="6407" max="6407" width="10.125" style="374" bestFit="1" customWidth="1"/>
    <col min="6408" max="6408" width="10.75" style="374" customWidth="1"/>
    <col min="6409" max="6411" width="9.375" style="374"/>
    <col min="6412" max="6413" width="10.75" style="374" customWidth="1"/>
    <col min="6414" max="6418" width="9.375" style="374"/>
    <col min="6419" max="6419" width="1.625" style="374" bestFit="1" customWidth="1"/>
    <col min="6420" max="6420" width="9.375" style="374"/>
    <col min="6421" max="6421" width="8.875" style="374" customWidth="1"/>
    <col min="6422" max="6422" width="13.125" style="374" customWidth="1"/>
    <col min="6423" max="6423" width="9.375" style="374"/>
    <col min="6424" max="6424" width="9.875" style="374" customWidth="1"/>
    <col min="6425" max="6425" width="11.75" style="374" bestFit="1" customWidth="1"/>
    <col min="6426" max="6655" width="9.375" style="374"/>
    <col min="6656" max="6656" width="5" style="374" customWidth="1"/>
    <col min="6657" max="6657" width="17.875" style="374" bestFit="1" customWidth="1"/>
    <col min="6658" max="6658" width="9.875" style="374" customWidth="1"/>
    <col min="6659" max="6659" width="8.875" style="374" customWidth="1"/>
    <col min="6660" max="6660" width="7.375" style="374" bestFit="1" customWidth="1"/>
    <col min="6661" max="6661" width="10.125" style="374" bestFit="1" customWidth="1"/>
    <col min="6662" max="6662" width="9.375" style="374"/>
    <col min="6663" max="6663" width="10.125" style="374" bestFit="1" customWidth="1"/>
    <col min="6664" max="6664" width="10.75" style="374" customWidth="1"/>
    <col min="6665" max="6667" width="9.375" style="374"/>
    <col min="6668" max="6669" width="10.75" style="374" customWidth="1"/>
    <col min="6670" max="6674" width="9.375" style="374"/>
    <col min="6675" max="6675" width="1.625" style="374" bestFit="1" customWidth="1"/>
    <col min="6676" max="6676" width="9.375" style="374"/>
    <col min="6677" max="6677" width="8.875" style="374" customWidth="1"/>
    <col min="6678" max="6678" width="13.125" style="374" customWidth="1"/>
    <col min="6679" max="6679" width="9.375" style="374"/>
    <col min="6680" max="6680" width="9.875" style="374" customWidth="1"/>
    <col min="6681" max="6681" width="11.75" style="374" bestFit="1" customWidth="1"/>
    <col min="6682" max="6911" width="9.375" style="374"/>
    <col min="6912" max="6912" width="5" style="374" customWidth="1"/>
    <col min="6913" max="6913" width="17.875" style="374" bestFit="1" customWidth="1"/>
    <col min="6914" max="6914" width="9.875" style="374" customWidth="1"/>
    <col min="6915" max="6915" width="8.875" style="374" customWidth="1"/>
    <col min="6916" max="6916" width="7.375" style="374" bestFit="1" customWidth="1"/>
    <col min="6917" max="6917" width="10.125" style="374" bestFit="1" customWidth="1"/>
    <col min="6918" max="6918" width="9.375" style="374"/>
    <col min="6919" max="6919" width="10.125" style="374" bestFit="1" customWidth="1"/>
    <col min="6920" max="6920" width="10.75" style="374" customWidth="1"/>
    <col min="6921" max="6923" width="9.375" style="374"/>
    <col min="6924" max="6925" width="10.75" style="374" customWidth="1"/>
    <col min="6926" max="6930" width="9.375" style="374"/>
    <col min="6931" max="6931" width="1.625" style="374" bestFit="1" customWidth="1"/>
    <col min="6932" max="6932" width="9.375" style="374"/>
    <col min="6933" max="6933" width="8.875" style="374" customWidth="1"/>
    <col min="6934" max="6934" width="13.125" style="374" customWidth="1"/>
    <col min="6935" max="6935" width="9.375" style="374"/>
    <col min="6936" max="6936" width="9.875" style="374" customWidth="1"/>
    <col min="6937" max="6937" width="11.75" style="374" bestFit="1" customWidth="1"/>
    <col min="6938" max="7167" width="9.375" style="374"/>
    <col min="7168" max="7168" width="5" style="374" customWidth="1"/>
    <col min="7169" max="7169" width="17.875" style="374" bestFit="1" customWidth="1"/>
    <col min="7170" max="7170" width="9.875" style="374" customWidth="1"/>
    <col min="7171" max="7171" width="8.875" style="374" customWidth="1"/>
    <col min="7172" max="7172" width="7.375" style="374" bestFit="1" customWidth="1"/>
    <col min="7173" max="7173" width="10.125" style="374" bestFit="1" customWidth="1"/>
    <col min="7174" max="7174" width="9.375" style="374"/>
    <col min="7175" max="7175" width="10.125" style="374" bestFit="1" customWidth="1"/>
    <col min="7176" max="7176" width="10.75" style="374" customWidth="1"/>
    <col min="7177" max="7179" width="9.375" style="374"/>
    <col min="7180" max="7181" width="10.75" style="374" customWidth="1"/>
    <col min="7182" max="7186" width="9.375" style="374"/>
    <col min="7187" max="7187" width="1.625" style="374" bestFit="1" customWidth="1"/>
    <col min="7188" max="7188" width="9.375" style="374"/>
    <col min="7189" max="7189" width="8.875" style="374" customWidth="1"/>
    <col min="7190" max="7190" width="13.125" style="374" customWidth="1"/>
    <col min="7191" max="7191" width="9.375" style="374"/>
    <col min="7192" max="7192" width="9.875" style="374" customWidth="1"/>
    <col min="7193" max="7193" width="11.75" style="374" bestFit="1" customWidth="1"/>
    <col min="7194" max="7423" width="9.375" style="374"/>
    <col min="7424" max="7424" width="5" style="374" customWidth="1"/>
    <col min="7425" max="7425" width="17.875" style="374" bestFit="1" customWidth="1"/>
    <col min="7426" max="7426" width="9.875" style="374" customWidth="1"/>
    <col min="7427" max="7427" width="8.875" style="374" customWidth="1"/>
    <col min="7428" max="7428" width="7.375" style="374" bestFit="1" customWidth="1"/>
    <col min="7429" max="7429" width="10.125" style="374" bestFit="1" customWidth="1"/>
    <col min="7430" max="7430" width="9.375" style="374"/>
    <col min="7431" max="7431" width="10.125" style="374" bestFit="1" customWidth="1"/>
    <col min="7432" max="7432" width="10.75" style="374" customWidth="1"/>
    <col min="7433" max="7435" width="9.375" style="374"/>
    <col min="7436" max="7437" width="10.75" style="374" customWidth="1"/>
    <col min="7438" max="7442" width="9.375" style="374"/>
    <col min="7443" max="7443" width="1.625" style="374" bestFit="1" customWidth="1"/>
    <col min="7444" max="7444" width="9.375" style="374"/>
    <col min="7445" max="7445" width="8.875" style="374" customWidth="1"/>
    <col min="7446" max="7446" width="13.125" style="374" customWidth="1"/>
    <col min="7447" max="7447" width="9.375" style="374"/>
    <col min="7448" max="7448" width="9.875" style="374" customWidth="1"/>
    <col min="7449" max="7449" width="11.75" style="374" bestFit="1" customWidth="1"/>
    <col min="7450" max="7679" width="9.375" style="374"/>
    <col min="7680" max="7680" width="5" style="374" customWidth="1"/>
    <col min="7681" max="7681" width="17.875" style="374" bestFit="1" customWidth="1"/>
    <col min="7682" max="7682" width="9.875" style="374" customWidth="1"/>
    <col min="7683" max="7683" width="8.875" style="374" customWidth="1"/>
    <col min="7684" max="7684" width="7.375" style="374" bestFit="1" customWidth="1"/>
    <col min="7685" max="7685" width="10.125" style="374" bestFit="1" customWidth="1"/>
    <col min="7686" max="7686" width="9.375" style="374"/>
    <col min="7687" max="7687" width="10.125" style="374" bestFit="1" customWidth="1"/>
    <col min="7688" max="7688" width="10.75" style="374" customWidth="1"/>
    <col min="7689" max="7691" width="9.375" style="374"/>
    <col min="7692" max="7693" width="10.75" style="374" customWidth="1"/>
    <col min="7694" max="7698" width="9.375" style="374"/>
    <col min="7699" max="7699" width="1.625" style="374" bestFit="1" customWidth="1"/>
    <col min="7700" max="7700" width="9.375" style="374"/>
    <col min="7701" max="7701" width="8.875" style="374" customWidth="1"/>
    <col min="7702" max="7702" width="13.125" style="374" customWidth="1"/>
    <col min="7703" max="7703" width="9.375" style="374"/>
    <col min="7704" max="7704" width="9.875" style="374" customWidth="1"/>
    <col min="7705" max="7705" width="11.75" style="374" bestFit="1" customWidth="1"/>
    <col min="7706" max="7935" width="9.375" style="374"/>
    <col min="7936" max="7936" width="5" style="374" customWidth="1"/>
    <col min="7937" max="7937" width="17.875" style="374" bestFit="1" customWidth="1"/>
    <col min="7938" max="7938" width="9.875" style="374" customWidth="1"/>
    <col min="7939" max="7939" width="8.875" style="374" customWidth="1"/>
    <col min="7940" max="7940" width="7.375" style="374" bestFit="1" customWidth="1"/>
    <col min="7941" max="7941" width="10.125" style="374" bestFit="1" customWidth="1"/>
    <col min="7942" max="7942" width="9.375" style="374"/>
    <col min="7943" max="7943" width="10.125" style="374" bestFit="1" customWidth="1"/>
    <col min="7944" max="7944" width="10.75" style="374" customWidth="1"/>
    <col min="7945" max="7947" width="9.375" style="374"/>
    <col min="7948" max="7949" width="10.75" style="374" customWidth="1"/>
    <col min="7950" max="7954" width="9.375" style="374"/>
    <col min="7955" max="7955" width="1.625" style="374" bestFit="1" customWidth="1"/>
    <col min="7956" max="7956" width="9.375" style="374"/>
    <col min="7957" max="7957" width="8.875" style="374" customWidth="1"/>
    <col min="7958" max="7958" width="13.125" style="374" customWidth="1"/>
    <col min="7959" max="7959" width="9.375" style="374"/>
    <col min="7960" max="7960" width="9.875" style="374" customWidth="1"/>
    <col min="7961" max="7961" width="11.75" style="374" bestFit="1" customWidth="1"/>
    <col min="7962" max="8191" width="9.375" style="374"/>
    <col min="8192" max="8192" width="5" style="374" customWidth="1"/>
    <col min="8193" max="8193" width="17.875" style="374" bestFit="1" customWidth="1"/>
    <col min="8194" max="8194" width="9.875" style="374" customWidth="1"/>
    <col min="8195" max="8195" width="8.875" style="374" customWidth="1"/>
    <col min="8196" max="8196" width="7.375" style="374" bestFit="1" customWidth="1"/>
    <col min="8197" max="8197" width="10.125" style="374" bestFit="1" customWidth="1"/>
    <col min="8198" max="8198" width="9.375" style="374"/>
    <col min="8199" max="8199" width="10.125" style="374" bestFit="1" customWidth="1"/>
    <col min="8200" max="8200" width="10.75" style="374" customWidth="1"/>
    <col min="8201" max="8203" width="9.375" style="374"/>
    <col min="8204" max="8205" width="10.75" style="374" customWidth="1"/>
    <col min="8206" max="8210" width="9.375" style="374"/>
    <col min="8211" max="8211" width="1.625" style="374" bestFit="1" customWidth="1"/>
    <col min="8212" max="8212" width="9.375" style="374"/>
    <col min="8213" max="8213" width="8.875" style="374" customWidth="1"/>
    <col min="8214" max="8214" width="13.125" style="374" customWidth="1"/>
    <col min="8215" max="8215" width="9.375" style="374"/>
    <col min="8216" max="8216" width="9.875" style="374" customWidth="1"/>
    <col min="8217" max="8217" width="11.75" style="374" bestFit="1" customWidth="1"/>
    <col min="8218" max="8447" width="9.375" style="374"/>
    <col min="8448" max="8448" width="5" style="374" customWidth="1"/>
    <col min="8449" max="8449" width="17.875" style="374" bestFit="1" customWidth="1"/>
    <col min="8450" max="8450" width="9.875" style="374" customWidth="1"/>
    <col min="8451" max="8451" width="8.875" style="374" customWidth="1"/>
    <col min="8452" max="8452" width="7.375" style="374" bestFit="1" customWidth="1"/>
    <col min="8453" max="8453" width="10.125" style="374" bestFit="1" customWidth="1"/>
    <col min="8454" max="8454" width="9.375" style="374"/>
    <col min="8455" max="8455" width="10.125" style="374" bestFit="1" customWidth="1"/>
    <col min="8456" max="8456" width="10.75" style="374" customWidth="1"/>
    <col min="8457" max="8459" width="9.375" style="374"/>
    <col min="8460" max="8461" width="10.75" style="374" customWidth="1"/>
    <col min="8462" max="8466" width="9.375" style="374"/>
    <col min="8467" max="8467" width="1.625" style="374" bestFit="1" customWidth="1"/>
    <col min="8468" max="8468" width="9.375" style="374"/>
    <col min="8469" max="8469" width="8.875" style="374" customWidth="1"/>
    <col min="8470" max="8470" width="13.125" style="374" customWidth="1"/>
    <col min="8471" max="8471" width="9.375" style="374"/>
    <col min="8472" max="8472" width="9.875" style="374" customWidth="1"/>
    <col min="8473" max="8473" width="11.75" style="374" bestFit="1" customWidth="1"/>
    <col min="8474" max="8703" width="9.375" style="374"/>
    <col min="8704" max="8704" width="5" style="374" customWidth="1"/>
    <col min="8705" max="8705" width="17.875" style="374" bestFit="1" customWidth="1"/>
    <col min="8706" max="8706" width="9.875" style="374" customWidth="1"/>
    <col min="8707" max="8707" width="8.875" style="374" customWidth="1"/>
    <col min="8708" max="8708" width="7.375" style="374" bestFit="1" customWidth="1"/>
    <col min="8709" max="8709" width="10.125" style="374" bestFit="1" customWidth="1"/>
    <col min="8710" max="8710" width="9.375" style="374"/>
    <col min="8711" max="8711" width="10.125" style="374" bestFit="1" customWidth="1"/>
    <col min="8712" max="8712" width="10.75" style="374" customWidth="1"/>
    <col min="8713" max="8715" width="9.375" style="374"/>
    <col min="8716" max="8717" width="10.75" style="374" customWidth="1"/>
    <col min="8718" max="8722" width="9.375" style="374"/>
    <col min="8723" max="8723" width="1.625" style="374" bestFit="1" customWidth="1"/>
    <col min="8724" max="8724" width="9.375" style="374"/>
    <col min="8725" max="8725" width="8.875" style="374" customWidth="1"/>
    <col min="8726" max="8726" width="13.125" style="374" customWidth="1"/>
    <col min="8727" max="8727" width="9.375" style="374"/>
    <col min="8728" max="8728" width="9.875" style="374" customWidth="1"/>
    <col min="8729" max="8729" width="11.75" style="374" bestFit="1" customWidth="1"/>
    <col min="8730" max="8959" width="9.375" style="374"/>
    <col min="8960" max="8960" width="5" style="374" customWidth="1"/>
    <col min="8961" max="8961" width="17.875" style="374" bestFit="1" customWidth="1"/>
    <col min="8962" max="8962" width="9.875" style="374" customWidth="1"/>
    <col min="8963" max="8963" width="8.875" style="374" customWidth="1"/>
    <col min="8964" max="8964" width="7.375" style="374" bestFit="1" customWidth="1"/>
    <col min="8965" max="8965" width="10.125" style="374" bestFit="1" customWidth="1"/>
    <col min="8966" max="8966" width="9.375" style="374"/>
    <col min="8967" max="8967" width="10.125" style="374" bestFit="1" customWidth="1"/>
    <col min="8968" max="8968" width="10.75" style="374" customWidth="1"/>
    <col min="8969" max="8971" width="9.375" style="374"/>
    <col min="8972" max="8973" width="10.75" style="374" customWidth="1"/>
    <col min="8974" max="8978" width="9.375" style="374"/>
    <col min="8979" max="8979" width="1.625" style="374" bestFit="1" customWidth="1"/>
    <col min="8980" max="8980" width="9.375" style="374"/>
    <col min="8981" max="8981" width="8.875" style="374" customWidth="1"/>
    <col min="8982" max="8982" width="13.125" style="374" customWidth="1"/>
    <col min="8983" max="8983" width="9.375" style="374"/>
    <col min="8984" max="8984" width="9.875" style="374" customWidth="1"/>
    <col min="8985" max="8985" width="11.75" style="374" bestFit="1" customWidth="1"/>
    <col min="8986" max="9215" width="9.375" style="374"/>
    <col min="9216" max="9216" width="5" style="374" customWidth="1"/>
    <col min="9217" max="9217" width="17.875" style="374" bestFit="1" customWidth="1"/>
    <col min="9218" max="9218" width="9.875" style="374" customWidth="1"/>
    <col min="9219" max="9219" width="8.875" style="374" customWidth="1"/>
    <col min="9220" max="9220" width="7.375" style="374" bestFit="1" customWidth="1"/>
    <col min="9221" max="9221" width="10.125" style="374" bestFit="1" customWidth="1"/>
    <col min="9222" max="9222" width="9.375" style="374"/>
    <col min="9223" max="9223" width="10.125" style="374" bestFit="1" customWidth="1"/>
    <col min="9224" max="9224" width="10.75" style="374" customWidth="1"/>
    <col min="9225" max="9227" width="9.375" style="374"/>
    <col min="9228" max="9229" width="10.75" style="374" customWidth="1"/>
    <col min="9230" max="9234" width="9.375" style="374"/>
    <col min="9235" max="9235" width="1.625" style="374" bestFit="1" customWidth="1"/>
    <col min="9236" max="9236" width="9.375" style="374"/>
    <col min="9237" max="9237" width="8.875" style="374" customWidth="1"/>
    <col min="9238" max="9238" width="13.125" style="374" customWidth="1"/>
    <col min="9239" max="9239" width="9.375" style="374"/>
    <col min="9240" max="9240" width="9.875" style="374" customWidth="1"/>
    <col min="9241" max="9241" width="11.75" style="374" bestFit="1" customWidth="1"/>
    <col min="9242" max="9471" width="9.375" style="374"/>
    <col min="9472" max="9472" width="5" style="374" customWidth="1"/>
    <col min="9473" max="9473" width="17.875" style="374" bestFit="1" customWidth="1"/>
    <col min="9474" max="9474" width="9.875" style="374" customWidth="1"/>
    <col min="9475" max="9475" width="8.875" style="374" customWidth="1"/>
    <col min="9476" max="9476" width="7.375" style="374" bestFit="1" customWidth="1"/>
    <col min="9477" max="9477" width="10.125" style="374" bestFit="1" customWidth="1"/>
    <col min="9478" max="9478" width="9.375" style="374"/>
    <col min="9479" max="9479" width="10.125" style="374" bestFit="1" customWidth="1"/>
    <col min="9480" max="9480" width="10.75" style="374" customWidth="1"/>
    <col min="9481" max="9483" width="9.375" style="374"/>
    <col min="9484" max="9485" width="10.75" style="374" customWidth="1"/>
    <col min="9486" max="9490" width="9.375" style="374"/>
    <col min="9491" max="9491" width="1.625" style="374" bestFit="1" customWidth="1"/>
    <col min="9492" max="9492" width="9.375" style="374"/>
    <col min="9493" max="9493" width="8.875" style="374" customWidth="1"/>
    <col min="9494" max="9494" width="13.125" style="374" customWidth="1"/>
    <col min="9495" max="9495" width="9.375" style="374"/>
    <col min="9496" max="9496" width="9.875" style="374" customWidth="1"/>
    <col min="9497" max="9497" width="11.75" style="374" bestFit="1" customWidth="1"/>
    <col min="9498" max="9727" width="9.375" style="374"/>
    <col min="9728" max="9728" width="5" style="374" customWidth="1"/>
    <col min="9729" max="9729" width="17.875" style="374" bestFit="1" customWidth="1"/>
    <col min="9730" max="9730" width="9.875" style="374" customWidth="1"/>
    <col min="9731" max="9731" width="8.875" style="374" customWidth="1"/>
    <col min="9732" max="9732" width="7.375" style="374" bestFit="1" customWidth="1"/>
    <col min="9733" max="9733" width="10.125" style="374" bestFit="1" customWidth="1"/>
    <col min="9734" max="9734" width="9.375" style="374"/>
    <col min="9735" max="9735" width="10.125" style="374" bestFit="1" customWidth="1"/>
    <col min="9736" max="9736" width="10.75" style="374" customWidth="1"/>
    <col min="9737" max="9739" width="9.375" style="374"/>
    <col min="9740" max="9741" width="10.75" style="374" customWidth="1"/>
    <col min="9742" max="9746" width="9.375" style="374"/>
    <col min="9747" max="9747" width="1.625" style="374" bestFit="1" customWidth="1"/>
    <col min="9748" max="9748" width="9.375" style="374"/>
    <col min="9749" max="9749" width="8.875" style="374" customWidth="1"/>
    <col min="9750" max="9750" width="13.125" style="374" customWidth="1"/>
    <col min="9751" max="9751" width="9.375" style="374"/>
    <col min="9752" max="9752" width="9.875" style="374" customWidth="1"/>
    <col min="9753" max="9753" width="11.75" style="374" bestFit="1" customWidth="1"/>
    <col min="9754" max="9983" width="9.375" style="374"/>
    <col min="9984" max="9984" width="5" style="374" customWidth="1"/>
    <col min="9985" max="9985" width="17.875" style="374" bestFit="1" customWidth="1"/>
    <col min="9986" max="9986" width="9.875" style="374" customWidth="1"/>
    <col min="9987" max="9987" width="8.875" style="374" customWidth="1"/>
    <col min="9988" max="9988" width="7.375" style="374" bestFit="1" customWidth="1"/>
    <col min="9989" max="9989" width="10.125" style="374" bestFit="1" customWidth="1"/>
    <col min="9990" max="9990" width="9.375" style="374"/>
    <col min="9991" max="9991" width="10.125" style="374" bestFit="1" customWidth="1"/>
    <col min="9992" max="9992" width="10.75" style="374" customWidth="1"/>
    <col min="9993" max="9995" width="9.375" style="374"/>
    <col min="9996" max="9997" width="10.75" style="374" customWidth="1"/>
    <col min="9998" max="10002" width="9.375" style="374"/>
    <col min="10003" max="10003" width="1.625" style="374" bestFit="1" customWidth="1"/>
    <col min="10004" max="10004" width="9.375" style="374"/>
    <col min="10005" max="10005" width="8.875" style="374" customWidth="1"/>
    <col min="10006" max="10006" width="13.125" style="374" customWidth="1"/>
    <col min="10007" max="10007" width="9.375" style="374"/>
    <col min="10008" max="10008" width="9.875" style="374" customWidth="1"/>
    <col min="10009" max="10009" width="11.75" style="374" bestFit="1" customWidth="1"/>
    <col min="10010" max="10239" width="9.375" style="374"/>
    <col min="10240" max="10240" width="5" style="374" customWidth="1"/>
    <col min="10241" max="10241" width="17.875" style="374" bestFit="1" customWidth="1"/>
    <col min="10242" max="10242" width="9.875" style="374" customWidth="1"/>
    <col min="10243" max="10243" width="8.875" style="374" customWidth="1"/>
    <col min="10244" max="10244" width="7.375" style="374" bestFit="1" customWidth="1"/>
    <col min="10245" max="10245" width="10.125" style="374" bestFit="1" customWidth="1"/>
    <col min="10246" max="10246" width="9.375" style="374"/>
    <col min="10247" max="10247" width="10.125" style="374" bestFit="1" customWidth="1"/>
    <col min="10248" max="10248" width="10.75" style="374" customWidth="1"/>
    <col min="10249" max="10251" width="9.375" style="374"/>
    <col min="10252" max="10253" width="10.75" style="374" customWidth="1"/>
    <col min="10254" max="10258" width="9.375" style="374"/>
    <col min="10259" max="10259" width="1.625" style="374" bestFit="1" customWidth="1"/>
    <col min="10260" max="10260" width="9.375" style="374"/>
    <col min="10261" max="10261" width="8.875" style="374" customWidth="1"/>
    <col min="10262" max="10262" width="13.125" style="374" customWidth="1"/>
    <col min="10263" max="10263" width="9.375" style="374"/>
    <col min="10264" max="10264" width="9.875" style="374" customWidth="1"/>
    <col min="10265" max="10265" width="11.75" style="374" bestFit="1" customWidth="1"/>
    <col min="10266" max="10495" width="9.375" style="374"/>
    <col min="10496" max="10496" width="5" style="374" customWidth="1"/>
    <col min="10497" max="10497" width="17.875" style="374" bestFit="1" customWidth="1"/>
    <col min="10498" max="10498" width="9.875" style="374" customWidth="1"/>
    <col min="10499" max="10499" width="8.875" style="374" customWidth="1"/>
    <col min="10500" max="10500" width="7.375" style="374" bestFit="1" customWidth="1"/>
    <col min="10501" max="10501" width="10.125" style="374" bestFit="1" customWidth="1"/>
    <col min="10502" max="10502" width="9.375" style="374"/>
    <col min="10503" max="10503" width="10.125" style="374" bestFit="1" customWidth="1"/>
    <col min="10504" max="10504" width="10.75" style="374" customWidth="1"/>
    <col min="10505" max="10507" width="9.375" style="374"/>
    <col min="10508" max="10509" width="10.75" style="374" customWidth="1"/>
    <col min="10510" max="10514" width="9.375" style="374"/>
    <col min="10515" max="10515" width="1.625" style="374" bestFit="1" customWidth="1"/>
    <col min="10516" max="10516" width="9.375" style="374"/>
    <col min="10517" max="10517" width="8.875" style="374" customWidth="1"/>
    <col min="10518" max="10518" width="13.125" style="374" customWidth="1"/>
    <col min="10519" max="10519" width="9.375" style="374"/>
    <col min="10520" max="10520" width="9.875" style="374" customWidth="1"/>
    <col min="10521" max="10521" width="11.75" style="374" bestFit="1" customWidth="1"/>
    <col min="10522" max="10751" width="9.375" style="374"/>
    <col min="10752" max="10752" width="5" style="374" customWidth="1"/>
    <col min="10753" max="10753" width="17.875" style="374" bestFit="1" customWidth="1"/>
    <col min="10754" max="10754" width="9.875" style="374" customWidth="1"/>
    <col min="10755" max="10755" width="8.875" style="374" customWidth="1"/>
    <col min="10756" max="10756" width="7.375" style="374" bestFit="1" customWidth="1"/>
    <col min="10757" max="10757" width="10.125" style="374" bestFit="1" customWidth="1"/>
    <col min="10758" max="10758" width="9.375" style="374"/>
    <col min="10759" max="10759" width="10.125" style="374" bestFit="1" customWidth="1"/>
    <col min="10760" max="10760" width="10.75" style="374" customWidth="1"/>
    <col min="10761" max="10763" width="9.375" style="374"/>
    <col min="10764" max="10765" width="10.75" style="374" customWidth="1"/>
    <col min="10766" max="10770" width="9.375" style="374"/>
    <col min="10771" max="10771" width="1.625" style="374" bestFit="1" customWidth="1"/>
    <col min="10772" max="10772" width="9.375" style="374"/>
    <col min="10773" max="10773" width="8.875" style="374" customWidth="1"/>
    <col min="10774" max="10774" width="13.125" style="374" customWidth="1"/>
    <col min="10775" max="10775" width="9.375" style="374"/>
    <col min="10776" max="10776" width="9.875" style="374" customWidth="1"/>
    <col min="10777" max="10777" width="11.75" style="374" bestFit="1" customWidth="1"/>
    <col min="10778" max="11007" width="9.375" style="374"/>
    <col min="11008" max="11008" width="5" style="374" customWidth="1"/>
    <col min="11009" max="11009" width="17.875" style="374" bestFit="1" customWidth="1"/>
    <col min="11010" max="11010" width="9.875" style="374" customWidth="1"/>
    <col min="11011" max="11011" width="8.875" style="374" customWidth="1"/>
    <col min="11012" max="11012" width="7.375" style="374" bestFit="1" customWidth="1"/>
    <col min="11013" max="11013" width="10.125" style="374" bestFit="1" customWidth="1"/>
    <col min="11014" max="11014" width="9.375" style="374"/>
    <col min="11015" max="11015" width="10.125" style="374" bestFit="1" customWidth="1"/>
    <col min="11016" max="11016" width="10.75" style="374" customWidth="1"/>
    <col min="11017" max="11019" width="9.375" style="374"/>
    <col min="11020" max="11021" width="10.75" style="374" customWidth="1"/>
    <col min="11022" max="11026" width="9.375" style="374"/>
    <col min="11027" max="11027" width="1.625" style="374" bestFit="1" customWidth="1"/>
    <col min="11028" max="11028" width="9.375" style="374"/>
    <col min="11029" max="11029" width="8.875" style="374" customWidth="1"/>
    <col min="11030" max="11030" width="13.125" style="374" customWidth="1"/>
    <col min="11031" max="11031" width="9.375" style="374"/>
    <col min="11032" max="11032" width="9.875" style="374" customWidth="1"/>
    <col min="11033" max="11033" width="11.75" style="374" bestFit="1" customWidth="1"/>
    <col min="11034" max="11263" width="9.375" style="374"/>
    <col min="11264" max="11264" width="5" style="374" customWidth="1"/>
    <col min="11265" max="11265" width="17.875" style="374" bestFit="1" customWidth="1"/>
    <col min="11266" max="11266" width="9.875" style="374" customWidth="1"/>
    <col min="11267" max="11267" width="8.875" style="374" customWidth="1"/>
    <col min="11268" max="11268" width="7.375" style="374" bestFit="1" customWidth="1"/>
    <col min="11269" max="11269" width="10.125" style="374" bestFit="1" customWidth="1"/>
    <col min="11270" max="11270" width="9.375" style="374"/>
    <col min="11271" max="11271" width="10.125" style="374" bestFit="1" customWidth="1"/>
    <col min="11272" max="11272" width="10.75" style="374" customWidth="1"/>
    <col min="11273" max="11275" width="9.375" style="374"/>
    <col min="11276" max="11277" width="10.75" style="374" customWidth="1"/>
    <col min="11278" max="11282" width="9.375" style="374"/>
    <col min="11283" max="11283" width="1.625" style="374" bestFit="1" customWidth="1"/>
    <col min="11284" max="11284" width="9.375" style="374"/>
    <col min="11285" max="11285" width="8.875" style="374" customWidth="1"/>
    <col min="11286" max="11286" width="13.125" style="374" customWidth="1"/>
    <col min="11287" max="11287" width="9.375" style="374"/>
    <col min="11288" max="11288" width="9.875" style="374" customWidth="1"/>
    <col min="11289" max="11289" width="11.75" style="374" bestFit="1" customWidth="1"/>
    <col min="11290" max="11519" width="9.375" style="374"/>
    <col min="11520" max="11520" width="5" style="374" customWidth="1"/>
    <col min="11521" max="11521" width="17.875" style="374" bestFit="1" customWidth="1"/>
    <col min="11522" max="11522" width="9.875" style="374" customWidth="1"/>
    <col min="11523" max="11523" width="8.875" style="374" customWidth="1"/>
    <col min="11524" max="11524" width="7.375" style="374" bestFit="1" customWidth="1"/>
    <col min="11525" max="11525" width="10.125" style="374" bestFit="1" customWidth="1"/>
    <col min="11526" max="11526" width="9.375" style="374"/>
    <col min="11527" max="11527" width="10.125" style="374" bestFit="1" customWidth="1"/>
    <col min="11528" max="11528" width="10.75" style="374" customWidth="1"/>
    <col min="11529" max="11531" width="9.375" style="374"/>
    <col min="11532" max="11533" width="10.75" style="374" customWidth="1"/>
    <col min="11534" max="11538" width="9.375" style="374"/>
    <col min="11539" max="11539" width="1.625" style="374" bestFit="1" customWidth="1"/>
    <col min="11540" max="11540" width="9.375" style="374"/>
    <col min="11541" max="11541" width="8.875" style="374" customWidth="1"/>
    <col min="11542" max="11542" width="13.125" style="374" customWidth="1"/>
    <col min="11543" max="11543" width="9.375" style="374"/>
    <col min="11544" max="11544" width="9.875" style="374" customWidth="1"/>
    <col min="11545" max="11545" width="11.75" style="374" bestFit="1" customWidth="1"/>
    <col min="11546" max="11775" width="9.375" style="374"/>
    <col min="11776" max="11776" width="5" style="374" customWidth="1"/>
    <col min="11777" max="11777" width="17.875" style="374" bestFit="1" customWidth="1"/>
    <col min="11778" max="11778" width="9.875" style="374" customWidth="1"/>
    <col min="11779" max="11779" width="8.875" style="374" customWidth="1"/>
    <col min="11780" max="11780" width="7.375" style="374" bestFit="1" customWidth="1"/>
    <col min="11781" max="11781" width="10.125" style="374" bestFit="1" customWidth="1"/>
    <col min="11782" max="11782" width="9.375" style="374"/>
    <col min="11783" max="11783" width="10.125" style="374" bestFit="1" customWidth="1"/>
    <col min="11784" max="11784" width="10.75" style="374" customWidth="1"/>
    <col min="11785" max="11787" width="9.375" style="374"/>
    <col min="11788" max="11789" width="10.75" style="374" customWidth="1"/>
    <col min="11790" max="11794" width="9.375" style="374"/>
    <col min="11795" max="11795" width="1.625" style="374" bestFit="1" customWidth="1"/>
    <col min="11796" max="11796" width="9.375" style="374"/>
    <col min="11797" max="11797" width="8.875" style="374" customWidth="1"/>
    <col min="11798" max="11798" width="13.125" style="374" customWidth="1"/>
    <col min="11799" max="11799" width="9.375" style="374"/>
    <col min="11800" max="11800" width="9.875" style="374" customWidth="1"/>
    <col min="11801" max="11801" width="11.75" style="374" bestFit="1" customWidth="1"/>
    <col min="11802" max="12031" width="9.375" style="374"/>
    <col min="12032" max="12032" width="5" style="374" customWidth="1"/>
    <col min="12033" max="12033" width="17.875" style="374" bestFit="1" customWidth="1"/>
    <col min="12034" max="12034" width="9.875" style="374" customWidth="1"/>
    <col min="12035" max="12035" width="8.875" style="374" customWidth="1"/>
    <col min="12036" max="12036" width="7.375" style="374" bestFit="1" customWidth="1"/>
    <col min="12037" max="12037" width="10.125" style="374" bestFit="1" customWidth="1"/>
    <col min="12038" max="12038" width="9.375" style="374"/>
    <col min="12039" max="12039" width="10.125" style="374" bestFit="1" customWidth="1"/>
    <col min="12040" max="12040" width="10.75" style="374" customWidth="1"/>
    <col min="12041" max="12043" width="9.375" style="374"/>
    <col min="12044" max="12045" width="10.75" style="374" customWidth="1"/>
    <col min="12046" max="12050" width="9.375" style="374"/>
    <col min="12051" max="12051" width="1.625" style="374" bestFit="1" customWidth="1"/>
    <col min="12052" max="12052" width="9.375" style="374"/>
    <col min="12053" max="12053" width="8.875" style="374" customWidth="1"/>
    <col min="12054" max="12054" width="13.125" style="374" customWidth="1"/>
    <col min="12055" max="12055" width="9.375" style="374"/>
    <col min="12056" max="12056" width="9.875" style="374" customWidth="1"/>
    <col min="12057" max="12057" width="11.75" style="374" bestFit="1" customWidth="1"/>
    <col min="12058" max="12287" width="9.375" style="374"/>
    <col min="12288" max="12288" width="5" style="374" customWidth="1"/>
    <col min="12289" max="12289" width="17.875" style="374" bestFit="1" customWidth="1"/>
    <col min="12290" max="12290" width="9.875" style="374" customWidth="1"/>
    <col min="12291" max="12291" width="8.875" style="374" customWidth="1"/>
    <col min="12292" max="12292" width="7.375" style="374" bestFit="1" customWidth="1"/>
    <col min="12293" max="12293" width="10.125" style="374" bestFit="1" customWidth="1"/>
    <col min="12294" max="12294" width="9.375" style="374"/>
    <col min="12295" max="12295" width="10.125" style="374" bestFit="1" customWidth="1"/>
    <col min="12296" max="12296" width="10.75" style="374" customWidth="1"/>
    <col min="12297" max="12299" width="9.375" style="374"/>
    <col min="12300" max="12301" width="10.75" style="374" customWidth="1"/>
    <col min="12302" max="12306" width="9.375" style="374"/>
    <col min="12307" max="12307" width="1.625" style="374" bestFit="1" customWidth="1"/>
    <col min="12308" max="12308" width="9.375" style="374"/>
    <col min="12309" max="12309" width="8.875" style="374" customWidth="1"/>
    <col min="12310" max="12310" width="13.125" style="374" customWidth="1"/>
    <col min="12311" max="12311" width="9.375" style="374"/>
    <col min="12312" max="12312" width="9.875" style="374" customWidth="1"/>
    <col min="12313" max="12313" width="11.75" style="374" bestFit="1" customWidth="1"/>
    <col min="12314" max="12543" width="9.375" style="374"/>
    <col min="12544" max="12544" width="5" style="374" customWidth="1"/>
    <col min="12545" max="12545" width="17.875" style="374" bestFit="1" customWidth="1"/>
    <col min="12546" max="12546" width="9.875" style="374" customWidth="1"/>
    <col min="12547" max="12547" width="8.875" style="374" customWidth="1"/>
    <col min="12548" max="12548" width="7.375" style="374" bestFit="1" customWidth="1"/>
    <col min="12549" max="12549" width="10.125" style="374" bestFit="1" customWidth="1"/>
    <col min="12550" max="12550" width="9.375" style="374"/>
    <col min="12551" max="12551" width="10.125" style="374" bestFit="1" customWidth="1"/>
    <col min="12552" max="12552" width="10.75" style="374" customWidth="1"/>
    <col min="12553" max="12555" width="9.375" style="374"/>
    <col min="12556" max="12557" width="10.75" style="374" customWidth="1"/>
    <col min="12558" max="12562" width="9.375" style="374"/>
    <col min="12563" max="12563" width="1.625" style="374" bestFit="1" customWidth="1"/>
    <col min="12564" max="12564" width="9.375" style="374"/>
    <col min="12565" max="12565" width="8.875" style="374" customWidth="1"/>
    <col min="12566" max="12566" width="13.125" style="374" customWidth="1"/>
    <col min="12567" max="12567" width="9.375" style="374"/>
    <col min="12568" max="12568" width="9.875" style="374" customWidth="1"/>
    <col min="12569" max="12569" width="11.75" style="374" bestFit="1" customWidth="1"/>
    <col min="12570" max="12799" width="9.375" style="374"/>
    <col min="12800" max="12800" width="5" style="374" customWidth="1"/>
    <col min="12801" max="12801" width="17.875" style="374" bestFit="1" customWidth="1"/>
    <col min="12802" max="12802" width="9.875" style="374" customWidth="1"/>
    <col min="12803" max="12803" width="8.875" style="374" customWidth="1"/>
    <col min="12804" max="12804" width="7.375" style="374" bestFit="1" customWidth="1"/>
    <col min="12805" max="12805" width="10.125" style="374" bestFit="1" customWidth="1"/>
    <col min="12806" max="12806" width="9.375" style="374"/>
    <col min="12807" max="12807" width="10.125" style="374" bestFit="1" customWidth="1"/>
    <col min="12808" max="12808" width="10.75" style="374" customWidth="1"/>
    <col min="12809" max="12811" width="9.375" style="374"/>
    <col min="12812" max="12813" width="10.75" style="374" customWidth="1"/>
    <col min="12814" max="12818" width="9.375" style="374"/>
    <col min="12819" max="12819" width="1.625" style="374" bestFit="1" customWidth="1"/>
    <col min="12820" max="12820" width="9.375" style="374"/>
    <col min="12821" max="12821" width="8.875" style="374" customWidth="1"/>
    <col min="12822" max="12822" width="13.125" style="374" customWidth="1"/>
    <col min="12823" max="12823" width="9.375" style="374"/>
    <col min="12824" max="12824" width="9.875" style="374" customWidth="1"/>
    <col min="12825" max="12825" width="11.75" style="374" bestFit="1" customWidth="1"/>
    <col min="12826" max="13055" width="9.375" style="374"/>
    <col min="13056" max="13056" width="5" style="374" customWidth="1"/>
    <col min="13057" max="13057" width="17.875" style="374" bestFit="1" customWidth="1"/>
    <col min="13058" max="13058" width="9.875" style="374" customWidth="1"/>
    <col min="13059" max="13059" width="8.875" style="374" customWidth="1"/>
    <col min="13060" max="13060" width="7.375" style="374" bestFit="1" customWidth="1"/>
    <col min="13061" max="13061" width="10.125" style="374" bestFit="1" customWidth="1"/>
    <col min="13062" max="13062" width="9.375" style="374"/>
    <col min="13063" max="13063" width="10.125" style="374" bestFit="1" customWidth="1"/>
    <col min="13064" max="13064" width="10.75" style="374" customWidth="1"/>
    <col min="13065" max="13067" width="9.375" style="374"/>
    <col min="13068" max="13069" width="10.75" style="374" customWidth="1"/>
    <col min="13070" max="13074" width="9.375" style="374"/>
    <col min="13075" max="13075" width="1.625" style="374" bestFit="1" customWidth="1"/>
    <col min="13076" max="13076" width="9.375" style="374"/>
    <col min="13077" max="13077" width="8.875" style="374" customWidth="1"/>
    <col min="13078" max="13078" width="13.125" style="374" customWidth="1"/>
    <col min="13079" max="13079" width="9.375" style="374"/>
    <col min="13080" max="13080" width="9.875" style="374" customWidth="1"/>
    <col min="13081" max="13081" width="11.75" style="374" bestFit="1" customWidth="1"/>
    <col min="13082" max="13311" width="9.375" style="374"/>
    <col min="13312" max="13312" width="5" style="374" customWidth="1"/>
    <col min="13313" max="13313" width="17.875" style="374" bestFit="1" customWidth="1"/>
    <col min="13314" max="13314" width="9.875" style="374" customWidth="1"/>
    <col min="13315" max="13315" width="8.875" style="374" customWidth="1"/>
    <col min="13316" max="13316" width="7.375" style="374" bestFit="1" customWidth="1"/>
    <col min="13317" max="13317" width="10.125" style="374" bestFit="1" customWidth="1"/>
    <col min="13318" max="13318" width="9.375" style="374"/>
    <col min="13319" max="13319" width="10.125" style="374" bestFit="1" customWidth="1"/>
    <col min="13320" max="13320" width="10.75" style="374" customWidth="1"/>
    <col min="13321" max="13323" width="9.375" style="374"/>
    <col min="13324" max="13325" width="10.75" style="374" customWidth="1"/>
    <col min="13326" max="13330" width="9.375" style="374"/>
    <col min="13331" max="13331" width="1.625" style="374" bestFit="1" customWidth="1"/>
    <col min="13332" max="13332" width="9.375" style="374"/>
    <col min="13333" max="13333" width="8.875" style="374" customWidth="1"/>
    <col min="13334" max="13334" width="13.125" style="374" customWidth="1"/>
    <col min="13335" max="13335" width="9.375" style="374"/>
    <col min="13336" max="13336" width="9.875" style="374" customWidth="1"/>
    <col min="13337" max="13337" width="11.75" style="374" bestFit="1" customWidth="1"/>
    <col min="13338" max="13567" width="9.375" style="374"/>
    <col min="13568" max="13568" width="5" style="374" customWidth="1"/>
    <col min="13569" max="13569" width="17.875" style="374" bestFit="1" customWidth="1"/>
    <col min="13570" max="13570" width="9.875" style="374" customWidth="1"/>
    <col min="13571" max="13571" width="8.875" style="374" customWidth="1"/>
    <col min="13572" max="13572" width="7.375" style="374" bestFit="1" customWidth="1"/>
    <col min="13573" max="13573" width="10.125" style="374" bestFit="1" customWidth="1"/>
    <col min="13574" max="13574" width="9.375" style="374"/>
    <col min="13575" max="13575" width="10.125" style="374" bestFit="1" customWidth="1"/>
    <col min="13576" max="13576" width="10.75" style="374" customWidth="1"/>
    <col min="13577" max="13579" width="9.375" style="374"/>
    <col min="13580" max="13581" width="10.75" style="374" customWidth="1"/>
    <col min="13582" max="13586" width="9.375" style="374"/>
    <col min="13587" max="13587" width="1.625" style="374" bestFit="1" customWidth="1"/>
    <col min="13588" max="13588" width="9.375" style="374"/>
    <col min="13589" max="13589" width="8.875" style="374" customWidth="1"/>
    <col min="13590" max="13590" width="13.125" style="374" customWidth="1"/>
    <col min="13591" max="13591" width="9.375" style="374"/>
    <col min="13592" max="13592" width="9.875" style="374" customWidth="1"/>
    <col min="13593" max="13593" width="11.75" style="374" bestFit="1" customWidth="1"/>
    <col min="13594" max="13823" width="9.375" style="374"/>
    <col min="13824" max="13824" width="5" style="374" customWidth="1"/>
    <col min="13825" max="13825" width="17.875" style="374" bestFit="1" customWidth="1"/>
    <col min="13826" max="13826" width="9.875" style="374" customWidth="1"/>
    <col min="13827" max="13827" width="8.875" style="374" customWidth="1"/>
    <col min="13828" max="13828" width="7.375" style="374" bestFit="1" customWidth="1"/>
    <col min="13829" max="13829" width="10.125" style="374" bestFit="1" customWidth="1"/>
    <col min="13830" max="13830" width="9.375" style="374"/>
    <col min="13831" max="13831" width="10.125" style="374" bestFit="1" customWidth="1"/>
    <col min="13832" max="13832" width="10.75" style="374" customWidth="1"/>
    <col min="13833" max="13835" width="9.375" style="374"/>
    <col min="13836" max="13837" width="10.75" style="374" customWidth="1"/>
    <col min="13838" max="13842" width="9.375" style="374"/>
    <col min="13843" max="13843" width="1.625" style="374" bestFit="1" customWidth="1"/>
    <col min="13844" max="13844" width="9.375" style="374"/>
    <col min="13845" max="13845" width="8.875" style="374" customWidth="1"/>
    <col min="13846" max="13846" width="13.125" style="374" customWidth="1"/>
    <col min="13847" max="13847" width="9.375" style="374"/>
    <col min="13848" max="13848" width="9.875" style="374" customWidth="1"/>
    <col min="13849" max="13849" width="11.75" style="374" bestFit="1" customWidth="1"/>
    <col min="13850" max="14079" width="9.375" style="374"/>
    <col min="14080" max="14080" width="5" style="374" customWidth="1"/>
    <col min="14081" max="14081" width="17.875" style="374" bestFit="1" customWidth="1"/>
    <col min="14082" max="14082" width="9.875" style="374" customWidth="1"/>
    <col min="14083" max="14083" width="8.875" style="374" customWidth="1"/>
    <col min="14084" max="14084" width="7.375" style="374" bestFit="1" customWidth="1"/>
    <col min="14085" max="14085" width="10.125" style="374" bestFit="1" customWidth="1"/>
    <col min="14086" max="14086" width="9.375" style="374"/>
    <col min="14087" max="14087" width="10.125" style="374" bestFit="1" customWidth="1"/>
    <col min="14088" max="14088" width="10.75" style="374" customWidth="1"/>
    <col min="14089" max="14091" width="9.375" style="374"/>
    <col min="14092" max="14093" width="10.75" style="374" customWidth="1"/>
    <col min="14094" max="14098" width="9.375" style="374"/>
    <col min="14099" max="14099" width="1.625" style="374" bestFit="1" customWidth="1"/>
    <col min="14100" max="14100" width="9.375" style="374"/>
    <col min="14101" max="14101" width="8.875" style="374" customWidth="1"/>
    <col min="14102" max="14102" width="13.125" style="374" customWidth="1"/>
    <col min="14103" max="14103" width="9.375" style="374"/>
    <col min="14104" max="14104" width="9.875" style="374" customWidth="1"/>
    <col min="14105" max="14105" width="11.75" style="374" bestFit="1" customWidth="1"/>
    <col min="14106" max="14335" width="9.375" style="374"/>
    <col min="14336" max="14336" width="5" style="374" customWidth="1"/>
    <col min="14337" max="14337" width="17.875" style="374" bestFit="1" customWidth="1"/>
    <col min="14338" max="14338" width="9.875" style="374" customWidth="1"/>
    <col min="14339" max="14339" width="8.875" style="374" customWidth="1"/>
    <col min="14340" max="14340" width="7.375" style="374" bestFit="1" customWidth="1"/>
    <col min="14341" max="14341" width="10.125" style="374" bestFit="1" customWidth="1"/>
    <col min="14342" max="14342" width="9.375" style="374"/>
    <col min="14343" max="14343" width="10.125" style="374" bestFit="1" customWidth="1"/>
    <col min="14344" max="14344" width="10.75" style="374" customWidth="1"/>
    <col min="14345" max="14347" width="9.375" style="374"/>
    <col min="14348" max="14349" width="10.75" style="374" customWidth="1"/>
    <col min="14350" max="14354" width="9.375" style="374"/>
    <col min="14355" max="14355" width="1.625" style="374" bestFit="1" customWidth="1"/>
    <col min="14356" max="14356" width="9.375" style="374"/>
    <col min="14357" max="14357" width="8.875" style="374" customWidth="1"/>
    <col min="14358" max="14358" width="13.125" style="374" customWidth="1"/>
    <col min="14359" max="14359" width="9.375" style="374"/>
    <col min="14360" max="14360" width="9.875" style="374" customWidth="1"/>
    <col min="14361" max="14361" width="11.75" style="374" bestFit="1" customWidth="1"/>
    <col min="14362" max="14591" width="9.375" style="374"/>
    <col min="14592" max="14592" width="5" style="374" customWidth="1"/>
    <col min="14593" max="14593" width="17.875" style="374" bestFit="1" customWidth="1"/>
    <col min="14594" max="14594" width="9.875" style="374" customWidth="1"/>
    <col min="14595" max="14595" width="8.875" style="374" customWidth="1"/>
    <col min="14596" max="14596" width="7.375" style="374" bestFit="1" customWidth="1"/>
    <col min="14597" max="14597" width="10.125" style="374" bestFit="1" customWidth="1"/>
    <col min="14598" max="14598" width="9.375" style="374"/>
    <col min="14599" max="14599" width="10.125" style="374" bestFit="1" customWidth="1"/>
    <col min="14600" max="14600" width="10.75" style="374" customWidth="1"/>
    <col min="14601" max="14603" width="9.375" style="374"/>
    <col min="14604" max="14605" width="10.75" style="374" customWidth="1"/>
    <col min="14606" max="14610" width="9.375" style="374"/>
    <col min="14611" max="14611" width="1.625" style="374" bestFit="1" customWidth="1"/>
    <col min="14612" max="14612" width="9.375" style="374"/>
    <col min="14613" max="14613" width="8.875" style="374" customWidth="1"/>
    <col min="14614" max="14614" width="13.125" style="374" customWidth="1"/>
    <col min="14615" max="14615" width="9.375" style="374"/>
    <col min="14616" max="14616" width="9.875" style="374" customWidth="1"/>
    <col min="14617" max="14617" width="11.75" style="374" bestFit="1" customWidth="1"/>
    <col min="14618" max="14847" width="9.375" style="374"/>
    <col min="14848" max="14848" width="5" style="374" customWidth="1"/>
    <col min="14849" max="14849" width="17.875" style="374" bestFit="1" customWidth="1"/>
    <col min="14850" max="14850" width="9.875" style="374" customWidth="1"/>
    <col min="14851" max="14851" width="8.875" style="374" customWidth="1"/>
    <col min="14852" max="14852" width="7.375" style="374" bestFit="1" customWidth="1"/>
    <col min="14853" max="14853" width="10.125" style="374" bestFit="1" customWidth="1"/>
    <col min="14854" max="14854" width="9.375" style="374"/>
    <col min="14855" max="14855" width="10.125" style="374" bestFit="1" customWidth="1"/>
    <col min="14856" max="14856" width="10.75" style="374" customWidth="1"/>
    <col min="14857" max="14859" width="9.375" style="374"/>
    <col min="14860" max="14861" width="10.75" style="374" customWidth="1"/>
    <col min="14862" max="14866" width="9.375" style="374"/>
    <col min="14867" max="14867" width="1.625" style="374" bestFit="1" customWidth="1"/>
    <col min="14868" max="14868" width="9.375" style="374"/>
    <col min="14869" max="14869" width="8.875" style="374" customWidth="1"/>
    <col min="14870" max="14870" width="13.125" style="374" customWidth="1"/>
    <col min="14871" max="14871" width="9.375" style="374"/>
    <col min="14872" max="14872" width="9.875" style="374" customWidth="1"/>
    <col min="14873" max="14873" width="11.75" style="374" bestFit="1" customWidth="1"/>
    <col min="14874" max="15103" width="9.375" style="374"/>
    <col min="15104" max="15104" width="5" style="374" customWidth="1"/>
    <col min="15105" max="15105" width="17.875" style="374" bestFit="1" customWidth="1"/>
    <col min="15106" max="15106" width="9.875" style="374" customWidth="1"/>
    <col min="15107" max="15107" width="8.875" style="374" customWidth="1"/>
    <col min="15108" max="15108" width="7.375" style="374" bestFit="1" customWidth="1"/>
    <col min="15109" max="15109" width="10.125" style="374" bestFit="1" customWidth="1"/>
    <col min="15110" max="15110" width="9.375" style="374"/>
    <col min="15111" max="15111" width="10.125" style="374" bestFit="1" customWidth="1"/>
    <col min="15112" max="15112" width="10.75" style="374" customWidth="1"/>
    <col min="15113" max="15115" width="9.375" style="374"/>
    <col min="15116" max="15117" width="10.75" style="374" customWidth="1"/>
    <col min="15118" max="15122" width="9.375" style="374"/>
    <col min="15123" max="15123" width="1.625" style="374" bestFit="1" customWidth="1"/>
    <col min="15124" max="15124" width="9.375" style="374"/>
    <col min="15125" max="15125" width="8.875" style="374" customWidth="1"/>
    <col min="15126" max="15126" width="13.125" style="374" customWidth="1"/>
    <col min="15127" max="15127" width="9.375" style="374"/>
    <col min="15128" max="15128" width="9.875" style="374" customWidth="1"/>
    <col min="15129" max="15129" width="11.75" style="374" bestFit="1" customWidth="1"/>
    <col min="15130" max="15359" width="9.375" style="374"/>
    <col min="15360" max="15360" width="5" style="374" customWidth="1"/>
    <col min="15361" max="15361" width="17.875" style="374" bestFit="1" customWidth="1"/>
    <col min="15362" max="15362" width="9.875" style="374" customWidth="1"/>
    <col min="15363" max="15363" width="8.875" style="374" customWidth="1"/>
    <col min="15364" max="15364" width="7.375" style="374" bestFit="1" customWidth="1"/>
    <col min="15365" max="15365" width="10.125" style="374" bestFit="1" customWidth="1"/>
    <col min="15366" max="15366" width="9.375" style="374"/>
    <col min="15367" max="15367" width="10.125" style="374" bestFit="1" customWidth="1"/>
    <col min="15368" max="15368" width="10.75" style="374" customWidth="1"/>
    <col min="15369" max="15371" width="9.375" style="374"/>
    <col min="15372" max="15373" width="10.75" style="374" customWidth="1"/>
    <col min="15374" max="15378" width="9.375" style="374"/>
    <col min="15379" max="15379" width="1.625" style="374" bestFit="1" customWidth="1"/>
    <col min="15380" max="15380" width="9.375" style="374"/>
    <col min="15381" max="15381" width="8.875" style="374" customWidth="1"/>
    <col min="15382" max="15382" width="13.125" style="374" customWidth="1"/>
    <col min="15383" max="15383" width="9.375" style="374"/>
    <col min="15384" max="15384" width="9.875" style="374" customWidth="1"/>
    <col min="15385" max="15385" width="11.75" style="374" bestFit="1" customWidth="1"/>
    <col min="15386" max="15615" width="9.375" style="374"/>
    <col min="15616" max="15616" width="5" style="374" customWidth="1"/>
    <col min="15617" max="15617" width="17.875" style="374" bestFit="1" customWidth="1"/>
    <col min="15618" max="15618" width="9.875" style="374" customWidth="1"/>
    <col min="15619" max="15619" width="8.875" style="374" customWidth="1"/>
    <col min="15620" max="15620" width="7.375" style="374" bestFit="1" customWidth="1"/>
    <col min="15621" max="15621" width="10.125" style="374" bestFit="1" customWidth="1"/>
    <col min="15622" max="15622" width="9.375" style="374"/>
    <col min="15623" max="15623" width="10.125" style="374" bestFit="1" customWidth="1"/>
    <col min="15624" max="15624" width="10.75" style="374" customWidth="1"/>
    <col min="15625" max="15627" width="9.375" style="374"/>
    <col min="15628" max="15629" width="10.75" style="374" customWidth="1"/>
    <col min="15630" max="15634" width="9.375" style="374"/>
    <col min="15635" max="15635" width="1.625" style="374" bestFit="1" customWidth="1"/>
    <col min="15636" max="15636" width="9.375" style="374"/>
    <col min="15637" max="15637" width="8.875" style="374" customWidth="1"/>
    <col min="15638" max="15638" width="13.125" style="374" customWidth="1"/>
    <col min="15639" max="15639" width="9.375" style="374"/>
    <col min="15640" max="15640" width="9.875" style="374" customWidth="1"/>
    <col min="15641" max="15641" width="11.75" style="374" bestFit="1" customWidth="1"/>
    <col min="15642" max="15871" width="9.375" style="374"/>
    <col min="15872" max="15872" width="5" style="374" customWidth="1"/>
    <col min="15873" max="15873" width="17.875" style="374" bestFit="1" customWidth="1"/>
    <col min="15874" max="15874" width="9.875" style="374" customWidth="1"/>
    <col min="15875" max="15875" width="8.875" style="374" customWidth="1"/>
    <col min="15876" max="15876" width="7.375" style="374" bestFit="1" customWidth="1"/>
    <col min="15877" max="15877" width="10.125" style="374" bestFit="1" customWidth="1"/>
    <col min="15878" max="15878" width="9.375" style="374"/>
    <col min="15879" max="15879" width="10.125" style="374" bestFit="1" customWidth="1"/>
    <col min="15880" max="15880" width="10.75" style="374" customWidth="1"/>
    <col min="15881" max="15883" width="9.375" style="374"/>
    <col min="15884" max="15885" width="10.75" style="374" customWidth="1"/>
    <col min="15886" max="15890" width="9.375" style="374"/>
    <col min="15891" max="15891" width="1.625" style="374" bestFit="1" customWidth="1"/>
    <col min="15892" max="15892" width="9.375" style="374"/>
    <col min="15893" max="15893" width="8.875" style="374" customWidth="1"/>
    <col min="15894" max="15894" width="13.125" style="374" customWidth="1"/>
    <col min="15895" max="15895" width="9.375" style="374"/>
    <col min="15896" max="15896" width="9.875" style="374" customWidth="1"/>
    <col min="15897" max="15897" width="11.75" style="374" bestFit="1" customWidth="1"/>
    <col min="15898" max="16127" width="9.375" style="374"/>
    <col min="16128" max="16128" width="5" style="374" customWidth="1"/>
    <col min="16129" max="16129" width="17.875" style="374" bestFit="1" customWidth="1"/>
    <col min="16130" max="16130" width="9.875" style="374" customWidth="1"/>
    <col min="16131" max="16131" width="8.875" style="374" customWidth="1"/>
    <col min="16132" max="16132" width="7.375" style="374" bestFit="1" customWidth="1"/>
    <col min="16133" max="16133" width="10.125" style="374" bestFit="1" customWidth="1"/>
    <col min="16134" max="16134" width="9.375" style="374"/>
    <col min="16135" max="16135" width="10.125" style="374" bestFit="1" customWidth="1"/>
    <col min="16136" max="16136" width="10.75" style="374" customWidth="1"/>
    <col min="16137" max="16139" width="9.375" style="374"/>
    <col min="16140" max="16141" width="10.75" style="374" customWidth="1"/>
    <col min="16142" max="16146" width="9.375" style="374"/>
    <col min="16147" max="16147" width="1.625" style="374" bestFit="1" customWidth="1"/>
    <col min="16148" max="16148" width="9.375" style="374"/>
    <col min="16149" max="16149" width="8.875" style="374" customWidth="1"/>
    <col min="16150" max="16150" width="13.125" style="374" customWidth="1"/>
    <col min="16151" max="16151" width="9.375" style="374"/>
    <col min="16152" max="16152" width="9.875" style="374" customWidth="1"/>
    <col min="16153" max="16153" width="11.75" style="374" bestFit="1" customWidth="1"/>
    <col min="16154" max="16384" width="9.375" style="374"/>
  </cols>
  <sheetData>
    <row r="1" spans="1:28" s="75" customFormat="1" ht="21" x14ac:dyDescent="0.2">
      <c r="A1" s="358" t="s">
        <v>572</v>
      </c>
      <c r="B1" s="74"/>
      <c r="C1" s="74"/>
      <c r="D1" s="369"/>
      <c r="E1" s="369"/>
      <c r="F1" s="369"/>
      <c r="G1" s="369"/>
      <c r="H1" s="370"/>
      <c r="I1" s="370"/>
      <c r="J1" s="370"/>
      <c r="K1" s="370"/>
      <c r="L1" s="370"/>
      <c r="M1" s="370"/>
      <c r="O1" s="370"/>
      <c r="P1" s="101"/>
      <c r="Q1" s="101"/>
      <c r="R1" s="101"/>
      <c r="S1" s="101"/>
      <c r="T1" s="371"/>
      <c r="U1" s="371"/>
      <c r="V1" s="371"/>
      <c r="W1" s="101"/>
      <c r="X1" s="371"/>
      <c r="Y1" s="371"/>
      <c r="Z1" s="101"/>
      <c r="AA1" s="101"/>
      <c r="AB1" s="101"/>
    </row>
    <row r="2" spans="1:28" s="89" customFormat="1" ht="21" x14ac:dyDescent="0.35">
      <c r="A2" s="55" t="str">
        <f>Paramètres!B5</f>
        <v>Acomptes 2016</v>
      </c>
      <c r="P2" s="372"/>
      <c r="Q2" s="372"/>
      <c r="R2" s="372"/>
      <c r="S2" s="372"/>
      <c r="T2" s="373"/>
      <c r="U2" s="373"/>
      <c r="V2" s="373"/>
      <c r="W2" s="372"/>
      <c r="X2" s="373"/>
      <c r="Y2" s="373"/>
      <c r="Z2" s="372"/>
      <c r="AA2" s="372"/>
      <c r="AB2" s="372"/>
    </row>
    <row r="4" spans="1:28" s="389" customFormat="1" ht="130.9" customHeight="1" x14ac:dyDescent="0.2">
      <c r="A4" s="470" t="s">
        <v>53</v>
      </c>
      <c r="B4" s="470" t="s">
        <v>123</v>
      </c>
      <c r="C4" s="470" t="s">
        <v>566</v>
      </c>
      <c r="D4" s="470" t="s">
        <v>350</v>
      </c>
      <c r="E4" s="470" t="s">
        <v>562</v>
      </c>
      <c r="F4" s="470" t="s">
        <v>567</v>
      </c>
      <c r="G4" s="470" t="s">
        <v>524</v>
      </c>
      <c r="H4" s="472" t="s">
        <v>389</v>
      </c>
      <c r="I4" s="393" t="s">
        <v>573</v>
      </c>
      <c r="J4" s="470" t="s">
        <v>576</v>
      </c>
      <c r="K4" s="470" t="s">
        <v>568</v>
      </c>
      <c r="L4" s="470" t="s">
        <v>569</v>
      </c>
      <c r="M4" s="470" t="s">
        <v>577</v>
      </c>
      <c r="N4" s="393" t="s">
        <v>570</v>
      </c>
      <c r="O4" s="470" t="s">
        <v>571</v>
      </c>
      <c r="P4" s="385"/>
      <c r="Q4" s="385"/>
      <c r="R4" s="385"/>
      <c r="S4" s="386"/>
      <c r="T4" s="387"/>
      <c r="U4" s="387"/>
      <c r="V4" s="387"/>
      <c r="W4" s="386"/>
      <c r="X4" s="387"/>
      <c r="Y4" s="388"/>
      <c r="Z4" s="386"/>
      <c r="AA4" s="386"/>
      <c r="AB4" s="386"/>
    </row>
    <row r="5" spans="1:28" s="389" customFormat="1" x14ac:dyDescent="0.2">
      <c r="A5" s="471"/>
      <c r="B5" s="471"/>
      <c r="C5" s="471"/>
      <c r="D5" s="471"/>
      <c r="E5" s="471"/>
      <c r="F5" s="471"/>
      <c r="G5" s="471"/>
      <c r="H5" s="473"/>
      <c r="I5" s="394">
        <f>Paramètres!B58</f>
        <v>2</v>
      </c>
      <c r="J5" s="471"/>
      <c r="K5" s="471"/>
      <c r="L5" s="471"/>
      <c r="M5" s="471"/>
      <c r="N5" s="398">
        <f>+N324/M324</f>
        <v>1.3498696209035153</v>
      </c>
      <c r="O5" s="471"/>
      <c r="P5" s="386"/>
      <c r="Q5" s="386"/>
      <c r="R5" s="386"/>
      <c r="S5" s="386"/>
      <c r="T5" s="388"/>
      <c r="U5" s="388"/>
      <c r="V5" s="388"/>
      <c r="W5" s="386"/>
      <c r="X5" s="388"/>
      <c r="Y5" s="388"/>
      <c r="Z5" s="386"/>
      <c r="AA5" s="386"/>
      <c r="AB5" s="386"/>
    </row>
    <row r="6" spans="1:28" x14ac:dyDescent="0.25">
      <c r="A6" s="390">
        <f>'A) Base RI'!A7</f>
        <v>5401</v>
      </c>
      <c r="B6" s="390" t="str">
        <f>'A) Base RI'!B7</f>
        <v>Aigle</v>
      </c>
      <c r="C6" s="404">
        <v>1</v>
      </c>
      <c r="D6" s="377">
        <f>'B) D RI'!AR7</f>
        <v>9771</v>
      </c>
      <c r="E6" s="378">
        <f>'B) D RI'!S7</f>
        <v>67.5</v>
      </c>
      <c r="F6" s="18">
        <f>'B) D RI'!R7</f>
        <v>17301223.213333338</v>
      </c>
      <c r="G6" s="18">
        <f>'B) D RI'!U7</f>
        <v>256314.41797530872</v>
      </c>
      <c r="H6" s="73">
        <f>'B) D RI'!T7</f>
        <v>15638382.580000004</v>
      </c>
      <c r="I6" s="90">
        <f>+H6/E6*$I$5</f>
        <v>463359.48385185195</v>
      </c>
      <c r="J6" s="90">
        <f>+$I$324/$D$324*D6</f>
        <v>839189.74794697366</v>
      </c>
      <c r="K6" s="90">
        <f t="shared" ref="K6:K69" si="0">IF(C6=1,0,IF(J6&gt;I6,I6,J6))</f>
        <v>0</v>
      </c>
      <c r="L6" s="90">
        <f>+J6-K6</f>
        <v>839189.74794697366</v>
      </c>
      <c r="M6" s="90">
        <f>'D) Ecrêtage'!N5</f>
        <v>256314.41797530872</v>
      </c>
      <c r="N6" s="90">
        <f>+$N$5*M6</f>
        <v>345991.04622443515</v>
      </c>
      <c r="O6" s="171">
        <f>+N6+K6</f>
        <v>345991.04622443515</v>
      </c>
      <c r="P6" s="379"/>
      <c r="Q6" s="380"/>
      <c r="R6" s="379"/>
      <c r="U6" s="381"/>
      <c r="V6" s="381"/>
      <c r="W6" s="382"/>
      <c r="Z6" s="383"/>
    </row>
    <row r="7" spans="1:28" x14ac:dyDescent="0.25">
      <c r="A7" s="391">
        <f>'A) Base RI'!A8</f>
        <v>5402</v>
      </c>
      <c r="B7" s="391" t="str">
        <f>'A) Base RI'!B8</f>
        <v>Bex</v>
      </c>
      <c r="C7" s="404">
        <v>1</v>
      </c>
      <c r="D7" s="377">
        <f>'B) D RI'!AR8</f>
        <v>7007</v>
      </c>
      <c r="E7" s="378">
        <f>'B) D RI'!S8</f>
        <v>71</v>
      </c>
      <c r="F7" s="18">
        <f>'B) D RI'!R8</f>
        <v>11624437.979999999</v>
      </c>
      <c r="G7" s="18">
        <f>'B) D RI'!U8</f>
        <v>163724.47859154927</v>
      </c>
      <c r="H7" s="73">
        <f>'B) D RI'!T8</f>
        <v>10553262.799999999</v>
      </c>
      <c r="I7" s="18">
        <f>+H7/E7*$I$5</f>
        <v>297275.00845070422</v>
      </c>
      <c r="J7" s="18">
        <f t="shared" ref="J7:J70" si="1">+$I$324/$D$324*D7</f>
        <v>601801.51098807133</v>
      </c>
      <c r="K7" s="18">
        <f t="shared" si="0"/>
        <v>0</v>
      </c>
      <c r="L7" s="18">
        <f t="shared" ref="L7:L70" si="2">+J7-K7</f>
        <v>601801.51098807133</v>
      </c>
      <c r="M7" s="18">
        <f>'D) Ecrêtage'!N6</f>
        <v>163724.47859154927</v>
      </c>
      <c r="N7" s="18">
        <f t="shared" ref="N7:N69" si="3">+$N$5*M7</f>
        <v>221006.69984900032</v>
      </c>
      <c r="O7" s="98">
        <f t="shared" ref="O7:O69" si="4">+N7+K7</f>
        <v>221006.69984900032</v>
      </c>
      <c r="P7" s="379"/>
      <c r="Q7" s="380"/>
      <c r="R7" s="379"/>
      <c r="U7" s="381"/>
      <c r="V7" s="381"/>
      <c r="W7" s="382"/>
      <c r="Z7" s="383"/>
    </row>
    <row r="8" spans="1:28" x14ac:dyDescent="0.25">
      <c r="A8" s="391">
        <f>'A) Base RI'!A9</f>
        <v>5403</v>
      </c>
      <c r="B8" s="391" t="str">
        <f>'A) Base RI'!B9</f>
        <v>Chessel</v>
      </c>
      <c r="C8" s="404">
        <v>0</v>
      </c>
      <c r="D8" s="377">
        <f>'B) D RI'!AR9</f>
        <v>362</v>
      </c>
      <c r="E8" s="378">
        <f>'B) D RI'!S9</f>
        <v>76</v>
      </c>
      <c r="F8" s="18">
        <f>'B) D RI'!R9</f>
        <v>594824.05000000005</v>
      </c>
      <c r="G8" s="18">
        <f>'B) D RI'!U9</f>
        <v>7826.6322368421061</v>
      </c>
      <c r="H8" s="73">
        <f>'B) D RI'!T9</f>
        <v>548359.9</v>
      </c>
      <c r="I8" s="18">
        <f t="shared" ref="I8:I70" si="5">+H8/E8*$I$5</f>
        <v>14430.523684210528</v>
      </c>
      <c r="J8" s="18">
        <f>+$I$324/$D$324*D8</f>
        <v>31090.644637888086</v>
      </c>
      <c r="K8" s="18">
        <f>IF(C8=1,0,IF(J8&gt;I8,I8,J8))</f>
        <v>14430.523684210528</v>
      </c>
      <c r="L8" s="18">
        <f t="shared" si="2"/>
        <v>16660.120953677557</v>
      </c>
      <c r="M8" s="18">
        <f>'D) Ecrêtage'!N7</f>
        <v>7826.6322368421061</v>
      </c>
      <c r="N8" s="18">
        <f t="shared" si="3"/>
        <v>10564.933090497285</v>
      </c>
      <c r="O8" s="98">
        <f t="shared" si="4"/>
        <v>24995.456774707811</v>
      </c>
      <c r="P8" s="379"/>
      <c r="Q8" s="380"/>
      <c r="R8" s="379"/>
      <c r="U8" s="381"/>
      <c r="V8" s="381"/>
      <c r="W8" s="382"/>
      <c r="Z8" s="383"/>
    </row>
    <row r="9" spans="1:28" x14ac:dyDescent="0.25">
      <c r="A9" s="391">
        <f>'A) Base RI'!A10</f>
        <v>5404</v>
      </c>
      <c r="B9" s="391" t="str">
        <f>'A) Base RI'!B10</f>
        <v>Corbeyrier</v>
      </c>
      <c r="C9" s="404">
        <v>0</v>
      </c>
      <c r="D9" s="377">
        <f>'B) D RI'!AR10</f>
        <v>421</v>
      </c>
      <c r="E9" s="378">
        <f>'B) D RI'!S10</f>
        <v>70</v>
      </c>
      <c r="F9" s="18">
        <f>'B) D RI'!R10</f>
        <v>613379.55666666664</v>
      </c>
      <c r="G9" s="18">
        <f>'B) D RI'!U10</f>
        <v>8762.5650952380947</v>
      </c>
      <c r="H9" s="73">
        <f>'B) D RI'!T10</f>
        <v>545909.59</v>
      </c>
      <c r="I9" s="18">
        <f t="shared" si="5"/>
        <v>15597.416857142856</v>
      </c>
      <c r="J9" s="18">
        <f t="shared" si="1"/>
        <v>36157.904399311832</v>
      </c>
      <c r="K9" s="18">
        <f t="shared" si="0"/>
        <v>15597.416857142856</v>
      </c>
      <c r="L9" s="18">
        <f t="shared" si="2"/>
        <v>20560.487542168976</v>
      </c>
      <c r="M9" s="18">
        <f>'D) Ecrêtage'!N8</f>
        <v>8762.5650952380947</v>
      </c>
      <c r="N9" s="18">
        <f t="shared" si="3"/>
        <v>11828.320423251422</v>
      </c>
      <c r="O9" s="98">
        <f t="shared" si="4"/>
        <v>27425.737280394278</v>
      </c>
      <c r="P9" s="379"/>
      <c r="Q9" s="380"/>
      <c r="R9" s="379"/>
      <c r="U9" s="381"/>
      <c r="V9" s="381"/>
      <c r="W9" s="382"/>
      <c r="Z9" s="383"/>
    </row>
    <row r="10" spans="1:28" x14ac:dyDescent="0.25">
      <c r="A10" s="391">
        <f>'A) Base RI'!A11</f>
        <v>5405</v>
      </c>
      <c r="B10" s="391" t="str">
        <f>'A) Base RI'!B11</f>
        <v>Gryon</v>
      </c>
      <c r="C10" s="404">
        <v>0</v>
      </c>
      <c r="D10" s="377">
        <f>'B) D RI'!AR11</f>
        <v>1248</v>
      </c>
      <c r="E10" s="378">
        <f>'B) D RI'!S11</f>
        <v>75</v>
      </c>
      <c r="F10" s="18">
        <f>'B) D RI'!R11</f>
        <v>5039077.6333333328</v>
      </c>
      <c r="G10" s="18">
        <f>'B) D RI'!U11</f>
        <v>67187.701777777766</v>
      </c>
      <c r="H10" s="73">
        <f>'B) D RI'!T11</f>
        <v>4564115</v>
      </c>
      <c r="I10" s="18">
        <f t="shared" si="5"/>
        <v>121709.73333333334</v>
      </c>
      <c r="J10" s="18">
        <f t="shared" si="1"/>
        <v>107185.42681791252</v>
      </c>
      <c r="K10" s="18">
        <f t="shared" si="0"/>
        <v>107185.42681791252</v>
      </c>
      <c r="L10" s="18">
        <f t="shared" si="2"/>
        <v>0</v>
      </c>
      <c r="M10" s="18">
        <f>'D) Ecrêtage'!N9</f>
        <v>67187.701777777766</v>
      </c>
      <c r="N10" s="18">
        <f t="shared" si="3"/>
        <v>90694.637528147316</v>
      </c>
      <c r="O10" s="98">
        <f t="shared" si="4"/>
        <v>197880.06434605984</v>
      </c>
      <c r="P10" s="379"/>
      <c r="Q10" s="380"/>
      <c r="R10" s="379"/>
      <c r="U10" s="381"/>
      <c r="V10" s="381"/>
      <c r="W10" s="382"/>
      <c r="Z10" s="383"/>
    </row>
    <row r="11" spans="1:28" x14ac:dyDescent="0.25">
      <c r="A11" s="391">
        <f>'A) Base RI'!A12</f>
        <v>5406</v>
      </c>
      <c r="B11" s="391" t="str">
        <f>'A) Base RI'!B12</f>
        <v>Lavey-Morcles</v>
      </c>
      <c r="C11" s="404">
        <v>0</v>
      </c>
      <c r="D11" s="377">
        <f>'B) D RI'!AR12</f>
        <v>885</v>
      </c>
      <c r="E11" s="378">
        <f>'B) D RI'!S12</f>
        <v>71</v>
      </c>
      <c r="F11" s="18">
        <f>'B) D RI'!R12</f>
        <v>1363906.550769231</v>
      </c>
      <c r="G11" s="18">
        <f>'B) D RI'!U12</f>
        <v>19209.951419284946</v>
      </c>
      <c r="H11" s="73">
        <f>'B) D RI'!T12</f>
        <v>1227290.3200000003</v>
      </c>
      <c r="I11" s="18">
        <f t="shared" si="5"/>
        <v>34571.558309859167</v>
      </c>
      <c r="J11" s="18">
        <f t="shared" si="1"/>
        <v>76008.896421356229</v>
      </c>
      <c r="K11" s="18">
        <f t="shared" si="0"/>
        <v>34571.558309859167</v>
      </c>
      <c r="L11" s="18">
        <f t="shared" si="2"/>
        <v>41437.338111497062</v>
      </c>
      <c r="M11" s="18">
        <f>'D) Ecrêtage'!N10</f>
        <v>19209.951419284946</v>
      </c>
      <c r="N11" s="18">
        <f t="shared" si="3"/>
        <v>25930.929839925113</v>
      </c>
      <c r="O11" s="98">
        <f t="shared" si="4"/>
        <v>60502.48814978428</v>
      </c>
      <c r="P11" s="379"/>
      <c r="Q11" s="380"/>
      <c r="R11" s="379"/>
      <c r="U11" s="381"/>
      <c r="V11" s="381"/>
      <c r="W11" s="382"/>
      <c r="Z11" s="383"/>
    </row>
    <row r="12" spans="1:28" x14ac:dyDescent="0.25">
      <c r="A12" s="391">
        <f>'A) Base RI'!A13</f>
        <v>5407</v>
      </c>
      <c r="B12" s="391" t="str">
        <f>'A) Base RI'!B13</f>
        <v>Leysin</v>
      </c>
      <c r="C12" s="404">
        <v>0</v>
      </c>
      <c r="D12" s="377">
        <f>'B) D RI'!AR13</f>
        <v>4050</v>
      </c>
      <c r="E12" s="378">
        <f>'B) D RI'!S13</f>
        <v>78</v>
      </c>
      <c r="F12" s="18">
        <f>'B) D RI'!R13</f>
        <v>7778244.4766666675</v>
      </c>
      <c r="G12" s="18">
        <f>'B) D RI'!U13</f>
        <v>99721.08303418805</v>
      </c>
      <c r="H12" s="73">
        <f>'B) D RI'!T13</f>
        <v>6944659.4100000011</v>
      </c>
      <c r="I12" s="18">
        <f t="shared" si="5"/>
        <v>178068.19000000003</v>
      </c>
      <c r="J12" s="18">
        <f t="shared" si="1"/>
        <v>347837.32260620646</v>
      </c>
      <c r="K12" s="18">
        <f t="shared" si="0"/>
        <v>178068.19000000003</v>
      </c>
      <c r="L12" s="18">
        <f t="shared" si="2"/>
        <v>169769.13260620643</v>
      </c>
      <c r="M12" s="18">
        <f>'D) Ecrêtage'!N11</f>
        <v>99721.08303418805</v>
      </c>
      <c r="N12" s="18">
        <f t="shared" si="3"/>
        <v>134610.46055144738</v>
      </c>
      <c r="O12" s="98">
        <f t="shared" si="4"/>
        <v>312678.65055144741</v>
      </c>
      <c r="P12" s="379"/>
      <c r="Q12" s="380"/>
      <c r="R12" s="379"/>
      <c r="U12" s="381"/>
      <c r="V12" s="381"/>
      <c r="W12" s="382"/>
      <c r="Z12" s="383"/>
    </row>
    <row r="13" spans="1:28" x14ac:dyDescent="0.25">
      <c r="A13" s="391">
        <f>'A) Base RI'!A14</f>
        <v>5408</v>
      </c>
      <c r="B13" s="391" t="str">
        <f>'A) Base RI'!B14</f>
        <v>Noville</v>
      </c>
      <c r="C13" s="404">
        <v>0</v>
      </c>
      <c r="D13" s="377">
        <f>'B) D RI'!AR14</f>
        <v>971</v>
      </c>
      <c r="E13" s="378">
        <f>'B) D RI'!S14</f>
        <v>78.5</v>
      </c>
      <c r="F13" s="18">
        <f>'B) D RI'!R14</f>
        <v>2180892.6733333333</v>
      </c>
      <c r="G13" s="18">
        <f>'B) D RI'!U14</f>
        <v>27782.072271762208</v>
      </c>
      <c r="H13" s="73">
        <f>'B) D RI'!T14</f>
        <v>2036308.94</v>
      </c>
      <c r="I13" s="18">
        <f t="shared" si="5"/>
        <v>51880.482547770698</v>
      </c>
      <c r="J13" s="18">
        <f t="shared" si="1"/>
        <v>83395.071666821357</v>
      </c>
      <c r="K13" s="18">
        <f t="shared" si="0"/>
        <v>51880.482547770698</v>
      </c>
      <c r="L13" s="18">
        <f t="shared" si="2"/>
        <v>31514.589119050659</v>
      </c>
      <c r="M13" s="18">
        <f>'D) Ecrêtage'!N12</f>
        <v>27782.072271762208</v>
      </c>
      <c r="N13" s="18">
        <f t="shared" si="3"/>
        <v>37502.175365397714</v>
      </c>
      <c r="O13" s="98">
        <f t="shared" si="4"/>
        <v>89382.657913168412</v>
      </c>
      <c r="P13" s="379"/>
      <c r="Q13" s="380"/>
      <c r="R13" s="379"/>
      <c r="U13" s="381"/>
      <c r="V13" s="381"/>
      <c r="W13" s="382"/>
      <c r="Z13" s="383"/>
    </row>
    <row r="14" spans="1:28" x14ac:dyDescent="0.25">
      <c r="A14" s="391">
        <f>'A) Base RI'!A15</f>
        <v>5409</v>
      </c>
      <c r="B14" s="391" t="str">
        <f>'A) Base RI'!B15</f>
        <v>Ollon</v>
      </c>
      <c r="C14" s="404">
        <v>1</v>
      </c>
      <c r="D14" s="377">
        <f>'B) D RI'!AR15</f>
        <v>7152</v>
      </c>
      <c r="E14" s="378">
        <f>'B) D RI'!S15</f>
        <v>68</v>
      </c>
      <c r="F14" s="18">
        <f>'B) D RI'!R15</f>
        <v>25365092.251538455</v>
      </c>
      <c r="G14" s="18">
        <f>'B) D RI'!U15</f>
        <v>373016.06252262433</v>
      </c>
      <c r="H14" s="73">
        <f>'B) D RI'!T15</f>
        <v>22542138.489999995</v>
      </c>
      <c r="I14" s="18">
        <f t="shared" si="5"/>
        <v>663004.07323529397</v>
      </c>
      <c r="J14" s="18">
        <f t="shared" si="1"/>
        <v>614254.94599496014</v>
      </c>
      <c r="K14" s="18">
        <f t="shared" si="0"/>
        <v>0</v>
      </c>
      <c r="L14" s="18">
        <f t="shared" si="2"/>
        <v>614254.94599496014</v>
      </c>
      <c r="M14" s="18">
        <f>'D) Ecrêtage'!N13</f>
        <v>373016.06252262433</v>
      </c>
      <c r="N14" s="18">
        <f t="shared" si="3"/>
        <v>503523.05090833682</v>
      </c>
      <c r="O14" s="98">
        <f t="shared" si="4"/>
        <v>503523.05090833682</v>
      </c>
      <c r="P14" s="379"/>
      <c r="Q14" s="380"/>
      <c r="R14" s="379"/>
      <c r="U14" s="381"/>
      <c r="V14" s="381"/>
      <c r="W14" s="382"/>
      <c r="Z14" s="383"/>
    </row>
    <row r="15" spans="1:28" x14ac:dyDescent="0.25">
      <c r="A15" s="391">
        <f>'A) Base RI'!A16</f>
        <v>5410</v>
      </c>
      <c r="B15" s="391" t="str">
        <f>'A) Base RI'!B16</f>
        <v>Ormont-Dessous</v>
      </c>
      <c r="C15" s="404">
        <v>0</v>
      </c>
      <c r="D15" s="377">
        <f>'B) D RI'!AR16</f>
        <v>1072</v>
      </c>
      <c r="E15" s="378">
        <f>'B) D RI'!S16</f>
        <v>78.5</v>
      </c>
      <c r="F15" s="18">
        <f>'B) D RI'!R16</f>
        <v>2483299.813333333</v>
      </c>
      <c r="G15" s="18">
        <f>'B) D RI'!U16</f>
        <v>31634.392526539275</v>
      </c>
      <c r="H15" s="73">
        <f>'B) D RI'!T16</f>
        <v>2150472.5799999996</v>
      </c>
      <c r="I15" s="18">
        <f t="shared" si="5"/>
        <v>54789.110318471328</v>
      </c>
      <c r="J15" s="18">
        <f t="shared" si="1"/>
        <v>92069.533292309468</v>
      </c>
      <c r="K15" s="18">
        <f t="shared" si="0"/>
        <v>54789.110318471328</v>
      </c>
      <c r="L15" s="18">
        <f t="shared" si="2"/>
        <v>37280.42297383814</v>
      </c>
      <c r="M15" s="18">
        <f>'D) Ecrêtage'!N14</f>
        <v>31634.392526539275</v>
      </c>
      <c r="N15" s="18">
        <f t="shared" si="3"/>
        <v>42702.305447312567</v>
      </c>
      <c r="O15" s="98">
        <f t="shared" si="4"/>
        <v>97491.415765783895</v>
      </c>
      <c r="P15" s="379"/>
      <c r="Q15" s="380"/>
      <c r="R15" s="379"/>
      <c r="U15" s="381"/>
      <c r="V15" s="381"/>
      <c r="W15" s="382"/>
      <c r="Z15" s="383"/>
    </row>
    <row r="16" spans="1:28" s="375" customFormat="1" x14ac:dyDescent="0.25">
      <c r="A16" s="391">
        <f>'A) Base RI'!A17</f>
        <v>5411</v>
      </c>
      <c r="B16" s="391" t="str">
        <f>'A) Base RI'!B17</f>
        <v>Ormont-Dessus</v>
      </c>
      <c r="C16" s="404">
        <v>0</v>
      </c>
      <c r="D16" s="377">
        <f>'B) D RI'!AR17</f>
        <v>1457</v>
      </c>
      <c r="E16" s="378">
        <f>'B) D RI'!S17</f>
        <v>74</v>
      </c>
      <c r="F16" s="18">
        <f>'B) D RI'!R17</f>
        <v>5033632.49</v>
      </c>
      <c r="G16" s="18">
        <f>'B) D RI'!U17</f>
        <v>68022.060675675675</v>
      </c>
      <c r="H16" s="73">
        <f>'B) D RI'!T17</f>
        <v>4282827.49</v>
      </c>
      <c r="I16" s="18">
        <f t="shared" si="5"/>
        <v>115752.09432432432</v>
      </c>
      <c r="J16" s="18">
        <f t="shared" si="1"/>
        <v>125135.55037956614</v>
      </c>
      <c r="K16" s="18">
        <f t="shared" si="0"/>
        <v>115752.09432432432</v>
      </c>
      <c r="L16" s="18">
        <f t="shared" si="2"/>
        <v>9383.4560552418116</v>
      </c>
      <c r="M16" s="18">
        <f>'D) Ecrêtage'!N15</f>
        <v>68022.060675675675</v>
      </c>
      <c r="N16" s="18">
        <f t="shared" si="3"/>
        <v>91820.913257350243</v>
      </c>
      <c r="O16" s="98">
        <f t="shared" si="4"/>
        <v>207573.00758167455</v>
      </c>
      <c r="P16" s="379"/>
      <c r="Q16" s="380"/>
      <c r="R16" s="379"/>
      <c r="T16" s="376"/>
      <c r="U16" s="381"/>
      <c r="V16" s="381"/>
      <c r="W16" s="382"/>
      <c r="X16" s="376"/>
      <c r="Y16" s="376"/>
      <c r="Z16" s="383"/>
    </row>
    <row r="17" spans="1:26" s="375" customFormat="1" x14ac:dyDescent="0.25">
      <c r="A17" s="391">
        <f>'A) Base RI'!A18</f>
        <v>5412</v>
      </c>
      <c r="B17" s="391" t="str">
        <f>'A) Base RI'!B18</f>
        <v>Rennaz</v>
      </c>
      <c r="C17" s="404">
        <v>0</v>
      </c>
      <c r="D17" s="377">
        <f>'B) D RI'!AR18</f>
        <v>802</v>
      </c>
      <c r="E17" s="378">
        <f>'B) D RI'!S18</f>
        <v>63.5</v>
      </c>
      <c r="F17" s="18">
        <f>'B) D RI'!R18</f>
        <v>1558903.5999999999</v>
      </c>
      <c r="G17" s="18">
        <f>'B) D RI'!U18</f>
        <v>24549.662992125981</v>
      </c>
      <c r="H17" s="73">
        <f>'B) D RI'!T18</f>
        <v>1389564.9999999998</v>
      </c>
      <c r="I17" s="18">
        <f t="shared" si="5"/>
        <v>43765.826771653534</v>
      </c>
      <c r="J17" s="18">
        <f t="shared" si="1"/>
        <v>68880.378451895696</v>
      </c>
      <c r="K17" s="18">
        <f t="shared" si="0"/>
        <v>43765.826771653534</v>
      </c>
      <c r="L17" s="18">
        <f t="shared" si="2"/>
        <v>25114.551680242163</v>
      </c>
      <c r="M17" s="18">
        <f>'D) Ecrêtage'!N16</f>
        <v>24549.662992125981</v>
      </c>
      <c r="N17" s="18">
        <f t="shared" si="3"/>
        <v>33138.844276490156</v>
      </c>
      <c r="O17" s="98">
        <f t="shared" si="4"/>
        <v>76904.671048143689</v>
      </c>
      <c r="P17" s="379"/>
      <c r="Q17" s="380"/>
      <c r="R17" s="379"/>
      <c r="T17" s="376"/>
      <c r="U17" s="381"/>
      <c r="V17" s="381"/>
      <c r="W17" s="382"/>
      <c r="X17" s="376"/>
      <c r="Y17" s="376"/>
      <c r="Z17" s="383"/>
    </row>
    <row r="18" spans="1:26" s="375" customFormat="1" x14ac:dyDescent="0.25">
      <c r="A18" s="391">
        <f>'A) Base RI'!A19</f>
        <v>5413</v>
      </c>
      <c r="B18" s="391" t="str">
        <f>'A) Base RI'!B19</f>
        <v>Roche</v>
      </c>
      <c r="C18" s="404">
        <v>0</v>
      </c>
      <c r="D18" s="377">
        <f>'B) D RI'!AR19</f>
        <v>1499</v>
      </c>
      <c r="E18" s="378">
        <f>'B) D RI'!S19</f>
        <v>68</v>
      </c>
      <c r="F18" s="18">
        <f>'B) D RI'!R19</f>
        <v>2406106.62</v>
      </c>
      <c r="G18" s="18">
        <f>'B) D RI'!U19</f>
        <v>35383.920882352941</v>
      </c>
      <c r="H18" s="73">
        <f>'B) D RI'!T19</f>
        <v>2176437.17</v>
      </c>
      <c r="I18" s="18">
        <f t="shared" si="5"/>
        <v>64012.857941176466</v>
      </c>
      <c r="J18" s="18">
        <f t="shared" si="1"/>
        <v>128742.7522436305</v>
      </c>
      <c r="K18" s="18">
        <f t="shared" si="0"/>
        <v>64012.857941176466</v>
      </c>
      <c r="L18" s="18">
        <f t="shared" si="2"/>
        <v>64729.894302454035</v>
      </c>
      <c r="M18" s="18">
        <f>'D) Ecrêtage'!N17</f>
        <v>35383.920882352941</v>
      </c>
      <c r="N18" s="18">
        <f t="shared" si="3"/>
        <v>47763.679867541738</v>
      </c>
      <c r="O18" s="98">
        <f t="shared" si="4"/>
        <v>111776.5378087182</v>
      </c>
      <c r="P18" s="379"/>
      <c r="Q18" s="380"/>
      <c r="R18" s="379"/>
      <c r="T18" s="376"/>
      <c r="U18" s="381"/>
      <c r="V18" s="381"/>
      <c r="W18" s="382"/>
      <c r="X18" s="376"/>
      <c r="Y18" s="376"/>
      <c r="Z18" s="383"/>
    </row>
    <row r="19" spans="1:26" s="375" customFormat="1" x14ac:dyDescent="0.25">
      <c r="A19" s="391">
        <f>'A) Base RI'!A20</f>
        <v>5414</v>
      </c>
      <c r="B19" s="391" t="str">
        <f>'A) Base RI'!B20</f>
        <v>Villeneuve</v>
      </c>
      <c r="C19" s="404">
        <v>0</v>
      </c>
      <c r="D19" s="377">
        <f>'B) D RI'!AR20</f>
        <v>5188</v>
      </c>
      <c r="E19" s="378">
        <f>'B) D RI'!S20</f>
        <v>69</v>
      </c>
      <c r="F19" s="18">
        <f>'B) D RI'!R20</f>
        <v>12307385.82</v>
      </c>
      <c r="G19" s="18">
        <f>'B) D RI'!U20</f>
        <v>178367.91043478262</v>
      </c>
      <c r="H19" s="73">
        <f>'B) D RI'!T20</f>
        <v>11269369.17</v>
      </c>
      <c r="I19" s="18">
        <f t="shared" si="5"/>
        <v>326648.38173913042</v>
      </c>
      <c r="J19" s="18">
        <f t="shared" si="1"/>
        <v>445575.31597061711</v>
      </c>
      <c r="K19" s="18">
        <f t="shared" si="0"/>
        <v>326648.38173913042</v>
      </c>
      <c r="L19" s="18">
        <f t="shared" si="2"/>
        <v>118926.9342314867</v>
      </c>
      <c r="M19" s="18">
        <f>'D) Ecrêtage'!N18</f>
        <v>178367.91043478262</v>
      </c>
      <c r="N19" s="18">
        <f t="shared" si="3"/>
        <v>240773.42363995218</v>
      </c>
      <c r="O19" s="98">
        <f t="shared" si="4"/>
        <v>567421.80537908257</v>
      </c>
      <c r="P19" s="379"/>
      <c r="Q19" s="380"/>
      <c r="R19" s="379"/>
      <c r="T19" s="376"/>
      <c r="U19" s="381"/>
      <c r="V19" s="381"/>
      <c r="W19" s="382"/>
      <c r="X19" s="376"/>
      <c r="Y19" s="376"/>
      <c r="Z19" s="383"/>
    </row>
    <row r="20" spans="1:26" s="375" customFormat="1" x14ac:dyDescent="0.25">
      <c r="A20" s="391">
        <f>'A) Base RI'!A21</f>
        <v>5415</v>
      </c>
      <c r="B20" s="391" t="str">
        <f>'A) Base RI'!B21</f>
        <v>Yvorne</v>
      </c>
      <c r="C20" s="404">
        <v>0</v>
      </c>
      <c r="D20" s="377">
        <f>'B) D RI'!AR21</f>
        <v>1039</v>
      </c>
      <c r="E20" s="378">
        <f>'B) D RI'!S21</f>
        <v>68.5</v>
      </c>
      <c r="F20" s="18">
        <f>'B) D RI'!R21</f>
        <v>2745036.2566666668</v>
      </c>
      <c r="G20" s="18">
        <f>'B) D RI'!U21</f>
        <v>40073.521995133822</v>
      </c>
      <c r="H20" s="73">
        <f>'B) D RI'!T21</f>
        <v>2537503.4900000002</v>
      </c>
      <c r="I20" s="18">
        <f t="shared" si="5"/>
        <v>74087.69313868614</v>
      </c>
      <c r="J20" s="18">
        <f t="shared" si="1"/>
        <v>89235.303256258892</v>
      </c>
      <c r="K20" s="18">
        <f t="shared" si="0"/>
        <v>74087.69313868614</v>
      </c>
      <c r="L20" s="18">
        <f t="shared" si="2"/>
        <v>15147.610117572753</v>
      </c>
      <c r="M20" s="18">
        <f>'D) Ecrêtage'!N19</f>
        <v>40073.521995133822</v>
      </c>
      <c r="N20" s="18">
        <f t="shared" si="3"/>
        <v>54094.029943839974</v>
      </c>
      <c r="O20" s="98">
        <f t="shared" si="4"/>
        <v>128181.72308252612</v>
      </c>
      <c r="P20" s="379"/>
      <c r="Q20" s="380"/>
      <c r="R20" s="379"/>
      <c r="T20" s="376"/>
      <c r="U20" s="381"/>
      <c r="V20" s="381"/>
      <c r="W20" s="382"/>
      <c r="X20" s="376"/>
      <c r="Y20" s="376"/>
      <c r="Z20" s="383"/>
    </row>
    <row r="21" spans="1:26" s="375" customFormat="1" x14ac:dyDescent="0.25">
      <c r="A21" s="391">
        <f>'A) Base RI'!A22</f>
        <v>5421</v>
      </c>
      <c r="B21" s="391" t="str">
        <f>'A) Base RI'!B22</f>
        <v>Apples</v>
      </c>
      <c r="C21" s="404">
        <v>0</v>
      </c>
      <c r="D21" s="377">
        <f>'B) D RI'!AR22</f>
        <v>1341</v>
      </c>
      <c r="E21" s="378">
        <f>'B) D RI'!S22</f>
        <v>71</v>
      </c>
      <c r="F21" s="18">
        <f>'B) D RI'!R22</f>
        <v>3491413.25</v>
      </c>
      <c r="G21" s="18">
        <f>'B) D RI'!U22</f>
        <v>49174.834507042251</v>
      </c>
      <c r="H21" s="73">
        <f>'B) D RI'!T22</f>
        <v>3241633.65</v>
      </c>
      <c r="I21" s="18">
        <f t="shared" si="5"/>
        <v>91313.623943661965</v>
      </c>
      <c r="J21" s="18">
        <f t="shared" si="1"/>
        <v>115172.80237405504</v>
      </c>
      <c r="K21" s="18">
        <f t="shared" si="0"/>
        <v>91313.623943661965</v>
      </c>
      <c r="L21" s="18">
        <f t="shared" si="2"/>
        <v>23859.178430393076</v>
      </c>
      <c r="M21" s="18">
        <f>'D) Ecrêtage'!N20</f>
        <v>49174.834507042251</v>
      </c>
      <c r="N21" s="18">
        <f t="shared" si="3"/>
        <v>66379.615214014222</v>
      </c>
      <c r="O21" s="98">
        <f t="shared" si="4"/>
        <v>157693.23915767617</v>
      </c>
      <c r="P21" s="379"/>
      <c r="Q21" s="380"/>
      <c r="R21" s="379"/>
      <c r="T21" s="376"/>
      <c r="U21" s="381"/>
      <c r="V21" s="381"/>
      <c r="W21" s="382"/>
      <c r="X21" s="376"/>
      <c r="Y21" s="376"/>
      <c r="Z21" s="383"/>
    </row>
    <row r="22" spans="1:26" s="375" customFormat="1" x14ac:dyDescent="0.25">
      <c r="A22" s="391">
        <f>'A) Base RI'!A23</f>
        <v>5422</v>
      </c>
      <c r="B22" s="391" t="str">
        <f>'A) Base RI'!B23</f>
        <v>Aubonne</v>
      </c>
      <c r="C22" s="404">
        <v>0</v>
      </c>
      <c r="D22" s="377">
        <f>'B) D RI'!AR23</f>
        <v>3051</v>
      </c>
      <c r="E22" s="378">
        <f>'B) D RI'!S23</f>
        <v>68</v>
      </c>
      <c r="F22" s="18">
        <f>'B) D RI'!R23</f>
        <v>17454907.269999996</v>
      </c>
      <c r="G22" s="18">
        <f>'B) D RI'!U23</f>
        <v>256689.81279411758</v>
      </c>
      <c r="H22" s="73">
        <f>'B) D RI'!T23</f>
        <v>16543335.269999998</v>
      </c>
      <c r="I22" s="18">
        <f t="shared" si="5"/>
        <v>486568.68441176461</v>
      </c>
      <c r="J22" s="18">
        <f t="shared" si="1"/>
        <v>262037.44969667555</v>
      </c>
      <c r="K22" s="18">
        <f t="shared" si="0"/>
        <v>262037.44969667555</v>
      </c>
      <c r="L22" s="18">
        <f t="shared" si="2"/>
        <v>0</v>
      </c>
      <c r="M22" s="18">
        <f>'D) Ecrêtage'!N21</f>
        <v>220314.48888331067</v>
      </c>
      <c r="N22" s="18">
        <f t="shared" si="3"/>
        <v>297395.83558846632</v>
      </c>
      <c r="O22" s="98">
        <f t="shared" si="4"/>
        <v>559433.2852851419</v>
      </c>
      <c r="P22" s="379"/>
      <c r="Q22" s="380"/>
      <c r="R22" s="379"/>
      <c r="T22" s="376"/>
      <c r="U22" s="381"/>
      <c r="V22" s="381"/>
      <c r="W22" s="382"/>
      <c r="X22" s="376"/>
      <c r="Y22" s="376"/>
      <c r="Z22" s="383"/>
    </row>
    <row r="23" spans="1:26" s="375" customFormat="1" x14ac:dyDescent="0.25">
      <c r="A23" s="391">
        <f>'A) Base RI'!A24</f>
        <v>5423</v>
      </c>
      <c r="B23" s="391" t="str">
        <f>'A) Base RI'!B24</f>
        <v>Ballens</v>
      </c>
      <c r="C23" s="404">
        <v>0</v>
      </c>
      <c r="D23" s="377">
        <f>'B) D RI'!AR24</f>
        <v>507</v>
      </c>
      <c r="E23" s="378">
        <f>'B) D RI'!S24</f>
        <v>69</v>
      </c>
      <c r="F23" s="18">
        <f>'B) D RI'!R24</f>
        <v>1107872.1400000001</v>
      </c>
      <c r="G23" s="18">
        <f>'B) D RI'!U24</f>
        <v>16056.117971014495</v>
      </c>
      <c r="H23" s="73">
        <f>'B) D RI'!T24</f>
        <v>1039547.2400000001</v>
      </c>
      <c r="I23" s="18">
        <f t="shared" si="5"/>
        <v>30131.804057971018</v>
      </c>
      <c r="J23" s="18">
        <f t="shared" si="1"/>
        <v>43544.079644776961</v>
      </c>
      <c r="K23" s="18">
        <f t="shared" si="0"/>
        <v>30131.804057971018</v>
      </c>
      <c r="L23" s="18">
        <f t="shared" si="2"/>
        <v>13412.275586805943</v>
      </c>
      <c r="M23" s="18">
        <f>'D) Ecrêtage'!N22</f>
        <v>16056.117971014495</v>
      </c>
      <c r="N23" s="18">
        <f t="shared" si="3"/>
        <v>21673.665878715456</v>
      </c>
      <c r="O23" s="98">
        <f t="shared" si="4"/>
        <v>51805.469936686473</v>
      </c>
      <c r="P23" s="379"/>
      <c r="Q23" s="380"/>
      <c r="R23" s="379"/>
      <c r="T23" s="376"/>
      <c r="U23" s="381"/>
      <c r="V23" s="381"/>
      <c r="W23" s="382"/>
      <c r="X23" s="376"/>
      <c r="Y23" s="376"/>
      <c r="Z23" s="383"/>
    </row>
    <row r="24" spans="1:26" s="375" customFormat="1" x14ac:dyDescent="0.25">
      <c r="A24" s="391">
        <f>'A) Base RI'!A25</f>
        <v>5424</v>
      </c>
      <c r="B24" s="391" t="str">
        <f>'A) Base RI'!B25</f>
        <v>Berolle</v>
      </c>
      <c r="C24" s="404">
        <v>0</v>
      </c>
      <c r="D24" s="377">
        <f>'B) D RI'!AR25</f>
        <v>302</v>
      </c>
      <c r="E24" s="378">
        <f>'B) D RI'!S25</f>
        <v>77</v>
      </c>
      <c r="F24" s="18">
        <f>'B) D RI'!R25</f>
        <v>720567.7699999999</v>
      </c>
      <c r="G24" s="18">
        <f>'B) D RI'!U25</f>
        <v>9358.0229870129861</v>
      </c>
      <c r="H24" s="73">
        <f>'B) D RI'!T25</f>
        <v>678500.96999999986</v>
      </c>
      <c r="I24" s="18">
        <f t="shared" si="5"/>
        <v>17623.401818181814</v>
      </c>
      <c r="J24" s="18">
        <f t="shared" si="1"/>
        <v>25937.499117796138</v>
      </c>
      <c r="K24" s="18">
        <f t="shared" si="0"/>
        <v>17623.401818181814</v>
      </c>
      <c r="L24" s="18">
        <f t="shared" si="2"/>
        <v>8314.0972996143246</v>
      </c>
      <c r="M24" s="18">
        <f>'D) Ecrêtage'!N23</f>
        <v>9358.0229870129861</v>
      </c>
      <c r="N24" s="18">
        <f t="shared" si="3"/>
        <v>12632.110941885601</v>
      </c>
      <c r="O24" s="98">
        <f t="shared" si="4"/>
        <v>30255.512760067417</v>
      </c>
      <c r="P24" s="379"/>
      <c r="Q24" s="380"/>
      <c r="R24" s="379"/>
      <c r="T24" s="376"/>
      <c r="U24" s="381"/>
      <c r="V24" s="381"/>
      <c r="W24" s="382"/>
      <c r="X24" s="376"/>
      <c r="Y24" s="376"/>
      <c r="Z24" s="383"/>
    </row>
    <row r="25" spans="1:26" s="375" customFormat="1" x14ac:dyDescent="0.25">
      <c r="A25" s="391">
        <f>'A) Base RI'!A26</f>
        <v>5425</v>
      </c>
      <c r="B25" s="391" t="str">
        <f>'A) Base RI'!B26</f>
        <v>Bière</v>
      </c>
      <c r="C25" s="404">
        <v>0</v>
      </c>
      <c r="D25" s="377">
        <f>'B) D RI'!AR26</f>
        <v>1526</v>
      </c>
      <c r="E25" s="378">
        <f>'B) D RI'!S26</f>
        <v>68</v>
      </c>
      <c r="F25" s="18">
        <f>'B) D RI'!R26</f>
        <v>2524596.6999999997</v>
      </c>
      <c r="G25" s="18">
        <f>'B) D RI'!U26</f>
        <v>37126.422058823526</v>
      </c>
      <c r="H25" s="73">
        <f>'B) D RI'!T26</f>
        <v>2336474.4</v>
      </c>
      <c r="I25" s="18">
        <f t="shared" si="5"/>
        <v>68719.835294117642</v>
      </c>
      <c r="J25" s="18">
        <f t="shared" si="1"/>
        <v>131061.66772767187</v>
      </c>
      <c r="K25" s="18">
        <f t="shared" si="0"/>
        <v>68719.835294117642</v>
      </c>
      <c r="L25" s="18">
        <f t="shared" si="2"/>
        <v>62341.832433554227</v>
      </c>
      <c r="M25" s="18">
        <f>'D) Ecrêtage'!N24</f>
        <v>37126.422058823526</v>
      </c>
      <c r="N25" s="18">
        <f t="shared" si="3"/>
        <v>50115.829270048016</v>
      </c>
      <c r="O25" s="98">
        <f t="shared" si="4"/>
        <v>118835.66456416567</v>
      </c>
      <c r="P25" s="379"/>
      <c r="Q25" s="380"/>
      <c r="R25" s="379"/>
      <c r="T25" s="376"/>
      <c r="U25" s="381"/>
      <c r="V25" s="381"/>
      <c r="W25" s="382"/>
      <c r="X25" s="376"/>
      <c r="Y25" s="376"/>
      <c r="Z25" s="383"/>
    </row>
    <row r="26" spans="1:26" s="375" customFormat="1" x14ac:dyDescent="0.25">
      <c r="A26" s="391">
        <f>'A) Base RI'!A27</f>
        <v>5426</v>
      </c>
      <c r="B26" s="391" t="str">
        <f>'A) Base RI'!B27</f>
        <v>Bougy-Villars</v>
      </c>
      <c r="C26" s="404">
        <v>0</v>
      </c>
      <c r="D26" s="377">
        <f>'B) D RI'!AR27</f>
        <v>444</v>
      </c>
      <c r="E26" s="378">
        <f>'B) D RI'!S27</f>
        <v>62</v>
      </c>
      <c r="F26" s="18">
        <f>'B) D RI'!R27</f>
        <v>3272637.1199999996</v>
      </c>
      <c r="G26" s="18">
        <f>'B) D RI'!U27</f>
        <v>52784.469677419351</v>
      </c>
      <c r="H26" s="73">
        <f>'B) D RI'!T27</f>
        <v>3059601.4699999997</v>
      </c>
      <c r="I26" s="18">
        <f t="shared" si="5"/>
        <v>98696.821612903223</v>
      </c>
      <c r="J26" s="18">
        <f t="shared" si="1"/>
        <v>38133.276848680413</v>
      </c>
      <c r="K26" s="18">
        <f t="shared" si="0"/>
        <v>38133.276848680413</v>
      </c>
      <c r="L26" s="18">
        <f t="shared" si="2"/>
        <v>0</v>
      </c>
      <c r="M26" s="18">
        <f>'D) Ecrêtage'!N25</f>
        <v>39200.766193939591</v>
      </c>
      <c r="N26" s="18">
        <f t="shared" si="3"/>
        <v>52915.923401340573</v>
      </c>
      <c r="O26" s="98">
        <f t="shared" si="4"/>
        <v>91049.200250020978</v>
      </c>
      <c r="P26" s="379"/>
      <c r="Q26" s="380"/>
      <c r="R26" s="379"/>
      <c r="T26" s="376"/>
      <c r="U26" s="381"/>
      <c r="V26" s="381"/>
      <c r="W26" s="382"/>
      <c r="X26" s="376"/>
      <c r="Y26" s="376"/>
      <c r="Z26" s="383"/>
    </row>
    <row r="27" spans="1:26" s="375" customFormat="1" x14ac:dyDescent="0.25">
      <c r="A27" s="391">
        <f>'A) Base RI'!A28</f>
        <v>5427</v>
      </c>
      <c r="B27" s="391" t="str">
        <f>'A) Base RI'!B28</f>
        <v>Féchy</v>
      </c>
      <c r="C27" s="404">
        <v>0</v>
      </c>
      <c r="D27" s="377">
        <f>'B) D RI'!AR28</f>
        <v>857</v>
      </c>
      <c r="E27" s="378">
        <f>'B) D RI'!S28</f>
        <v>64</v>
      </c>
      <c r="F27" s="18">
        <f>'B) D RI'!R28</f>
        <v>4803813.3307692306</v>
      </c>
      <c r="G27" s="18">
        <f>'B) D RI'!U28</f>
        <v>75059.583293269228</v>
      </c>
      <c r="H27" s="73">
        <f>'B) D RI'!T28</f>
        <v>4493208.0999999996</v>
      </c>
      <c r="I27" s="18">
        <f t="shared" si="5"/>
        <v>140412.75312499999</v>
      </c>
      <c r="J27" s="18">
        <f t="shared" si="1"/>
        <v>73604.095178646661</v>
      </c>
      <c r="K27" s="18">
        <f t="shared" si="0"/>
        <v>73604.095178646661</v>
      </c>
      <c r="L27" s="18">
        <f t="shared" si="2"/>
        <v>0</v>
      </c>
      <c r="M27" s="18">
        <f>'D) Ecrêtage'!N26</f>
        <v>63481.570392372421</v>
      </c>
      <c r="N27" s="18">
        <f t="shared" si="3"/>
        <v>85691.843359911582</v>
      </c>
      <c r="O27" s="98">
        <f t="shared" si="4"/>
        <v>159295.93853855826</v>
      </c>
      <c r="P27" s="379"/>
      <c r="Q27" s="380"/>
      <c r="R27" s="379"/>
      <c r="T27" s="376"/>
      <c r="U27" s="381"/>
      <c r="V27" s="381"/>
      <c r="W27" s="382"/>
      <c r="X27" s="376"/>
      <c r="Y27" s="376"/>
      <c r="Z27" s="383"/>
    </row>
    <row r="28" spans="1:26" s="375" customFormat="1" x14ac:dyDescent="0.25">
      <c r="A28" s="391">
        <f>'A) Base RI'!A29</f>
        <v>5428</v>
      </c>
      <c r="B28" s="391" t="str">
        <f>'A) Base RI'!B29</f>
        <v>Gimel</v>
      </c>
      <c r="C28" s="404">
        <v>0</v>
      </c>
      <c r="D28" s="377">
        <f>'B) D RI'!AR29</f>
        <v>1923</v>
      </c>
      <c r="E28" s="378">
        <f>'B) D RI'!S29</f>
        <v>71.5</v>
      </c>
      <c r="F28" s="18">
        <f>'B) D RI'!R29</f>
        <v>3878509.163333334</v>
      </c>
      <c r="G28" s="18">
        <f>'B) D RI'!U29</f>
        <v>54244.883403263411</v>
      </c>
      <c r="H28" s="73">
        <f>'B) D RI'!T29</f>
        <v>3584747.0800000005</v>
      </c>
      <c r="I28" s="18">
        <f t="shared" si="5"/>
        <v>100272.64559440561</v>
      </c>
      <c r="J28" s="18">
        <f t="shared" si="1"/>
        <v>165158.31391894692</v>
      </c>
      <c r="K28" s="18">
        <f t="shared" si="0"/>
        <v>100272.64559440561</v>
      </c>
      <c r="L28" s="18">
        <f t="shared" si="2"/>
        <v>64885.668324541315</v>
      </c>
      <c r="M28" s="18">
        <f>'D) Ecrêtage'!N27</f>
        <v>54244.883403263411</v>
      </c>
      <c r="N28" s="18">
        <f t="shared" si="3"/>
        <v>73223.520195518562</v>
      </c>
      <c r="O28" s="98">
        <f t="shared" si="4"/>
        <v>173496.16578992415</v>
      </c>
      <c r="P28" s="379"/>
      <c r="Q28" s="380"/>
      <c r="R28" s="379"/>
      <c r="T28" s="376"/>
      <c r="U28" s="381"/>
      <c r="V28" s="381"/>
      <c r="W28" s="382"/>
      <c r="X28" s="376"/>
      <c r="Y28" s="376"/>
      <c r="Z28" s="383"/>
    </row>
    <row r="29" spans="1:26" s="375" customFormat="1" x14ac:dyDescent="0.25">
      <c r="A29" s="391">
        <f>'A) Base RI'!A30</f>
        <v>5429</v>
      </c>
      <c r="B29" s="391" t="str">
        <f>'A) Base RI'!B30</f>
        <v>Longirod</v>
      </c>
      <c r="C29" s="404">
        <v>0</v>
      </c>
      <c r="D29" s="377">
        <f>'B) D RI'!AR30</f>
        <v>441</v>
      </c>
      <c r="E29" s="378">
        <f>'B) D RI'!S30</f>
        <v>81</v>
      </c>
      <c r="F29" s="18">
        <f>'B) D RI'!R30</f>
        <v>1184361.4599999997</v>
      </c>
      <c r="G29" s="18">
        <f>'B) D RI'!U30</f>
        <v>14621.746419753083</v>
      </c>
      <c r="H29" s="73">
        <f>'B) D RI'!T30</f>
        <v>1105334.6599999997</v>
      </c>
      <c r="I29" s="18">
        <f t="shared" si="5"/>
        <v>27292.213827160485</v>
      </c>
      <c r="J29" s="18">
        <f t="shared" si="1"/>
        <v>37875.619572675816</v>
      </c>
      <c r="K29" s="18">
        <f t="shared" si="0"/>
        <v>27292.213827160485</v>
      </c>
      <c r="L29" s="18">
        <f t="shared" si="2"/>
        <v>10583.405745515331</v>
      </c>
      <c r="M29" s="18">
        <f>'D) Ecrêtage'!N28</f>
        <v>14621.746419753083</v>
      </c>
      <c r="N29" s="18">
        <f t="shared" si="3"/>
        <v>19737.451296579424</v>
      </c>
      <c r="O29" s="98">
        <f t="shared" si="4"/>
        <v>47029.665123739906</v>
      </c>
      <c r="P29" s="379"/>
      <c r="Q29" s="380"/>
      <c r="R29" s="379"/>
      <c r="T29" s="376"/>
      <c r="U29" s="381"/>
      <c r="V29" s="381"/>
      <c r="W29" s="382"/>
      <c r="X29" s="376"/>
      <c r="Y29" s="376"/>
      <c r="Z29" s="383"/>
    </row>
    <row r="30" spans="1:26" s="375" customFormat="1" x14ac:dyDescent="0.25">
      <c r="A30" s="391">
        <f>'A) Base RI'!A31</f>
        <v>5430</v>
      </c>
      <c r="B30" s="391" t="str">
        <f>'A) Base RI'!B31</f>
        <v>Marchissy</v>
      </c>
      <c r="C30" s="404">
        <v>0</v>
      </c>
      <c r="D30" s="377">
        <f>'B) D RI'!AR31</f>
        <v>444</v>
      </c>
      <c r="E30" s="378">
        <f>'B) D RI'!S31</f>
        <v>81</v>
      </c>
      <c r="F30" s="18">
        <f>'B) D RI'!R31</f>
        <v>1058619.6399999997</v>
      </c>
      <c r="G30" s="18">
        <f>'B) D RI'!U31</f>
        <v>13069.378271604934</v>
      </c>
      <c r="H30" s="73">
        <f>'B) D RI'!T31</f>
        <v>982677.38999999978</v>
      </c>
      <c r="I30" s="18">
        <f t="shared" si="5"/>
        <v>24263.639259259253</v>
      </c>
      <c r="J30" s="18">
        <f t="shared" si="1"/>
        <v>38133.276848680413</v>
      </c>
      <c r="K30" s="18">
        <f t="shared" si="0"/>
        <v>24263.639259259253</v>
      </c>
      <c r="L30" s="18">
        <f t="shared" si="2"/>
        <v>13869.63758942116</v>
      </c>
      <c r="M30" s="18">
        <f>'D) Ecrêtage'!N29</f>
        <v>13069.378271604934</v>
      </c>
      <c r="N30" s="18">
        <f t="shared" si="3"/>
        <v>17641.95669293599</v>
      </c>
      <c r="O30" s="98">
        <f t="shared" si="4"/>
        <v>41905.595952195246</v>
      </c>
      <c r="P30" s="379"/>
      <c r="Q30" s="380"/>
      <c r="R30" s="379"/>
      <c r="T30" s="376"/>
      <c r="U30" s="381"/>
      <c r="V30" s="381"/>
      <c r="W30" s="382"/>
      <c r="X30" s="376"/>
      <c r="Y30" s="376"/>
      <c r="Z30" s="383"/>
    </row>
    <row r="31" spans="1:26" s="375" customFormat="1" x14ac:dyDescent="0.25">
      <c r="A31" s="391">
        <f>'A) Base RI'!A32</f>
        <v>5431</v>
      </c>
      <c r="B31" s="391" t="str">
        <f>'A) Base RI'!B32</f>
        <v>Mollens</v>
      </c>
      <c r="C31" s="404">
        <v>0</v>
      </c>
      <c r="D31" s="377">
        <f>'B) D RI'!AR32</f>
        <v>288</v>
      </c>
      <c r="E31" s="378">
        <f>'B) D RI'!S32</f>
        <v>74</v>
      </c>
      <c r="F31" s="18">
        <f>'B) D RI'!R32</f>
        <v>593799.21</v>
      </c>
      <c r="G31" s="18">
        <f>'B) D RI'!U32</f>
        <v>8024.3136486486483</v>
      </c>
      <c r="H31" s="73">
        <f>'B) D RI'!T32</f>
        <v>548079.21</v>
      </c>
      <c r="I31" s="18">
        <f t="shared" si="5"/>
        <v>14812.95162162162</v>
      </c>
      <c r="J31" s="18">
        <f t="shared" si="1"/>
        <v>24735.098496441351</v>
      </c>
      <c r="K31" s="18">
        <f t="shared" si="0"/>
        <v>14812.95162162162</v>
      </c>
      <c r="L31" s="18">
        <f t="shared" si="2"/>
        <v>9922.1468748197312</v>
      </c>
      <c r="M31" s="18">
        <f>'D) Ecrêtage'!N30</f>
        <v>8024.3136486486483</v>
      </c>
      <c r="N31" s="18">
        <f t="shared" si="3"/>
        <v>10831.777222912255</v>
      </c>
      <c r="O31" s="98">
        <f t="shared" si="4"/>
        <v>25644.728844533875</v>
      </c>
      <c r="P31" s="379"/>
      <c r="Q31" s="380"/>
      <c r="R31" s="379"/>
      <c r="T31" s="376"/>
      <c r="U31" s="381"/>
      <c r="V31" s="381"/>
      <c r="W31" s="382"/>
      <c r="X31" s="376"/>
      <c r="Y31" s="376"/>
      <c r="Z31" s="383"/>
    </row>
    <row r="32" spans="1:26" s="375" customFormat="1" x14ac:dyDescent="0.25">
      <c r="A32" s="391">
        <f>'A) Base RI'!A33</f>
        <v>5432</v>
      </c>
      <c r="B32" s="391" t="str">
        <f>'A) Base RI'!B33</f>
        <v>Montherod</v>
      </c>
      <c r="C32" s="404">
        <v>0</v>
      </c>
      <c r="D32" s="377">
        <f>'B) D RI'!AR33</f>
        <v>521</v>
      </c>
      <c r="E32" s="378">
        <f>'B) D RI'!S33</f>
        <v>74</v>
      </c>
      <c r="F32" s="18">
        <f>'B) D RI'!R33</f>
        <v>1317157.8600000001</v>
      </c>
      <c r="G32" s="18">
        <f>'B) D RI'!U33</f>
        <v>17799.430540540543</v>
      </c>
      <c r="H32" s="73">
        <f>'B) D RI'!T33</f>
        <v>1229844.4600000002</v>
      </c>
      <c r="I32" s="18">
        <f t="shared" si="5"/>
        <v>33239.039459459462</v>
      </c>
      <c r="J32" s="18">
        <f t="shared" si="1"/>
        <v>44746.480266131744</v>
      </c>
      <c r="K32" s="18">
        <f t="shared" si="0"/>
        <v>33239.039459459462</v>
      </c>
      <c r="L32" s="18">
        <f t="shared" si="2"/>
        <v>11507.440806672283</v>
      </c>
      <c r="M32" s="18">
        <f>'D) Ecrêtage'!N31</f>
        <v>17799.430540540543</v>
      </c>
      <c r="N32" s="18">
        <f t="shared" si="3"/>
        <v>24026.910556057916</v>
      </c>
      <c r="O32" s="98">
        <f t="shared" si="4"/>
        <v>57265.950015517374</v>
      </c>
      <c r="P32" s="379"/>
      <c r="Q32" s="380"/>
      <c r="R32" s="379"/>
      <c r="T32" s="376"/>
      <c r="U32" s="381"/>
      <c r="V32" s="381"/>
      <c r="W32" s="382"/>
      <c r="X32" s="376"/>
      <c r="Y32" s="376"/>
      <c r="Z32" s="383"/>
    </row>
    <row r="33" spans="1:26" s="375" customFormat="1" x14ac:dyDescent="0.25">
      <c r="A33" s="391">
        <f>'A) Base RI'!A34</f>
        <v>5434</v>
      </c>
      <c r="B33" s="391" t="str">
        <f>'A) Base RI'!B34</f>
        <v>Saint-George</v>
      </c>
      <c r="C33" s="404">
        <v>0</v>
      </c>
      <c r="D33" s="377">
        <f>'B) D RI'!AR34</f>
        <v>951</v>
      </c>
      <c r="E33" s="378">
        <f>'B) D RI'!S34</f>
        <v>68.5</v>
      </c>
      <c r="F33" s="18">
        <f>'B) D RI'!R34</f>
        <v>2406754.3200000003</v>
      </c>
      <c r="G33" s="18">
        <f>'B) D RI'!U34</f>
        <v>35135.099562043797</v>
      </c>
      <c r="H33" s="73">
        <f>'B) D RI'!T34</f>
        <v>2214273.7200000002</v>
      </c>
      <c r="I33" s="18">
        <f t="shared" si="5"/>
        <v>64650.327591240879</v>
      </c>
      <c r="J33" s="18">
        <f t="shared" si="1"/>
        <v>81677.356493457381</v>
      </c>
      <c r="K33" s="18">
        <f t="shared" si="0"/>
        <v>64650.327591240879</v>
      </c>
      <c r="L33" s="18">
        <f t="shared" si="2"/>
        <v>17027.028902216502</v>
      </c>
      <c r="M33" s="18">
        <f>'D) Ecrêtage'!N32</f>
        <v>35135.099562043797</v>
      </c>
      <c r="N33" s="18">
        <f t="shared" si="3"/>
        <v>47427.803526223324</v>
      </c>
      <c r="O33" s="98">
        <f t="shared" si="4"/>
        <v>112078.1311174642</v>
      </c>
      <c r="P33" s="379"/>
      <c r="Q33" s="380"/>
      <c r="R33" s="379"/>
      <c r="T33" s="376"/>
      <c r="U33" s="381"/>
      <c r="V33" s="381"/>
      <c r="W33" s="382"/>
      <c r="X33" s="376"/>
      <c r="Y33" s="376"/>
      <c r="Z33" s="383"/>
    </row>
    <row r="34" spans="1:26" s="375" customFormat="1" x14ac:dyDescent="0.25">
      <c r="A34" s="391">
        <f>'A) Base RI'!A35</f>
        <v>5435</v>
      </c>
      <c r="B34" s="391" t="str">
        <f>'A) Base RI'!B35</f>
        <v>Saint-Livres</v>
      </c>
      <c r="C34" s="404">
        <v>0</v>
      </c>
      <c r="D34" s="377">
        <f>'B) D RI'!AR35</f>
        <v>699</v>
      </c>
      <c r="E34" s="378">
        <f>'B) D RI'!S35</f>
        <v>69</v>
      </c>
      <c r="F34" s="18">
        <f>'B) D RI'!R35</f>
        <v>1487553.68</v>
      </c>
      <c r="G34" s="18">
        <f>'B) D RI'!U35</f>
        <v>21558.748985507245</v>
      </c>
      <c r="H34" s="73">
        <f>'B) D RI'!T35</f>
        <v>1377279.98</v>
      </c>
      <c r="I34" s="18">
        <f t="shared" si="5"/>
        <v>39921.158840579708</v>
      </c>
      <c r="J34" s="18">
        <f t="shared" si="1"/>
        <v>60034.145309071195</v>
      </c>
      <c r="K34" s="18">
        <f t="shared" si="0"/>
        <v>39921.158840579708</v>
      </c>
      <c r="L34" s="18">
        <f t="shared" si="2"/>
        <v>20112.986468491486</v>
      </c>
      <c r="M34" s="18">
        <f>'D) Ecrêtage'!N33</f>
        <v>21558.748985507245</v>
      </c>
      <c r="N34" s="18">
        <f t="shared" si="3"/>
        <v>29101.500320220708</v>
      </c>
      <c r="O34" s="98">
        <f t="shared" si="4"/>
        <v>69022.659160800424</v>
      </c>
      <c r="P34" s="379"/>
      <c r="Q34" s="380"/>
      <c r="R34" s="379"/>
      <c r="T34" s="376"/>
      <c r="U34" s="381"/>
      <c r="V34" s="381"/>
      <c r="W34" s="382"/>
      <c r="X34" s="376"/>
      <c r="Y34" s="376"/>
      <c r="Z34" s="383"/>
    </row>
    <row r="35" spans="1:26" s="375" customFormat="1" x14ac:dyDescent="0.25">
      <c r="A35" s="391">
        <f>'A) Base RI'!A36</f>
        <v>5436</v>
      </c>
      <c r="B35" s="391" t="str">
        <f>'A) Base RI'!B36</f>
        <v>Saint-Oyens</v>
      </c>
      <c r="C35" s="404">
        <v>0</v>
      </c>
      <c r="D35" s="377">
        <f>'B) D RI'!AR36</f>
        <v>326</v>
      </c>
      <c r="E35" s="378">
        <f>'B) D RI'!S36</f>
        <v>81</v>
      </c>
      <c r="F35" s="18">
        <f>'B) D RI'!R36</f>
        <v>920927.72500000021</v>
      </c>
      <c r="G35" s="18">
        <f>'B) D RI'!U36</f>
        <v>11369.478086419756</v>
      </c>
      <c r="H35" s="73">
        <f>'B) D RI'!T36</f>
        <v>864527.85000000021</v>
      </c>
      <c r="I35" s="18">
        <f t="shared" si="5"/>
        <v>21346.366666666672</v>
      </c>
      <c r="J35" s="18">
        <f t="shared" si="1"/>
        <v>27998.757325832918</v>
      </c>
      <c r="K35" s="18">
        <f t="shared" si="0"/>
        <v>21346.366666666672</v>
      </c>
      <c r="L35" s="18">
        <f t="shared" si="2"/>
        <v>6652.3906591662453</v>
      </c>
      <c r="M35" s="18">
        <f>'D) Ecrêtage'!N34</f>
        <v>11369.478086419756</v>
      </c>
      <c r="N35" s="18">
        <f t="shared" si="3"/>
        <v>15347.31307438626</v>
      </c>
      <c r="O35" s="98">
        <f t="shared" si="4"/>
        <v>36693.679741052933</v>
      </c>
      <c r="P35" s="379"/>
      <c r="Q35" s="380"/>
      <c r="R35" s="379"/>
      <c r="T35" s="376"/>
      <c r="U35" s="381"/>
      <c r="V35" s="381"/>
      <c r="W35" s="382"/>
      <c r="X35" s="376"/>
      <c r="Y35" s="376"/>
      <c r="Z35" s="383"/>
    </row>
    <row r="36" spans="1:26" s="375" customFormat="1" x14ac:dyDescent="0.25">
      <c r="A36" s="391">
        <f>'A) Base RI'!A37</f>
        <v>5437</v>
      </c>
      <c r="B36" s="391" t="str">
        <f>'A) Base RI'!B37</f>
        <v>Saubraz</v>
      </c>
      <c r="C36" s="404">
        <v>0</v>
      </c>
      <c r="D36" s="377">
        <f>'B) D RI'!AR37</f>
        <v>385</v>
      </c>
      <c r="E36" s="378">
        <f>'B) D RI'!S37</f>
        <v>83</v>
      </c>
      <c r="F36" s="18">
        <f>'B) D RI'!R37</f>
        <v>681329.38</v>
      </c>
      <c r="G36" s="18">
        <f>'B) D RI'!U37</f>
        <v>8208.7877108433731</v>
      </c>
      <c r="H36" s="73">
        <f>'B) D RI'!T37</f>
        <v>626894.07999999996</v>
      </c>
      <c r="I36" s="18">
        <f t="shared" si="5"/>
        <v>15105.881445783132</v>
      </c>
      <c r="J36" s="18">
        <f t="shared" si="1"/>
        <v>33066.017087256667</v>
      </c>
      <c r="K36" s="18">
        <f t="shared" si="0"/>
        <v>15105.881445783132</v>
      </c>
      <c r="L36" s="18">
        <f t="shared" si="2"/>
        <v>17960.135641473535</v>
      </c>
      <c r="M36" s="18">
        <f>'D) Ecrêtage'!N35</f>
        <v>8208.7877108433731</v>
      </c>
      <c r="N36" s="18">
        <f t="shared" si="3"/>
        <v>11080.793155313579</v>
      </c>
      <c r="O36" s="98">
        <f t="shared" si="4"/>
        <v>26186.674601096711</v>
      </c>
      <c r="P36" s="379"/>
      <c r="Q36" s="380"/>
      <c r="R36" s="379"/>
      <c r="T36" s="376"/>
      <c r="U36" s="381"/>
      <c r="V36" s="381"/>
      <c r="W36" s="382"/>
      <c r="X36" s="376"/>
      <c r="Y36" s="376"/>
      <c r="Z36" s="383"/>
    </row>
    <row r="37" spans="1:26" s="375" customFormat="1" x14ac:dyDescent="0.25">
      <c r="A37" s="391">
        <f>'A) Base RI'!A38</f>
        <v>5451</v>
      </c>
      <c r="B37" s="391" t="str">
        <f>'A) Base RI'!B38</f>
        <v>Avenches</v>
      </c>
      <c r="C37" s="404">
        <v>0</v>
      </c>
      <c r="D37" s="377">
        <f>'B) D RI'!AR38</f>
        <v>4030</v>
      </c>
      <c r="E37" s="378">
        <f>'B) D RI'!S38</f>
        <v>68</v>
      </c>
      <c r="F37" s="18">
        <f>'B) D RI'!R38</f>
        <v>7055032.5899999999</v>
      </c>
      <c r="G37" s="18">
        <f>'B) D RI'!U38</f>
        <v>103750.47926470588</v>
      </c>
      <c r="H37" s="73">
        <f>'B) D RI'!T38</f>
        <v>6241172.79</v>
      </c>
      <c r="I37" s="18">
        <f t="shared" si="5"/>
        <v>183563.9055882353</v>
      </c>
      <c r="J37" s="18">
        <f t="shared" si="1"/>
        <v>346119.60743284249</v>
      </c>
      <c r="K37" s="18">
        <f t="shared" si="0"/>
        <v>183563.9055882353</v>
      </c>
      <c r="L37" s="18">
        <f t="shared" si="2"/>
        <v>162555.70184460719</v>
      </c>
      <c r="M37" s="18">
        <f>'D) Ecrêtage'!N36</f>
        <v>103750.47926470588</v>
      </c>
      <c r="N37" s="18">
        <f t="shared" si="3"/>
        <v>140049.62011360654</v>
      </c>
      <c r="O37" s="98">
        <f t="shared" si="4"/>
        <v>323613.52570184181</v>
      </c>
      <c r="P37" s="379"/>
      <c r="Q37" s="380"/>
      <c r="R37" s="379"/>
      <c r="T37" s="376"/>
      <c r="U37" s="381"/>
      <c r="V37" s="381"/>
      <c r="W37" s="382"/>
      <c r="X37" s="376"/>
      <c r="Y37" s="376"/>
      <c r="Z37" s="383"/>
    </row>
    <row r="38" spans="1:26" s="375" customFormat="1" x14ac:dyDescent="0.25">
      <c r="A38" s="391">
        <f>'A) Base RI'!A39</f>
        <v>5456</v>
      </c>
      <c r="B38" s="391" t="str">
        <f>'A) Base RI'!B39</f>
        <v>Cudrefin</v>
      </c>
      <c r="C38" s="404">
        <v>0</v>
      </c>
      <c r="D38" s="377">
        <f>'B) D RI'!AR39</f>
        <v>1464</v>
      </c>
      <c r="E38" s="378">
        <f>'B) D RI'!S39</f>
        <v>59</v>
      </c>
      <c r="F38" s="18">
        <f>'B) D RI'!R39</f>
        <v>2670363.8366666664</v>
      </c>
      <c r="G38" s="18">
        <f>'B) D RI'!U39</f>
        <v>45260.404011299433</v>
      </c>
      <c r="H38" s="73">
        <f>'B) D RI'!T39</f>
        <v>2422557.3699999996</v>
      </c>
      <c r="I38" s="18">
        <f t="shared" si="5"/>
        <v>82120.588813559312</v>
      </c>
      <c r="J38" s="18">
        <f t="shared" si="1"/>
        <v>125736.75069024353</v>
      </c>
      <c r="K38" s="18">
        <f t="shared" si="0"/>
        <v>82120.588813559312</v>
      </c>
      <c r="L38" s="18">
        <f t="shared" si="2"/>
        <v>43616.161876684215</v>
      </c>
      <c r="M38" s="18">
        <f>'D) Ecrêtage'!N37</f>
        <v>45260.404011299433</v>
      </c>
      <c r="N38" s="18">
        <f t="shared" si="3"/>
        <v>61095.644404672705</v>
      </c>
      <c r="O38" s="98">
        <f t="shared" si="4"/>
        <v>143216.23321823202</v>
      </c>
      <c r="P38" s="379"/>
      <c r="Q38" s="380"/>
      <c r="R38" s="379"/>
      <c r="T38" s="376"/>
      <c r="U38" s="381"/>
      <c r="V38" s="381"/>
      <c r="W38" s="382"/>
      <c r="X38" s="376"/>
      <c r="Y38" s="376"/>
      <c r="Z38" s="383"/>
    </row>
    <row r="39" spans="1:26" s="375" customFormat="1" x14ac:dyDescent="0.25">
      <c r="A39" s="391">
        <f>'A) Base RI'!A40</f>
        <v>5458</v>
      </c>
      <c r="B39" s="391" t="str">
        <f>'A) Base RI'!B40</f>
        <v>Faoug</v>
      </c>
      <c r="C39" s="404">
        <v>0</v>
      </c>
      <c r="D39" s="377">
        <f>'B) D RI'!AR40</f>
        <v>825</v>
      </c>
      <c r="E39" s="378">
        <f>'B) D RI'!S40</f>
        <v>61</v>
      </c>
      <c r="F39" s="18">
        <f>'B) D RI'!R40</f>
        <v>1630641.79</v>
      </c>
      <c r="G39" s="18">
        <f>'B) D RI'!U40</f>
        <v>26731.83262295082</v>
      </c>
      <c r="H39" s="73">
        <f>'B) D RI'!T40</f>
        <v>1477966.69</v>
      </c>
      <c r="I39" s="18">
        <f t="shared" si="5"/>
        <v>48457.924262295077</v>
      </c>
      <c r="J39" s="18">
        <f t="shared" si="1"/>
        <v>70855.750901264284</v>
      </c>
      <c r="K39" s="18">
        <f t="shared" si="0"/>
        <v>48457.924262295077</v>
      </c>
      <c r="L39" s="18">
        <f t="shared" si="2"/>
        <v>22397.826638969207</v>
      </c>
      <c r="M39" s="18">
        <f>'D) Ecrêtage'!N38</f>
        <v>26731.83262295082</v>
      </c>
      <c r="N39" s="18">
        <f t="shared" si="3"/>
        <v>36084.488768798845</v>
      </c>
      <c r="O39" s="98">
        <f t="shared" si="4"/>
        <v>84542.413031093922</v>
      </c>
      <c r="P39" s="379"/>
      <c r="Q39" s="380"/>
      <c r="R39" s="379"/>
      <c r="T39" s="376"/>
      <c r="U39" s="381"/>
      <c r="V39" s="381"/>
      <c r="W39" s="382"/>
      <c r="X39" s="376"/>
      <c r="Y39" s="376"/>
      <c r="Z39" s="383"/>
    </row>
    <row r="40" spans="1:26" s="375" customFormat="1" x14ac:dyDescent="0.25">
      <c r="A40" s="391">
        <f>'A) Base RI'!A41</f>
        <v>5464</v>
      </c>
      <c r="B40" s="391" t="str">
        <f>'A) Base RI'!B41</f>
        <v>Vully-les-Lacs</v>
      </c>
      <c r="C40" s="404">
        <v>0</v>
      </c>
      <c r="D40" s="377">
        <f>'B) D RI'!AR41</f>
        <v>2798</v>
      </c>
      <c r="E40" s="378">
        <f>'B) D RI'!S41</f>
        <v>67</v>
      </c>
      <c r="F40" s="18">
        <f>'B) D RI'!R41</f>
        <v>6139204.0400000019</v>
      </c>
      <c r="G40" s="18">
        <f>'B) D RI'!U41</f>
        <v>91629.911044776149</v>
      </c>
      <c r="H40" s="73">
        <f>'B) D RI'!T41</f>
        <v>5615556.8400000017</v>
      </c>
      <c r="I40" s="18">
        <f t="shared" si="5"/>
        <v>167628.56238805974</v>
      </c>
      <c r="J40" s="18">
        <f t="shared" si="1"/>
        <v>240308.35275362118</v>
      </c>
      <c r="K40" s="18">
        <f t="shared" si="0"/>
        <v>167628.56238805974</v>
      </c>
      <c r="L40" s="18">
        <f t="shared" si="2"/>
        <v>72679.790365561435</v>
      </c>
      <c r="M40" s="18">
        <f>'D) Ecrêtage'!N39</f>
        <v>91629.911044776149</v>
      </c>
      <c r="N40" s="18">
        <f t="shared" si="3"/>
        <v>123688.4332854348</v>
      </c>
      <c r="O40" s="98">
        <f t="shared" si="4"/>
        <v>291316.99567349453</v>
      </c>
      <c r="P40" s="379"/>
      <c r="Q40" s="380"/>
      <c r="R40" s="379"/>
      <c r="T40" s="376"/>
      <c r="U40" s="381"/>
      <c r="V40" s="381"/>
      <c r="W40" s="382"/>
      <c r="X40" s="376"/>
      <c r="Y40" s="376"/>
      <c r="Z40" s="383"/>
    </row>
    <row r="41" spans="1:26" s="375" customFormat="1" x14ac:dyDescent="0.25">
      <c r="A41" s="391">
        <f>'A) Base RI'!A42</f>
        <v>5471</v>
      </c>
      <c r="B41" s="391" t="str">
        <f>'A) Base RI'!B42</f>
        <v>Bettens</v>
      </c>
      <c r="C41" s="404">
        <v>0</v>
      </c>
      <c r="D41" s="377">
        <f>'B) D RI'!AR42</f>
        <v>531</v>
      </c>
      <c r="E41" s="378">
        <f>'B) D RI'!S42</f>
        <v>70</v>
      </c>
      <c r="F41" s="18">
        <f>'B) D RI'!R42</f>
        <v>1306779.5655555553</v>
      </c>
      <c r="G41" s="18">
        <f>'B) D RI'!U42</f>
        <v>18668.279507936502</v>
      </c>
      <c r="H41" s="73">
        <f>'B) D RI'!T42</f>
        <v>1230149.5099999998</v>
      </c>
      <c r="I41" s="18">
        <f t="shared" si="5"/>
        <v>35147.128857142852</v>
      </c>
      <c r="J41" s="18">
        <f t="shared" si="1"/>
        <v>45605.33785281374</v>
      </c>
      <c r="K41" s="18">
        <f t="shared" si="0"/>
        <v>35147.128857142852</v>
      </c>
      <c r="L41" s="18">
        <f t="shared" si="2"/>
        <v>10458.208995670888</v>
      </c>
      <c r="M41" s="18">
        <f>'D) Ecrêtage'!N40</f>
        <v>18668.279507936502</v>
      </c>
      <c r="N41" s="18">
        <f t="shared" si="3"/>
        <v>25199.743382299108</v>
      </c>
      <c r="O41" s="98">
        <f t="shared" si="4"/>
        <v>60346.87223944196</v>
      </c>
      <c r="P41" s="379"/>
      <c r="Q41" s="380"/>
      <c r="R41" s="379"/>
      <c r="T41" s="376"/>
      <c r="U41" s="381"/>
      <c r="V41" s="381"/>
      <c r="W41" s="382"/>
      <c r="X41" s="376"/>
      <c r="Y41" s="376"/>
      <c r="Z41" s="383"/>
    </row>
    <row r="42" spans="1:26" s="375" customFormat="1" x14ac:dyDescent="0.25">
      <c r="A42" s="391">
        <f>'A) Base RI'!A43</f>
        <v>5472</v>
      </c>
      <c r="B42" s="391" t="str">
        <f>'A) Base RI'!B43</f>
        <v>Bournens</v>
      </c>
      <c r="C42" s="404">
        <v>0</v>
      </c>
      <c r="D42" s="377">
        <f>'B) D RI'!AR43</f>
        <v>362</v>
      </c>
      <c r="E42" s="378">
        <f>'B) D RI'!S43</f>
        <v>80</v>
      </c>
      <c r="F42" s="18">
        <f>'B) D RI'!R43</f>
        <v>1026773.54</v>
      </c>
      <c r="G42" s="18">
        <f>'B) D RI'!U43</f>
        <v>12834.669250000001</v>
      </c>
      <c r="H42" s="73">
        <f>'B) D RI'!T43</f>
        <v>960637.89</v>
      </c>
      <c r="I42" s="18">
        <f t="shared" si="5"/>
        <v>24015.947250000001</v>
      </c>
      <c r="J42" s="18">
        <f t="shared" si="1"/>
        <v>31090.644637888086</v>
      </c>
      <c r="K42" s="18">
        <f t="shared" si="0"/>
        <v>24015.947250000001</v>
      </c>
      <c r="L42" s="18">
        <f t="shared" si="2"/>
        <v>7074.6973878880854</v>
      </c>
      <c r="M42" s="18">
        <f>'D) Ecrêtage'!N41</f>
        <v>12834.669250000001</v>
      </c>
      <c r="N42" s="18">
        <f t="shared" si="3"/>
        <v>17325.130114919506</v>
      </c>
      <c r="O42" s="98">
        <f t="shared" si="4"/>
        <v>41341.077364919503</v>
      </c>
      <c r="P42" s="379"/>
      <c r="Q42" s="380"/>
      <c r="R42" s="379"/>
      <c r="T42" s="376"/>
      <c r="U42" s="381"/>
      <c r="V42" s="381"/>
      <c r="W42" s="382"/>
      <c r="X42" s="376"/>
      <c r="Y42" s="376"/>
      <c r="Z42" s="383"/>
    </row>
    <row r="43" spans="1:26" s="375" customFormat="1" x14ac:dyDescent="0.25">
      <c r="A43" s="391">
        <f>'A) Base RI'!A44</f>
        <v>5473</v>
      </c>
      <c r="B43" s="391" t="str">
        <f>'A) Base RI'!B44</f>
        <v>Boussens</v>
      </c>
      <c r="C43" s="404">
        <v>0</v>
      </c>
      <c r="D43" s="377">
        <f>'B) D RI'!AR44</f>
        <v>944</v>
      </c>
      <c r="E43" s="378">
        <f>'B) D RI'!S44</f>
        <v>69</v>
      </c>
      <c r="F43" s="18">
        <f>'B) D RI'!R44</f>
        <v>2270411.0300000003</v>
      </c>
      <c r="G43" s="18">
        <f>'B) D RI'!U44</f>
        <v>32904.507681159426</v>
      </c>
      <c r="H43" s="73">
        <f>'B) D RI'!T44</f>
        <v>2104101.33</v>
      </c>
      <c r="I43" s="18">
        <f t="shared" si="5"/>
        <v>60988.444347826087</v>
      </c>
      <c r="J43" s="18">
        <f t="shared" si="1"/>
        <v>81076.156182779974</v>
      </c>
      <c r="K43" s="18">
        <f t="shared" si="0"/>
        <v>60988.444347826087</v>
      </c>
      <c r="L43" s="18">
        <f t="shared" si="2"/>
        <v>20087.711834953887</v>
      </c>
      <c r="M43" s="18">
        <f>'D) Ecrêtage'!N42</f>
        <v>32904.507681159426</v>
      </c>
      <c r="N43" s="18">
        <f t="shared" si="3"/>
        <v>44416.795309583482</v>
      </c>
      <c r="O43" s="98">
        <f t="shared" si="4"/>
        <v>105405.23965740958</v>
      </c>
      <c r="P43" s="379"/>
      <c r="Q43" s="380"/>
      <c r="R43" s="379"/>
      <c r="T43" s="376"/>
      <c r="U43" s="381"/>
      <c r="V43" s="381"/>
      <c r="W43" s="382"/>
      <c r="X43" s="376"/>
      <c r="Y43" s="376"/>
      <c r="Z43" s="383"/>
    </row>
    <row r="44" spans="1:26" s="375" customFormat="1" x14ac:dyDescent="0.25">
      <c r="A44" s="391">
        <f>'A) Base RI'!A45</f>
        <v>5474</v>
      </c>
      <c r="B44" s="391" t="str">
        <f>'A) Base RI'!B45</f>
        <v>La Chaux (Cossonay)</v>
      </c>
      <c r="C44" s="404">
        <v>0</v>
      </c>
      <c r="D44" s="377">
        <f>'B) D RI'!AR45</f>
        <v>422</v>
      </c>
      <c r="E44" s="378">
        <f>'B) D RI'!S45</f>
        <v>77</v>
      </c>
      <c r="F44" s="18">
        <f>'B) D RI'!R45</f>
        <v>996562.56333333335</v>
      </c>
      <c r="G44" s="18">
        <f>'B) D RI'!U45</f>
        <v>12942.370952380952</v>
      </c>
      <c r="H44" s="73">
        <f>'B) D RI'!T45</f>
        <v>936748.48</v>
      </c>
      <c r="I44" s="18">
        <f t="shared" si="5"/>
        <v>24331.129350649349</v>
      </c>
      <c r="J44" s="18">
        <f t="shared" si="1"/>
        <v>36243.790157980031</v>
      </c>
      <c r="K44" s="18">
        <f t="shared" si="0"/>
        <v>24331.129350649349</v>
      </c>
      <c r="L44" s="18">
        <f t="shared" si="2"/>
        <v>11912.660807330682</v>
      </c>
      <c r="M44" s="18">
        <f>'D) Ecrêtage'!N43</f>
        <v>12942.370952380952</v>
      </c>
      <c r="N44" s="18">
        <f t="shared" si="3"/>
        <v>17470.513371083143</v>
      </c>
      <c r="O44" s="98">
        <f t="shared" si="4"/>
        <v>41801.642721732496</v>
      </c>
      <c r="P44" s="379"/>
      <c r="Q44" s="380"/>
      <c r="R44" s="379"/>
      <c r="T44" s="376"/>
      <c r="U44" s="381"/>
      <c r="V44" s="381"/>
      <c r="W44" s="382"/>
      <c r="X44" s="376"/>
      <c r="Y44" s="376"/>
      <c r="Z44" s="383"/>
    </row>
    <row r="45" spans="1:26" s="375" customFormat="1" x14ac:dyDescent="0.25">
      <c r="A45" s="391">
        <f>'A) Base RI'!A46</f>
        <v>5475</v>
      </c>
      <c r="B45" s="391" t="str">
        <f>'A) Base RI'!B46</f>
        <v>Chavannes-le-Veyron</v>
      </c>
      <c r="C45" s="404">
        <v>0</v>
      </c>
      <c r="D45" s="377">
        <f>'B) D RI'!AR46</f>
        <v>127</v>
      </c>
      <c r="E45" s="378">
        <f>'B) D RI'!S46</f>
        <v>77</v>
      </c>
      <c r="F45" s="18">
        <f>'B) D RI'!R46</f>
        <v>221525.23</v>
      </c>
      <c r="G45" s="18">
        <f>'B) D RI'!U46</f>
        <v>2876.9510389610391</v>
      </c>
      <c r="H45" s="73">
        <f>'B) D RI'!T46</f>
        <v>201747.63</v>
      </c>
      <c r="I45" s="18">
        <f t="shared" si="5"/>
        <v>5240.1981818181821</v>
      </c>
      <c r="J45" s="18">
        <f t="shared" si="1"/>
        <v>10907.49135086129</v>
      </c>
      <c r="K45" s="18">
        <f t="shared" si="0"/>
        <v>5240.1981818181821</v>
      </c>
      <c r="L45" s="18">
        <f t="shared" si="2"/>
        <v>5667.2931690431078</v>
      </c>
      <c r="M45" s="18">
        <f>'D) Ecrêtage'!N44</f>
        <v>2876.9510389610391</v>
      </c>
      <c r="N45" s="18">
        <f t="shared" si="3"/>
        <v>3883.5088083203123</v>
      </c>
      <c r="O45" s="98">
        <f t="shared" si="4"/>
        <v>9123.7069901384948</v>
      </c>
      <c r="P45" s="379"/>
      <c r="Q45" s="380"/>
      <c r="R45" s="379"/>
      <c r="T45" s="376"/>
      <c r="U45" s="381"/>
      <c r="V45" s="381"/>
      <c r="W45" s="382"/>
      <c r="X45" s="376"/>
      <c r="Y45" s="376"/>
      <c r="Z45" s="383"/>
    </row>
    <row r="46" spans="1:26" s="375" customFormat="1" x14ac:dyDescent="0.25">
      <c r="A46" s="391">
        <f>'A) Base RI'!A47</f>
        <v>5476</v>
      </c>
      <c r="B46" s="391" t="str">
        <f>'A) Base RI'!B47</f>
        <v>Chevilly</v>
      </c>
      <c r="C46" s="404">
        <v>0</v>
      </c>
      <c r="D46" s="377">
        <f>'B) D RI'!AR47</f>
        <v>249</v>
      </c>
      <c r="E46" s="378">
        <f>'B) D RI'!S47</f>
        <v>74</v>
      </c>
      <c r="F46" s="18">
        <f>'B) D RI'!R47</f>
        <v>539213.21000000008</v>
      </c>
      <c r="G46" s="18">
        <f>'B) D RI'!U47</f>
        <v>7286.6650000000009</v>
      </c>
      <c r="H46" s="73">
        <f>'B) D RI'!T47</f>
        <v>492873.51000000007</v>
      </c>
      <c r="I46" s="18">
        <f t="shared" si="5"/>
        <v>13320.905675675678</v>
      </c>
      <c r="J46" s="18">
        <f t="shared" si="1"/>
        <v>21385.553908381582</v>
      </c>
      <c r="K46" s="18">
        <f t="shared" si="0"/>
        <v>13320.905675675678</v>
      </c>
      <c r="L46" s="18">
        <f t="shared" si="2"/>
        <v>8064.6482327059039</v>
      </c>
      <c r="M46" s="18">
        <f>'D) Ecrêtage'!N45</f>
        <v>7286.6650000000009</v>
      </c>
      <c r="N46" s="18">
        <f t="shared" si="3"/>
        <v>9836.0477212009137</v>
      </c>
      <c r="O46" s="98">
        <f t="shared" si="4"/>
        <v>23156.95339687659</v>
      </c>
      <c r="P46" s="379"/>
      <c r="Q46" s="380"/>
      <c r="R46" s="379"/>
      <c r="T46" s="376"/>
      <c r="U46" s="381"/>
      <c r="V46" s="381"/>
      <c r="W46" s="382"/>
      <c r="X46" s="376"/>
      <c r="Y46" s="376"/>
      <c r="Z46" s="383"/>
    </row>
    <row r="47" spans="1:26" s="375" customFormat="1" x14ac:dyDescent="0.25">
      <c r="A47" s="391">
        <f>'A) Base RI'!A48</f>
        <v>5477</v>
      </c>
      <c r="B47" s="391" t="str">
        <f>'A) Base RI'!B48</f>
        <v>Cossonay</v>
      </c>
      <c r="C47" s="404">
        <v>0</v>
      </c>
      <c r="D47" s="377">
        <f>'B) D RI'!AR48</f>
        <v>3608</v>
      </c>
      <c r="E47" s="378">
        <f>'B) D RI'!S48</f>
        <v>67.3</v>
      </c>
      <c r="F47" s="18">
        <f>'B) D RI'!R48</f>
        <v>8462166.0099999998</v>
      </c>
      <c r="G47" s="18">
        <f>'B) D RI'!U48</f>
        <v>125737.979346211</v>
      </c>
      <c r="H47" s="73">
        <f>'B) D RI'!T48</f>
        <v>7936933.9099999992</v>
      </c>
      <c r="I47" s="18">
        <f t="shared" si="5"/>
        <v>235867.27815750369</v>
      </c>
      <c r="J47" s="18">
        <f t="shared" si="1"/>
        <v>309875.81727486243</v>
      </c>
      <c r="K47" s="18">
        <f t="shared" si="0"/>
        <v>235867.27815750369</v>
      </c>
      <c r="L47" s="18">
        <f t="shared" si="2"/>
        <v>74008.539117358741</v>
      </c>
      <c r="M47" s="18">
        <f>'D) Ecrêtage'!N46</f>
        <v>125737.979346211</v>
      </c>
      <c r="N47" s="18">
        <f t="shared" si="3"/>
        <v>169729.87851324386</v>
      </c>
      <c r="O47" s="98">
        <f t="shared" si="4"/>
        <v>405597.15667074756</v>
      </c>
      <c r="P47" s="379"/>
      <c r="Q47" s="380"/>
      <c r="R47" s="379"/>
      <c r="T47" s="376"/>
      <c r="U47" s="381"/>
      <c r="V47" s="381"/>
      <c r="W47" s="382"/>
      <c r="X47" s="376"/>
      <c r="Y47" s="376"/>
      <c r="Z47" s="383"/>
    </row>
    <row r="48" spans="1:26" s="375" customFormat="1" x14ac:dyDescent="0.25">
      <c r="A48" s="391">
        <f>'A) Base RI'!A49</f>
        <v>5478</v>
      </c>
      <c r="B48" s="391" t="str">
        <f>'A) Base RI'!B49</f>
        <v>Cottens</v>
      </c>
      <c r="C48" s="404">
        <v>0</v>
      </c>
      <c r="D48" s="377">
        <f>'B) D RI'!AR49</f>
        <v>472</v>
      </c>
      <c r="E48" s="378">
        <f>'B) D RI'!S49</f>
        <v>72</v>
      </c>
      <c r="F48" s="18">
        <f>'B) D RI'!R49</f>
        <v>1124164.77</v>
      </c>
      <c r="G48" s="18">
        <f>'B) D RI'!U49</f>
        <v>15613.399583333334</v>
      </c>
      <c r="H48" s="73">
        <f>'B) D RI'!T49</f>
        <v>1052294.47</v>
      </c>
      <c r="I48" s="18">
        <f t="shared" si="5"/>
        <v>29230.401944444442</v>
      </c>
      <c r="J48" s="18">
        <f t="shared" si="1"/>
        <v>40538.078091389987</v>
      </c>
      <c r="K48" s="18">
        <f t="shared" si="0"/>
        <v>29230.401944444442</v>
      </c>
      <c r="L48" s="18">
        <f t="shared" si="2"/>
        <v>11307.676146945545</v>
      </c>
      <c r="M48" s="18">
        <f>'D) Ecrêtage'!N47</f>
        <v>15613.399583333334</v>
      </c>
      <c r="N48" s="18">
        <f t="shared" si="3"/>
        <v>21076.053776569272</v>
      </c>
      <c r="O48" s="98">
        <f t="shared" si="4"/>
        <v>50306.455721013714</v>
      </c>
      <c r="P48" s="379"/>
      <c r="Q48" s="380"/>
      <c r="R48" s="379"/>
      <c r="T48" s="376"/>
      <c r="U48" s="381"/>
      <c r="V48" s="381"/>
      <c r="W48" s="382"/>
      <c r="X48" s="376"/>
      <c r="Y48" s="376"/>
      <c r="Z48" s="383"/>
    </row>
    <row r="49" spans="1:26" s="375" customFormat="1" x14ac:dyDescent="0.25">
      <c r="A49" s="391">
        <f>'A) Base RI'!A50</f>
        <v>5479</v>
      </c>
      <c r="B49" s="391" t="str">
        <f>'A) Base RI'!B50</f>
        <v>Cuarnens</v>
      </c>
      <c r="C49" s="404">
        <v>0</v>
      </c>
      <c r="D49" s="377">
        <f>'B) D RI'!AR50</f>
        <v>435</v>
      </c>
      <c r="E49" s="378">
        <f>'B) D RI'!S50</f>
        <v>77</v>
      </c>
      <c r="F49" s="18">
        <f>'B) D RI'!R50</f>
        <v>960920.98</v>
      </c>
      <c r="G49" s="18">
        <f>'B) D RI'!U50</f>
        <v>12479.493246753247</v>
      </c>
      <c r="H49" s="73">
        <f>'B) D RI'!T50</f>
        <v>895858.17999999993</v>
      </c>
      <c r="I49" s="18">
        <f t="shared" si="5"/>
        <v>23269.043636363636</v>
      </c>
      <c r="J49" s="18">
        <f t="shared" si="1"/>
        <v>37360.305020666623</v>
      </c>
      <c r="K49" s="18">
        <f t="shared" si="0"/>
        <v>23269.043636363636</v>
      </c>
      <c r="L49" s="18">
        <f t="shared" si="2"/>
        <v>14091.261384302987</v>
      </c>
      <c r="M49" s="18">
        <f>'D) Ecrêtage'!N48</f>
        <v>12479.493246753247</v>
      </c>
      <c r="N49" s="18">
        <f t="shared" si="3"/>
        <v>16845.688818062783</v>
      </c>
      <c r="O49" s="98">
        <f t="shared" si="4"/>
        <v>40114.732454426419</v>
      </c>
      <c r="P49" s="379"/>
      <c r="Q49" s="380"/>
      <c r="R49" s="379"/>
      <c r="T49" s="376"/>
      <c r="U49" s="381"/>
      <c r="V49" s="381"/>
      <c r="W49" s="382"/>
      <c r="X49" s="376"/>
      <c r="Y49" s="376"/>
      <c r="Z49" s="383"/>
    </row>
    <row r="50" spans="1:26" s="375" customFormat="1" x14ac:dyDescent="0.25">
      <c r="A50" s="391">
        <f>'A) Base RI'!A51</f>
        <v>5480</v>
      </c>
      <c r="B50" s="391" t="str">
        <f>'A) Base RI'!B51</f>
        <v>Daillens</v>
      </c>
      <c r="C50" s="404">
        <v>0</v>
      </c>
      <c r="D50" s="377">
        <f>'B) D RI'!AR51</f>
        <v>940</v>
      </c>
      <c r="E50" s="378">
        <f>'B) D RI'!S51</f>
        <v>71</v>
      </c>
      <c r="F50" s="18">
        <f>'B) D RI'!R51</f>
        <v>2731754.4600000004</v>
      </c>
      <c r="G50" s="18">
        <f>'B) D RI'!U51</f>
        <v>38475.41492957747</v>
      </c>
      <c r="H50" s="73">
        <f>'B) D RI'!T51</f>
        <v>2413019.3600000003</v>
      </c>
      <c r="I50" s="18">
        <f t="shared" si="5"/>
        <v>67972.376338028174</v>
      </c>
      <c r="J50" s="18">
        <f t="shared" si="1"/>
        <v>80732.613148107179</v>
      </c>
      <c r="K50" s="18">
        <f t="shared" si="0"/>
        <v>67972.376338028174</v>
      </c>
      <c r="L50" s="18">
        <f t="shared" si="2"/>
        <v>12760.236810079004</v>
      </c>
      <c r="M50" s="18">
        <f>'D) Ecrêtage'!N49</f>
        <v>38475.41492957747</v>
      </c>
      <c r="N50" s="18">
        <f t="shared" si="3"/>
        <v>51936.793765094189</v>
      </c>
      <c r="O50" s="98">
        <f t="shared" si="4"/>
        <v>119909.17010312236</v>
      </c>
      <c r="P50" s="379"/>
      <c r="Q50" s="380"/>
      <c r="R50" s="379"/>
      <c r="T50" s="376"/>
      <c r="U50" s="381"/>
      <c r="V50" s="381"/>
      <c r="W50" s="382"/>
      <c r="X50" s="376"/>
      <c r="Y50" s="376"/>
      <c r="Z50" s="383"/>
    </row>
    <row r="51" spans="1:26" s="375" customFormat="1" x14ac:dyDescent="0.25">
      <c r="A51" s="391">
        <f>'A) Base RI'!A52</f>
        <v>5481</v>
      </c>
      <c r="B51" s="391" t="str">
        <f>'A) Base RI'!B52</f>
        <v>Dizy</v>
      </c>
      <c r="C51" s="404">
        <v>0</v>
      </c>
      <c r="D51" s="377">
        <f>'B) D RI'!AR52</f>
        <v>224</v>
      </c>
      <c r="E51" s="378">
        <f>'B) D RI'!S52</f>
        <v>74</v>
      </c>
      <c r="F51" s="18">
        <f>'B) D RI'!R52</f>
        <v>597194.88000000012</v>
      </c>
      <c r="G51" s="18">
        <f>'B) D RI'!U52</f>
        <v>8070.2010810810825</v>
      </c>
      <c r="H51" s="73">
        <f>'B) D RI'!T52</f>
        <v>563853.53000000014</v>
      </c>
      <c r="I51" s="18">
        <f t="shared" si="5"/>
        <v>15239.284594594599</v>
      </c>
      <c r="J51" s="18">
        <f t="shared" si="1"/>
        <v>19238.409941676604</v>
      </c>
      <c r="K51" s="18">
        <f t="shared" si="0"/>
        <v>15239.284594594599</v>
      </c>
      <c r="L51" s="18">
        <f t="shared" si="2"/>
        <v>3999.1253470820047</v>
      </c>
      <c r="M51" s="18">
        <f>'D) Ecrêtage'!N50</f>
        <v>8070.2010810810825</v>
      </c>
      <c r="N51" s="18">
        <f t="shared" si="3"/>
        <v>10893.719273934059</v>
      </c>
      <c r="O51" s="98">
        <f t="shared" si="4"/>
        <v>26133.003868528656</v>
      </c>
      <c r="P51" s="379"/>
      <c r="Q51" s="380"/>
      <c r="R51" s="379"/>
      <c r="T51" s="376"/>
      <c r="U51" s="381"/>
      <c r="V51" s="381"/>
      <c r="W51" s="382"/>
      <c r="X51" s="376"/>
      <c r="Y51" s="376"/>
      <c r="Z51" s="383"/>
    </row>
    <row r="52" spans="1:26" s="375" customFormat="1" x14ac:dyDescent="0.25">
      <c r="A52" s="391">
        <f>'A) Base RI'!A53</f>
        <v>5482</v>
      </c>
      <c r="B52" s="391" t="str">
        <f>'A) Base RI'!B53</f>
        <v>Eclépens</v>
      </c>
      <c r="C52" s="404">
        <v>0</v>
      </c>
      <c r="D52" s="377">
        <f>'B) D RI'!AR53</f>
        <v>1010</v>
      </c>
      <c r="E52" s="378">
        <f>'B) D RI'!S53</f>
        <v>46</v>
      </c>
      <c r="F52" s="18">
        <f>'B) D RI'!R53</f>
        <v>3150963.28</v>
      </c>
      <c r="G52" s="18">
        <f>'B) D RI'!U53</f>
        <v>68499.201739130425</v>
      </c>
      <c r="H52" s="73">
        <f>'B) D RI'!T53</f>
        <v>2754277.6799999997</v>
      </c>
      <c r="I52" s="18">
        <f t="shared" si="5"/>
        <v>119751.20347826085</v>
      </c>
      <c r="J52" s="18">
        <f t="shared" si="1"/>
        <v>86744.616254881126</v>
      </c>
      <c r="K52" s="18">
        <f t="shared" si="0"/>
        <v>86744.616254881126</v>
      </c>
      <c r="L52" s="18">
        <f t="shared" si="2"/>
        <v>0</v>
      </c>
      <c r="M52" s="18">
        <f>'D) Ecrêtage'!N51</f>
        <v>63915.275354987818</v>
      </c>
      <c r="N52" s="18">
        <f t="shared" si="3"/>
        <v>86277.288513381194</v>
      </c>
      <c r="O52" s="98">
        <f t="shared" si="4"/>
        <v>173021.90476826232</v>
      </c>
      <c r="P52" s="379"/>
      <c r="Q52" s="380"/>
      <c r="R52" s="379"/>
      <c r="T52" s="376"/>
      <c r="U52" s="381"/>
      <c r="V52" s="381"/>
      <c r="W52" s="382"/>
      <c r="X52" s="376"/>
      <c r="Y52" s="376"/>
      <c r="Z52" s="383"/>
    </row>
    <row r="53" spans="1:26" s="375" customFormat="1" x14ac:dyDescent="0.25">
      <c r="A53" s="391">
        <f>'A) Base RI'!A54</f>
        <v>5483</v>
      </c>
      <c r="B53" s="391" t="str">
        <f>'A) Base RI'!B54</f>
        <v>Ferreyres</v>
      </c>
      <c r="C53" s="404">
        <v>0</v>
      </c>
      <c r="D53" s="377">
        <f>'B) D RI'!AR54</f>
        <v>302</v>
      </c>
      <c r="E53" s="378">
        <f>'B) D RI'!S54</f>
        <v>76</v>
      </c>
      <c r="F53" s="18">
        <f>'B) D RI'!R54</f>
        <v>763333.15999999992</v>
      </c>
      <c r="G53" s="18">
        <f>'B) D RI'!U54</f>
        <v>10043.857368421051</v>
      </c>
      <c r="H53" s="73">
        <f>'B) D RI'!T54</f>
        <v>715643.15999999992</v>
      </c>
      <c r="I53" s="18">
        <f t="shared" si="5"/>
        <v>18832.714736842103</v>
      </c>
      <c r="J53" s="18">
        <f t="shared" si="1"/>
        <v>25937.499117796138</v>
      </c>
      <c r="K53" s="18">
        <f t="shared" si="0"/>
        <v>18832.714736842103</v>
      </c>
      <c r="L53" s="18">
        <f t="shared" si="2"/>
        <v>7104.7843809540354</v>
      </c>
      <c r="M53" s="18">
        <f>'D) Ecrêtage'!N52</f>
        <v>10043.857368421051</v>
      </c>
      <c r="N53" s="18">
        <f t="shared" si="3"/>
        <v>13557.897938319504</v>
      </c>
      <c r="O53" s="98">
        <f t="shared" si="4"/>
        <v>32390.612675161607</v>
      </c>
      <c r="P53" s="379"/>
      <c r="Q53" s="380"/>
      <c r="R53" s="379"/>
      <c r="T53" s="376"/>
      <c r="U53" s="381"/>
      <c r="V53" s="381"/>
      <c r="W53" s="382"/>
      <c r="X53" s="376"/>
      <c r="Y53" s="376"/>
      <c r="Z53" s="383"/>
    </row>
    <row r="54" spans="1:26" s="375" customFormat="1" x14ac:dyDescent="0.25">
      <c r="A54" s="391">
        <f>'A) Base RI'!A55</f>
        <v>5484</v>
      </c>
      <c r="B54" s="391" t="str">
        <f>'A) Base RI'!B55</f>
        <v>Gollion</v>
      </c>
      <c r="C54" s="404">
        <v>0</v>
      </c>
      <c r="D54" s="377">
        <f>'B) D RI'!AR55</f>
        <v>813</v>
      </c>
      <c r="E54" s="378">
        <f>'B) D RI'!S55</f>
        <v>74</v>
      </c>
      <c r="F54" s="18">
        <f>'B) D RI'!R55</f>
        <v>1809360.99</v>
      </c>
      <c r="G54" s="18">
        <f>'B) D RI'!U55</f>
        <v>24450.824189189188</v>
      </c>
      <c r="H54" s="73">
        <f>'B) D RI'!T55</f>
        <v>1681789.79</v>
      </c>
      <c r="I54" s="18">
        <f t="shared" si="5"/>
        <v>45453.778108108112</v>
      </c>
      <c r="J54" s="18">
        <f t="shared" si="1"/>
        <v>69825.121797245898</v>
      </c>
      <c r="K54" s="18">
        <f t="shared" si="0"/>
        <v>45453.778108108112</v>
      </c>
      <c r="L54" s="18">
        <f t="shared" si="2"/>
        <v>24371.343689137786</v>
      </c>
      <c r="M54" s="18">
        <f>'D) Ecrêtage'!N53</f>
        <v>24450.824189189188</v>
      </c>
      <c r="N54" s="18">
        <f t="shared" si="3"/>
        <v>33005.424779039313</v>
      </c>
      <c r="O54" s="98">
        <f t="shared" si="4"/>
        <v>78459.202887147432</v>
      </c>
      <c r="P54" s="379"/>
      <c r="Q54" s="380"/>
      <c r="R54" s="379"/>
      <c r="T54" s="376"/>
      <c r="U54" s="381"/>
      <c r="V54" s="381"/>
      <c r="W54" s="382"/>
      <c r="X54" s="376"/>
      <c r="Y54" s="376"/>
      <c r="Z54" s="383"/>
    </row>
    <row r="55" spans="1:26" s="375" customFormat="1" x14ac:dyDescent="0.25">
      <c r="A55" s="391">
        <f>'A) Base RI'!A56</f>
        <v>5485</v>
      </c>
      <c r="B55" s="391" t="str">
        <f>'A) Base RI'!B56</f>
        <v>Grancy</v>
      </c>
      <c r="C55" s="404">
        <v>0</v>
      </c>
      <c r="D55" s="377">
        <f>'B) D RI'!AR56</f>
        <v>388</v>
      </c>
      <c r="E55" s="378">
        <f>'B) D RI'!S56</f>
        <v>70</v>
      </c>
      <c r="F55" s="18">
        <f>'B) D RI'!R56</f>
        <v>1260839.8</v>
      </c>
      <c r="G55" s="18">
        <f>'B) D RI'!U56</f>
        <v>18011.997142857144</v>
      </c>
      <c r="H55" s="73">
        <f>'B) D RI'!T56</f>
        <v>1194324.1500000001</v>
      </c>
      <c r="I55" s="18">
        <f t="shared" si="5"/>
        <v>34123.547142857147</v>
      </c>
      <c r="J55" s="18">
        <f t="shared" si="1"/>
        <v>33323.674363261263</v>
      </c>
      <c r="K55" s="18">
        <f t="shared" si="0"/>
        <v>33323.674363261263</v>
      </c>
      <c r="L55" s="18">
        <f t="shared" si="2"/>
        <v>0</v>
      </c>
      <c r="M55" s="18">
        <f>'D) Ecrêtage'!N54</f>
        <v>18011.997142857144</v>
      </c>
      <c r="N55" s="18">
        <f t="shared" si="3"/>
        <v>24313.847754943774</v>
      </c>
      <c r="O55" s="98">
        <f t="shared" si="4"/>
        <v>57637.522118205037</v>
      </c>
      <c r="P55" s="379"/>
      <c r="Q55" s="380"/>
      <c r="R55" s="379"/>
      <c r="T55" s="376"/>
      <c r="U55" s="381"/>
      <c r="V55" s="381"/>
      <c r="W55" s="382"/>
      <c r="X55" s="376"/>
      <c r="Y55" s="376"/>
      <c r="Z55" s="383"/>
    </row>
    <row r="56" spans="1:26" s="375" customFormat="1" x14ac:dyDescent="0.25">
      <c r="A56" s="391">
        <f>'A) Base RI'!A57</f>
        <v>5486</v>
      </c>
      <c r="B56" s="391" t="str">
        <f>'A) Base RI'!B57</f>
        <v>L'Isle</v>
      </c>
      <c r="C56" s="404">
        <v>0</v>
      </c>
      <c r="D56" s="377">
        <f>'B) D RI'!AR57</f>
        <v>1004</v>
      </c>
      <c r="E56" s="378">
        <f>'B) D RI'!S57</f>
        <v>72</v>
      </c>
      <c r="F56" s="18">
        <f>'B) D RI'!R57</f>
        <v>1917200.89</v>
      </c>
      <c r="G56" s="18">
        <f>'B) D RI'!U57</f>
        <v>26627.790138888886</v>
      </c>
      <c r="H56" s="73">
        <f>'B) D RI'!T57</f>
        <v>1747105.8399999999</v>
      </c>
      <c r="I56" s="18">
        <f t="shared" si="5"/>
        <v>48530.717777777776</v>
      </c>
      <c r="J56" s="18">
        <f t="shared" si="1"/>
        <v>86229.301702871933</v>
      </c>
      <c r="K56" s="18">
        <f t="shared" si="0"/>
        <v>48530.717777777776</v>
      </c>
      <c r="L56" s="18">
        <f t="shared" si="2"/>
        <v>37698.583925094157</v>
      </c>
      <c r="M56" s="18">
        <f>'D) Ecrêtage'!N55</f>
        <v>26627.790138888886</v>
      </c>
      <c r="N56" s="18">
        <f t="shared" si="3"/>
        <v>35944.044980280305</v>
      </c>
      <c r="O56" s="98">
        <f t="shared" si="4"/>
        <v>84474.762758058088</v>
      </c>
      <c r="P56" s="379"/>
      <c r="Q56" s="380"/>
      <c r="R56" s="379"/>
      <c r="T56" s="376"/>
      <c r="U56" s="381"/>
      <c r="V56" s="381"/>
      <c r="W56" s="382"/>
      <c r="X56" s="376"/>
      <c r="Y56" s="376"/>
      <c r="Z56" s="383"/>
    </row>
    <row r="57" spans="1:26" s="375" customFormat="1" x14ac:dyDescent="0.25">
      <c r="A57" s="391">
        <f>'A) Base RI'!A58</f>
        <v>5487</v>
      </c>
      <c r="B57" s="391" t="str">
        <f>'A) Base RI'!B58</f>
        <v>Lussery-Villars</v>
      </c>
      <c r="C57" s="404">
        <v>0</v>
      </c>
      <c r="D57" s="377">
        <f>'B) D RI'!AR58</f>
        <v>404</v>
      </c>
      <c r="E57" s="378">
        <f>'B) D RI'!S58</f>
        <v>65</v>
      </c>
      <c r="F57" s="18">
        <f>'B) D RI'!R58</f>
        <v>920501.66</v>
      </c>
      <c r="G57" s="18">
        <f>'B) D RI'!U58</f>
        <v>14161.564</v>
      </c>
      <c r="H57" s="73">
        <f>'B) D RI'!T58</f>
        <v>860488.16</v>
      </c>
      <c r="I57" s="18">
        <f t="shared" si="5"/>
        <v>26476.558769230771</v>
      </c>
      <c r="J57" s="18">
        <f t="shared" si="1"/>
        <v>34697.846501952452</v>
      </c>
      <c r="K57" s="18">
        <f t="shared" si="0"/>
        <v>26476.558769230771</v>
      </c>
      <c r="L57" s="18">
        <f t="shared" si="2"/>
        <v>8221.2877327216811</v>
      </c>
      <c r="M57" s="18">
        <f>'D) Ecrêtage'!N56</f>
        <v>14161.564</v>
      </c>
      <c r="N57" s="18">
        <f t="shared" si="3"/>
        <v>19116.26502808087</v>
      </c>
      <c r="O57" s="98">
        <f t="shared" si="4"/>
        <v>45592.823797311641</v>
      </c>
      <c r="P57" s="379"/>
      <c r="Q57" s="380"/>
      <c r="R57" s="379"/>
      <c r="T57" s="376"/>
      <c r="U57" s="381"/>
      <c r="V57" s="381"/>
      <c r="W57" s="382"/>
      <c r="X57" s="376"/>
      <c r="Y57" s="376"/>
      <c r="Z57" s="383"/>
    </row>
    <row r="58" spans="1:26" s="375" customFormat="1" x14ac:dyDescent="0.25">
      <c r="A58" s="391">
        <f>'A) Base RI'!A59</f>
        <v>5488</v>
      </c>
      <c r="B58" s="391" t="str">
        <f>'A) Base RI'!B59</f>
        <v>Mauraz</v>
      </c>
      <c r="C58" s="404">
        <v>0</v>
      </c>
      <c r="D58" s="377">
        <f>'B) D RI'!AR59</f>
        <v>49</v>
      </c>
      <c r="E58" s="378">
        <f>'B) D RI'!S59</f>
        <v>74</v>
      </c>
      <c r="F58" s="18">
        <f>'B) D RI'!R59</f>
        <v>121981.78000000001</v>
      </c>
      <c r="G58" s="18">
        <f>'B) D RI'!U59</f>
        <v>1648.4024324324325</v>
      </c>
      <c r="H58" s="73">
        <f>'B) D RI'!T59</f>
        <v>113507.78000000001</v>
      </c>
      <c r="I58" s="18">
        <f t="shared" si="5"/>
        <v>3067.777837837838</v>
      </c>
      <c r="J58" s="18">
        <f t="shared" si="1"/>
        <v>4208.4021747417573</v>
      </c>
      <c r="K58" s="18">
        <f t="shared" si="0"/>
        <v>3067.777837837838</v>
      </c>
      <c r="L58" s="18">
        <f t="shared" si="2"/>
        <v>1140.6243369039194</v>
      </c>
      <c r="M58" s="18">
        <f>'D) Ecrêtage'!N57</f>
        <v>1648.4024324324325</v>
      </c>
      <c r="N58" s="18">
        <f t="shared" si="3"/>
        <v>2225.1283665640003</v>
      </c>
      <c r="O58" s="98">
        <f t="shared" si="4"/>
        <v>5292.9062044018383</v>
      </c>
      <c r="P58" s="379"/>
      <c r="Q58" s="380"/>
      <c r="R58" s="379"/>
      <c r="T58" s="376"/>
      <c r="U58" s="381"/>
      <c r="V58" s="381"/>
      <c r="W58" s="382"/>
      <c r="X58" s="376"/>
      <c r="Y58" s="376"/>
      <c r="Z58" s="383"/>
    </row>
    <row r="59" spans="1:26" s="375" customFormat="1" x14ac:dyDescent="0.25">
      <c r="A59" s="391">
        <f>'A) Base RI'!A60</f>
        <v>5489</v>
      </c>
      <c r="B59" s="391" t="str">
        <f>'A) Base RI'!B60</f>
        <v>Mex</v>
      </c>
      <c r="C59" s="404">
        <v>0</v>
      </c>
      <c r="D59" s="377">
        <f>'B) D RI'!AR60</f>
        <v>670</v>
      </c>
      <c r="E59" s="378">
        <f>'B) D RI'!S60</f>
        <v>61</v>
      </c>
      <c r="F59" s="18">
        <f>'B) D RI'!R60</f>
        <v>3289889.5799999996</v>
      </c>
      <c r="G59" s="18">
        <f>'B) D RI'!U60</f>
        <v>53932.616065573762</v>
      </c>
      <c r="H59" s="73">
        <f>'B) D RI'!T60</f>
        <v>3052092.03</v>
      </c>
      <c r="I59" s="18">
        <f t="shared" si="5"/>
        <v>100068.59114754098</v>
      </c>
      <c r="J59" s="18">
        <f t="shared" si="1"/>
        <v>57543.458307693414</v>
      </c>
      <c r="K59" s="18">
        <f t="shared" si="0"/>
        <v>57543.458307693414</v>
      </c>
      <c r="L59" s="18">
        <f t="shared" si="2"/>
        <v>0</v>
      </c>
      <c r="M59" s="18">
        <f>'D) Ecrêtage'!N58</f>
        <v>47065.380385310324</v>
      </c>
      <c r="N59" s="18">
        <f t="shared" si="3"/>
        <v>63532.127178398587</v>
      </c>
      <c r="O59" s="98">
        <f t="shared" si="4"/>
        <v>121075.58548609199</v>
      </c>
      <c r="P59" s="379"/>
      <c r="Q59" s="380"/>
      <c r="R59" s="379"/>
      <c r="T59" s="376"/>
      <c r="U59" s="381"/>
      <c r="V59" s="381"/>
      <c r="W59" s="382"/>
      <c r="X59" s="376"/>
      <c r="Y59" s="376"/>
      <c r="Z59" s="383"/>
    </row>
    <row r="60" spans="1:26" s="375" customFormat="1" x14ac:dyDescent="0.25">
      <c r="A60" s="391">
        <f>'A) Base RI'!A61</f>
        <v>5490</v>
      </c>
      <c r="B60" s="391" t="str">
        <f>'A) Base RI'!B61</f>
        <v>Moiry</v>
      </c>
      <c r="C60" s="404">
        <v>0</v>
      </c>
      <c r="D60" s="377">
        <f>'B) D RI'!AR61</f>
        <v>263</v>
      </c>
      <c r="E60" s="378">
        <f>'B) D RI'!S61</f>
        <v>81</v>
      </c>
      <c r="F60" s="18">
        <f>'B) D RI'!R61</f>
        <v>579168.30000000005</v>
      </c>
      <c r="G60" s="18">
        <f>'B) D RI'!U61</f>
        <v>7150.2259259259263</v>
      </c>
      <c r="H60" s="73">
        <f>'B) D RI'!T61</f>
        <v>543595</v>
      </c>
      <c r="I60" s="18">
        <f t="shared" si="5"/>
        <v>13422.098765432098</v>
      </c>
      <c r="J60" s="18">
        <f t="shared" si="1"/>
        <v>22587.954529736373</v>
      </c>
      <c r="K60" s="18">
        <f t="shared" si="0"/>
        <v>13422.098765432098</v>
      </c>
      <c r="L60" s="18">
        <f t="shared" si="2"/>
        <v>9165.855764304275</v>
      </c>
      <c r="M60" s="18">
        <f>'D) Ecrêtage'!N59</f>
        <v>7150.2259259259263</v>
      </c>
      <c r="N60" s="18">
        <f t="shared" si="3"/>
        <v>9651.8727600041166</v>
      </c>
      <c r="O60" s="98">
        <f t="shared" si="4"/>
        <v>23073.971525436216</v>
      </c>
      <c r="P60" s="379"/>
      <c r="Q60" s="380"/>
      <c r="R60" s="379"/>
      <c r="T60" s="376"/>
      <c r="U60" s="381"/>
      <c r="V60" s="381"/>
      <c r="W60" s="382"/>
      <c r="X60" s="376"/>
      <c r="Y60" s="376"/>
      <c r="Z60" s="383"/>
    </row>
    <row r="61" spans="1:26" s="375" customFormat="1" x14ac:dyDescent="0.25">
      <c r="A61" s="391">
        <f>'A) Base RI'!A62</f>
        <v>5491</v>
      </c>
      <c r="B61" s="391" t="str">
        <f>'A) Base RI'!B62</f>
        <v>Mont-la-Ville</v>
      </c>
      <c r="C61" s="404">
        <v>0</v>
      </c>
      <c r="D61" s="377">
        <f>'B) D RI'!AR62</f>
        <v>372</v>
      </c>
      <c r="E61" s="378">
        <f>'B) D RI'!S62</f>
        <v>76</v>
      </c>
      <c r="F61" s="18">
        <f>'B) D RI'!R62</f>
        <v>696011.89999999991</v>
      </c>
      <c r="G61" s="18">
        <f>'B) D RI'!U62</f>
        <v>9158.0513157894729</v>
      </c>
      <c r="H61" s="73">
        <f>'B) D RI'!T62</f>
        <v>636289.44999999995</v>
      </c>
      <c r="I61" s="18">
        <f t="shared" si="5"/>
        <v>16744.459210526315</v>
      </c>
      <c r="J61" s="18">
        <f t="shared" si="1"/>
        <v>31949.502224570078</v>
      </c>
      <c r="K61" s="18">
        <f t="shared" si="0"/>
        <v>16744.459210526315</v>
      </c>
      <c r="L61" s="18">
        <f t="shared" si="2"/>
        <v>15205.043014043764</v>
      </c>
      <c r="M61" s="18">
        <f>'D) Ecrêtage'!N60</f>
        <v>9158.0513157894729</v>
      </c>
      <c r="N61" s="18">
        <f t="shared" si="3"/>
        <v>12362.175257859675</v>
      </c>
      <c r="O61" s="98">
        <f t="shared" si="4"/>
        <v>29106.63446838599</v>
      </c>
      <c r="P61" s="379"/>
      <c r="Q61" s="380"/>
      <c r="R61" s="379"/>
      <c r="T61" s="376"/>
      <c r="U61" s="381"/>
      <c r="V61" s="381"/>
      <c r="W61" s="382"/>
      <c r="X61" s="376"/>
      <c r="Y61" s="376"/>
      <c r="Z61" s="383"/>
    </row>
    <row r="62" spans="1:26" s="375" customFormat="1" x14ac:dyDescent="0.25">
      <c r="A62" s="391">
        <f>'A) Base RI'!A63</f>
        <v>5492</v>
      </c>
      <c r="B62" s="391" t="str">
        <f>'A) Base RI'!B63</f>
        <v>Montricher</v>
      </c>
      <c r="C62" s="404">
        <v>0</v>
      </c>
      <c r="D62" s="377">
        <f>'B) D RI'!AR63</f>
        <v>930</v>
      </c>
      <c r="E62" s="378">
        <f>'B) D RI'!S63</f>
        <v>64</v>
      </c>
      <c r="F62" s="18">
        <f>'B) D RI'!R63</f>
        <v>9630361.0899999999</v>
      </c>
      <c r="G62" s="18">
        <f>'B) D RI'!U63</f>
        <v>150474.39203125</v>
      </c>
      <c r="H62" s="73">
        <f>'B) D RI'!T63</f>
        <v>9486810.5899999999</v>
      </c>
      <c r="I62" s="18">
        <f t="shared" si="5"/>
        <v>296462.8309375</v>
      </c>
      <c r="J62" s="18">
        <f t="shared" si="1"/>
        <v>79873.755561425191</v>
      </c>
      <c r="K62" s="18">
        <f t="shared" si="0"/>
        <v>79873.755561425191</v>
      </c>
      <c r="L62" s="18">
        <f t="shared" si="2"/>
        <v>0</v>
      </c>
      <c r="M62" s="18">
        <f>'D) Ecrêtage'!N61</f>
        <v>97460.937276275261</v>
      </c>
      <c r="N62" s="18">
        <f t="shared" si="3"/>
        <v>131559.55845402696</v>
      </c>
      <c r="O62" s="98">
        <f t="shared" si="4"/>
        <v>211433.31401545217</v>
      </c>
      <c r="P62" s="379"/>
      <c r="Q62" s="380"/>
      <c r="R62" s="379"/>
      <c r="T62" s="376"/>
      <c r="U62" s="381"/>
      <c r="V62" s="381"/>
      <c r="W62" s="382"/>
      <c r="X62" s="376"/>
      <c r="Y62" s="376"/>
      <c r="Z62" s="383"/>
    </row>
    <row r="63" spans="1:26" s="375" customFormat="1" x14ac:dyDescent="0.25">
      <c r="A63" s="391">
        <f>'A) Base RI'!A64</f>
        <v>5493</v>
      </c>
      <c r="B63" s="391" t="str">
        <f>'A) Base RI'!B64</f>
        <v>Orny</v>
      </c>
      <c r="C63" s="404">
        <v>0</v>
      </c>
      <c r="D63" s="377">
        <f>'B) D RI'!AR64</f>
        <v>364</v>
      </c>
      <c r="E63" s="378">
        <f>'B) D RI'!S64</f>
        <v>73</v>
      </c>
      <c r="F63" s="18">
        <f>'B) D RI'!R64</f>
        <v>691673.14846153848</v>
      </c>
      <c r="G63" s="18">
        <f>'B) D RI'!U64</f>
        <v>9474.9746364594321</v>
      </c>
      <c r="H63" s="73">
        <f>'B) D RI'!T64</f>
        <v>643060.11</v>
      </c>
      <c r="I63" s="18">
        <f t="shared" si="5"/>
        <v>17618.085205479452</v>
      </c>
      <c r="J63" s="18">
        <f t="shared" si="1"/>
        <v>31262.416155224484</v>
      </c>
      <c r="K63" s="18">
        <f t="shared" si="0"/>
        <v>17618.085205479452</v>
      </c>
      <c r="L63" s="18">
        <f t="shared" si="2"/>
        <v>13644.330949745032</v>
      </c>
      <c r="M63" s="18">
        <f>'D) Ecrêtage'!N62</f>
        <v>9474.9746364594321</v>
      </c>
      <c r="N63" s="18">
        <f t="shared" si="3"/>
        <v>12789.980420587915</v>
      </c>
      <c r="O63" s="98">
        <f t="shared" si="4"/>
        <v>30408.065626067368</v>
      </c>
      <c r="P63" s="379"/>
      <c r="Q63" s="380"/>
      <c r="R63" s="379"/>
      <c r="T63" s="376"/>
      <c r="U63" s="381"/>
      <c r="V63" s="381"/>
      <c r="W63" s="382"/>
      <c r="X63" s="376"/>
      <c r="Y63" s="376"/>
      <c r="Z63" s="383"/>
    </row>
    <row r="64" spans="1:26" s="375" customFormat="1" x14ac:dyDescent="0.25">
      <c r="A64" s="391">
        <f>'A) Base RI'!A65</f>
        <v>5494</v>
      </c>
      <c r="B64" s="391" t="str">
        <f>'A) Base RI'!B65</f>
        <v>Pampigny</v>
      </c>
      <c r="C64" s="404">
        <v>0</v>
      </c>
      <c r="D64" s="377">
        <f>'B) D RI'!AR65</f>
        <v>1104</v>
      </c>
      <c r="E64" s="378">
        <f>'B) D RI'!S65</f>
        <v>75</v>
      </c>
      <c r="F64" s="18">
        <f>'B) D RI'!R65</f>
        <v>2618911.641904762</v>
      </c>
      <c r="G64" s="18">
        <f>'B) D RI'!U65</f>
        <v>34918.82189206349</v>
      </c>
      <c r="H64" s="73">
        <f>'B) D RI'!T65</f>
        <v>2426493.1799999997</v>
      </c>
      <c r="I64" s="18">
        <f t="shared" si="5"/>
        <v>64706.484799999991</v>
      </c>
      <c r="J64" s="18">
        <f t="shared" si="1"/>
        <v>94817.877569691846</v>
      </c>
      <c r="K64" s="18">
        <f t="shared" si="0"/>
        <v>64706.484799999991</v>
      </c>
      <c r="L64" s="18">
        <f t="shared" si="2"/>
        <v>30111.392769691854</v>
      </c>
      <c r="M64" s="18">
        <f>'D) Ecrêtage'!N63</f>
        <v>34918.82189206349</v>
      </c>
      <c r="N64" s="18">
        <f t="shared" si="3"/>
        <v>47135.856869837109</v>
      </c>
      <c r="O64" s="98">
        <f t="shared" si="4"/>
        <v>111842.3416698371</v>
      </c>
      <c r="P64" s="379"/>
      <c r="Q64" s="380"/>
      <c r="R64" s="379"/>
      <c r="T64" s="376"/>
      <c r="U64" s="381"/>
      <c r="V64" s="381"/>
      <c r="W64" s="382"/>
      <c r="X64" s="376"/>
      <c r="Y64" s="376"/>
      <c r="Z64" s="383"/>
    </row>
    <row r="65" spans="1:26" s="375" customFormat="1" x14ac:dyDescent="0.25">
      <c r="A65" s="391">
        <f>'A) Base RI'!A66</f>
        <v>5495</v>
      </c>
      <c r="B65" s="391" t="str">
        <f>'A) Base RI'!B66</f>
        <v>Penthalaz</v>
      </c>
      <c r="C65" s="404">
        <v>0</v>
      </c>
      <c r="D65" s="377">
        <f>'B) D RI'!AR66</f>
        <v>3150</v>
      </c>
      <c r="E65" s="378">
        <f>'B) D RI'!S66</f>
        <v>74</v>
      </c>
      <c r="F65" s="18">
        <f>'B) D RI'!R66</f>
        <v>6490988.1000000006</v>
      </c>
      <c r="G65" s="18">
        <f>'B) D RI'!U66</f>
        <v>87716.055405405408</v>
      </c>
      <c r="H65" s="73">
        <f>'B) D RI'!T66</f>
        <v>5928208.6000000006</v>
      </c>
      <c r="I65" s="18">
        <f t="shared" si="5"/>
        <v>160221.85405405407</v>
      </c>
      <c r="J65" s="18">
        <f t="shared" si="1"/>
        <v>270540.13980482728</v>
      </c>
      <c r="K65" s="18">
        <f t="shared" si="0"/>
        <v>160221.85405405407</v>
      </c>
      <c r="L65" s="18">
        <f t="shared" si="2"/>
        <v>110318.28575077321</v>
      </c>
      <c r="M65" s="18">
        <f>'D) Ecrêtage'!N64</f>
        <v>87716.055405405408</v>
      </c>
      <c r="N65" s="18">
        <f t="shared" si="3"/>
        <v>118405.23845724633</v>
      </c>
      <c r="O65" s="98">
        <f t="shared" si="4"/>
        <v>278627.09251130041</v>
      </c>
      <c r="P65" s="379"/>
      <c r="Q65" s="380"/>
      <c r="R65" s="379"/>
      <c r="T65" s="376"/>
      <c r="U65" s="381"/>
      <c r="V65" s="381"/>
      <c r="W65" s="382"/>
      <c r="X65" s="376"/>
      <c r="Y65" s="376"/>
      <c r="Z65" s="383"/>
    </row>
    <row r="66" spans="1:26" s="375" customFormat="1" x14ac:dyDescent="0.25">
      <c r="A66" s="391">
        <f>'A) Base RI'!A67</f>
        <v>5496</v>
      </c>
      <c r="B66" s="391" t="str">
        <f>'A) Base RI'!B67</f>
        <v>Penthaz</v>
      </c>
      <c r="C66" s="404">
        <v>0</v>
      </c>
      <c r="D66" s="377">
        <f>'B) D RI'!AR67</f>
        <v>1666</v>
      </c>
      <c r="E66" s="378">
        <f>'B) D RI'!S67</f>
        <v>71</v>
      </c>
      <c r="F66" s="18">
        <f>'B) D RI'!R67</f>
        <v>3661212.0500000003</v>
      </c>
      <c r="G66" s="18">
        <f>'B) D RI'!U67</f>
        <v>51566.366901408452</v>
      </c>
      <c r="H66" s="73">
        <f>'B) D RI'!T67</f>
        <v>3362510.95</v>
      </c>
      <c r="I66" s="18">
        <f t="shared" si="5"/>
        <v>94718.618309859157</v>
      </c>
      <c r="J66" s="18">
        <f t="shared" si="1"/>
        <v>143085.67394121975</v>
      </c>
      <c r="K66" s="18">
        <f t="shared" si="0"/>
        <v>94718.618309859157</v>
      </c>
      <c r="L66" s="18">
        <f t="shared" si="2"/>
        <v>48367.055631360592</v>
      </c>
      <c r="M66" s="18">
        <f>'D) Ecrêtage'!N65</f>
        <v>51566.366901408452</v>
      </c>
      <c r="N66" s="18">
        <f t="shared" si="3"/>
        <v>69607.872140575797</v>
      </c>
      <c r="O66" s="98">
        <f t="shared" si="4"/>
        <v>164326.49045043497</v>
      </c>
      <c r="P66" s="379"/>
      <c r="Q66" s="380"/>
      <c r="R66" s="379"/>
      <c r="T66" s="376"/>
      <c r="U66" s="381"/>
      <c r="V66" s="381"/>
      <c r="W66" s="382"/>
      <c r="X66" s="376"/>
      <c r="Y66" s="376"/>
      <c r="Z66" s="383"/>
    </row>
    <row r="67" spans="1:26" s="375" customFormat="1" x14ac:dyDescent="0.25">
      <c r="A67" s="391">
        <f>'A) Base RI'!A68</f>
        <v>5497</v>
      </c>
      <c r="B67" s="391" t="str">
        <f>'A) Base RI'!B68</f>
        <v>Pompaples</v>
      </c>
      <c r="C67" s="404">
        <v>0</v>
      </c>
      <c r="D67" s="377">
        <f>'B) D RI'!AR68</f>
        <v>839</v>
      </c>
      <c r="E67" s="378">
        <f>'B) D RI'!S68</f>
        <v>66</v>
      </c>
      <c r="F67" s="18">
        <f>'B) D RI'!R68</f>
        <v>1339754.72</v>
      </c>
      <c r="G67" s="18">
        <f>'B) D RI'!U68</f>
        <v>20299.313939393938</v>
      </c>
      <c r="H67" s="73">
        <f>'B) D RI'!T68</f>
        <v>1220042.02</v>
      </c>
      <c r="I67" s="18">
        <f t="shared" si="5"/>
        <v>36970.970303030306</v>
      </c>
      <c r="J67" s="18">
        <f t="shared" si="1"/>
        <v>72058.151522619068</v>
      </c>
      <c r="K67" s="18">
        <f t="shared" si="0"/>
        <v>36970.970303030306</v>
      </c>
      <c r="L67" s="18">
        <f t="shared" si="2"/>
        <v>35087.181219588761</v>
      </c>
      <c r="M67" s="18">
        <f>'D) Ecrêtage'!N66</f>
        <v>20299.313939393938</v>
      </c>
      <c r="N67" s="18">
        <f t="shared" si="3"/>
        <v>27401.427211971139</v>
      </c>
      <c r="O67" s="98">
        <f t="shared" si="4"/>
        <v>64372.397515001445</v>
      </c>
      <c r="P67" s="379"/>
      <c r="Q67" s="380"/>
      <c r="R67" s="379"/>
      <c r="T67" s="376"/>
      <c r="U67" s="381"/>
      <c r="V67" s="381"/>
      <c r="W67" s="382"/>
      <c r="X67" s="376"/>
      <c r="Y67" s="376"/>
      <c r="Z67" s="383"/>
    </row>
    <row r="68" spans="1:26" s="375" customFormat="1" x14ac:dyDescent="0.25">
      <c r="A68" s="391">
        <f>'A) Base RI'!A69</f>
        <v>5498</v>
      </c>
      <c r="B68" s="391" t="str">
        <f>'A) Base RI'!B69</f>
        <v>La Sarraz</v>
      </c>
      <c r="C68" s="404">
        <v>0</v>
      </c>
      <c r="D68" s="377">
        <f>'B) D RI'!AR69</f>
        <v>2510</v>
      </c>
      <c r="E68" s="378">
        <f>'B) D RI'!S69</f>
        <v>64</v>
      </c>
      <c r="F68" s="18">
        <f>'B) D RI'!R69</f>
        <v>4626983.91</v>
      </c>
      <c r="G68" s="18">
        <f>'B) D RI'!U69</f>
        <v>72296.623593750002</v>
      </c>
      <c r="H68" s="73">
        <f>'B) D RI'!T69</f>
        <v>4262039.26</v>
      </c>
      <c r="I68" s="18">
        <f t="shared" si="5"/>
        <v>133188.72687499999</v>
      </c>
      <c r="J68" s="18">
        <f t="shared" si="1"/>
        <v>215573.25425717983</v>
      </c>
      <c r="K68" s="18">
        <f t="shared" si="0"/>
        <v>133188.72687499999</v>
      </c>
      <c r="L68" s="18">
        <f t="shared" si="2"/>
        <v>82384.527382179833</v>
      </c>
      <c r="M68" s="18">
        <f>'D) Ecrêtage'!N67</f>
        <v>72296.623593750002</v>
      </c>
      <c r="N68" s="18">
        <f t="shared" si="3"/>
        <v>97591.015883099448</v>
      </c>
      <c r="O68" s="98">
        <f t="shared" si="4"/>
        <v>230779.74275809946</v>
      </c>
      <c r="P68" s="379"/>
      <c r="Q68" s="380"/>
      <c r="R68" s="379"/>
      <c r="T68" s="376"/>
      <c r="U68" s="381"/>
      <c r="V68" s="381"/>
      <c r="W68" s="382"/>
      <c r="X68" s="376"/>
      <c r="Y68" s="376"/>
      <c r="Z68" s="383"/>
    </row>
    <row r="69" spans="1:26" s="375" customFormat="1" x14ac:dyDescent="0.25">
      <c r="A69" s="391">
        <f>'A) Base RI'!A70</f>
        <v>5499</v>
      </c>
      <c r="B69" s="391" t="str">
        <f>'A) Base RI'!B70</f>
        <v>Senarclens</v>
      </c>
      <c r="C69" s="404">
        <v>0</v>
      </c>
      <c r="D69" s="377">
        <f>'B) D RI'!AR70</f>
        <v>435</v>
      </c>
      <c r="E69" s="378">
        <f>'B) D RI'!S70</f>
        <v>68.5</v>
      </c>
      <c r="F69" s="18">
        <f>'B) D RI'!R70</f>
        <v>1195945.81</v>
      </c>
      <c r="G69" s="18">
        <f>'B) D RI'!U70</f>
        <v>17459.062919708031</v>
      </c>
      <c r="H69" s="73">
        <f>'B) D RI'!T70</f>
        <v>1111628.71</v>
      </c>
      <c r="I69" s="18">
        <f t="shared" si="5"/>
        <v>32456.312700729926</v>
      </c>
      <c r="J69" s="18">
        <f t="shared" si="1"/>
        <v>37360.305020666623</v>
      </c>
      <c r="K69" s="18">
        <f t="shared" si="0"/>
        <v>32456.312700729926</v>
      </c>
      <c r="L69" s="18">
        <f t="shared" si="2"/>
        <v>4903.9923199366967</v>
      </c>
      <c r="M69" s="18">
        <f>'D) Ecrêtage'!N68</f>
        <v>17459.062919708031</v>
      </c>
      <c r="N69" s="18">
        <f t="shared" si="3"/>
        <v>23567.458644756898</v>
      </c>
      <c r="O69" s="98">
        <f t="shared" si="4"/>
        <v>56023.771345486821</v>
      </c>
      <c r="P69" s="379"/>
      <c r="Q69" s="380"/>
      <c r="R69" s="379"/>
      <c r="T69" s="376"/>
      <c r="U69" s="381"/>
      <c r="V69" s="381"/>
      <c r="W69" s="382"/>
      <c r="X69" s="376"/>
      <c r="Y69" s="376"/>
      <c r="Z69" s="383"/>
    </row>
    <row r="70" spans="1:26" s="375" customFormat="1" x14ac:dyDescent="0.25">
      <c r="A70" s="391">
        <f>'A) Base RI'!A71</f>
        <v>5500</v>
      </c>
      <c r="B70" s="391" t="str">
        <f>'A) Base RI'!B71</f>
        <v>Sévery</v>
      </c>
      <c r="C70" s="404">
        <v>0</v>
      </c>
      <c r="D70" s="377">
        <f>'B) D RI'!AR71</f>
        <v>223</v>
      </c>
      <c r="E70" s="378">
        <f>'B) D RI'!S71</f>
        <v>78</v>
      </c>
      <c r="F70" s="18">
        <f>'B) D RI'!R71</f>
        <v>475958.16499999992</v>
      </c>
      <c r="G70" s="18">
        <f>'B) D RI'!U71</f>
        <v>6102.0277564102553</v>
      </c>
      <c r="H70" s="73">
        <f>'B) D RI'!T71</f>
        <v>442290.03999999992</v>
      </c>
      <c r="I70" s="18">
        <f t="shared" si="5"/>
        <v>11340.770256410255</v>
      </c>
      <c r="J70" s="18">
        <f t="shared" si="1"/>
        <v>19152.524183008405</v>
      </c>
      <c r="K70" s="18">
        <f t="shared" ref="K70:K133" si="6">IF(C70=1,0,IF(J70&gt;I70,I70,J70))</f>
        <v>11340.770256410255</v>
      </c>
      <c r="L70" s="18">
        <f t="shared" si="2"/>
        <v>7811.7539265981504</v>
      </c>
      <c r="M70" s="18">
        <f>'D) Ecrêtage'!N69</f>
        <v>6102.0277564102553</v>
      </c>
      <c r="N70" s="18">
        <f t="shared" ref="N70:N133" si="7">+$N$5*M70</f>
        <v>8236.9418942882385</v>
      </c>
      <c r="O70" s="98">
        <f t="shared" ref="O70:O133" si="8">+N70+K70</f>
        <v>19577.712150698491</v>
      </c>
      <c r="P70" s="379"/>
      <c r="Q70" s="380"/>
      <c r="R70" s="379"/>
      <c r="T70" s="376"/>
      <c r="U70" s="381"/>
      <c r="V70" s="381"/>
      <c r="W70" s="382"/>
      <c r="X70" s="376"/>
      <c r="Y70" s="376"/>
      <c r="Z70" s="383"/>
    </row>
    <row r="71" spans="1:26" s="375" customFormat="1" x14ac:dyDescent="0.25">
      <c r="A71" s="391">
        <f>'A) Base RI'!A72</f>
        <v>5501</v>
      </c>
      <c r="B71" s="391" t="str">
        <f>'A) Base RI'!B72</f>
        <v>Sullens</v>
      </c>
      <c r="C71" s="404">
        <v>0</v>
      </c>
      <c r="D71" s="377">
        <f>'B) D RI'!AR72</f>
        <v>902</v>
      </c>
      <c r="E71" s="378">
        <f>'B) D RI'!S72</f>
        <v>72</v>
      </c>
      <c r="F71" s="18">
        <f>'B) D RI'!R72</f>
        <v>2720728.5599999996</v>
      </c>
      <c r="G71" s="18">
        <f>'B) D RI'!U72</f>
        <v>37787.89666666666</v>
      </c>
      <c r="H71" s="73">
        <f>'B) D RI'!T72</f>
        <v>2546717.1599999997</v>
      </c>
      <c r="I71" s="18">
        <f t="shared" ref="I71:I134" si="9">+H71/E71*$I$5</f>
        <v>70742.143333333326</v>
      </c>
      <c r="J71" s="18">
        <f t="shared" ref="J71:J134" si="10">+$I$324/$D$324*D71</f>
        <v>77468.954318715609</v>
      </c>
      <c r="K71" s="18">
        <f t="shared" si="6"/>
        <v>70742.143333333326</v>
      </c>
      <c r="L71" s="18">
        <f t="shared" ref="L71:L134" si="11">+J71-K71</f>
        <v>6726.8109853822825</v>
      </c>
      <c r="M71" s="18">
        <f>'D) Ecrêtage'!N70</f>
        <v>37787.89666666666</v>
      </c>
      <c r="N71" s="18">
        <f t="shared" si="7"/>
        <v>51008.733748174534</v>
      </c>
      <c r="O71" s="98">
        <f t="shared" si="8"/>
        <v>121750.87708150786</v>
      </c>
      <c r="P71" s="379"/>
      <c r="Q71" s="380"/>
      <c r="R71" s="379"/>
      <c r="T71" s="376"/>
      <c r="U71" s="381"/>
      <c r="V71" s="381"/>
      <c r="W71" s="382"/>
      <c r="X71" s="376"/>
      <c r="Y71" s="376"/>
      <c r="Z71" s="383"/>
    </row>
    <row r="72" spans="1:26" s="375" customFormat="1" x14ac:dyDescent="0.25">
      <c r="A72" s="391">
        <f>'A) Base RI'!A73</f>
        <v>5503</v>
      </c>
      <c r="B72" s="391" t="str">
        <f>'A) Base RI'!B73</f>
        <v>Vufflens-la-Ville</v>
      </c>
      <c r="C72" s="404">
        <v>0</v>
      </c>
      <c r="D72" s="377">
        <f>'B) D RI'!AR73</f>
        <v>1226</v>
      </c>
      <c r="E72" s="378">
        <f>'B) D RI'!S73</f>
        <v>67</v>
      </c>
      <c r="F72" s="18">
        <f>'B) D RI'!R73</f>
        <v>3873470.4583333335</v>
      </c>
      <c r="G72" s="18">
        <f>'B) D RI'!U73</f>
        <v>57812.991915422885</v>
      </c>
      <c r="H72" s="73">
        <f>'B) D RI'!T73</f>
        <v>3573399</v>
      </c>
      <c r="I72" s="18">
        <f t="shared" si="9"/>
        <v>106668.62686567164</v>
      </c>
      <c r="J72" s="18">
        <f t="shared" si="10"/>
        <v>105295.94012721213</v>
      </c>
      <c r="K72" s="18">
        <f t="shared" si="6"/>
        <v>105295.94012721213</v>
      </c>
      <c r="L72" s="18">
        <f t="shared" si="11"/>
        <v>0</v>
      </c>
      <c r="M72" s="18">
        <f>'D) Ecrêtage'!N71</f>
        <v>57812.991915422885</v>
      </c>
      <c r="N72" s="18">
        <f t="shared" si="7"/>
        <v>78040.001480169885</v>
      </c>
      <c r="O72" s="98">
        <f t="shared" si="8"/>
        <v>183335.94160738203</v>
      </c>
      <c r="P72" s="379"/>
      <c r="Q72" s="380"/>
      <c r="R72" s="379"/>
      <c r="T72" s="376"/>
      <c r="U72" s="381"/>
      <c r="V72" s="381"/>
      <c r="W72" s="382"/>
      <c r="X72" s="376"/>
      <c r="Y72" s="376"/>
      <c r="Z72" s="383"/>
    </row>
    <row r="73" spans="1:26" s="375" customFormat="1" x14ac:dyDescent="0.25">
      <c r="A73" s="391">
        <f>'A) Base RI'!A74</f>
        <v>5511</v>
      </c>
      <c r="B73" s="391" t="str">
        <f>'A) Base RI'!B74</f>
        <v>Assens</v>
      </c>
      <c r="C73" s="404">
        <v>0</v>
      </c>
      <c r="D73" s="377">
        <f>'B) D RI'!AR74</f>
        <v>1024</v>
      </c>
      <c r="E73" s="378">
        <f>'B) D RI'!S74</f>
        <v>70</v>
      </c>
      <c r="F73" s="18">
        <f>'B) D RI'!R74</f>
        <v>2784851.55</v>
      </c>
      <c r="G73" s="18">
        <f>'B) D RI'!U74</f>
        <v>39783.593571428566</v>
      </c>
      <c r="H73" s="73">
        <f>'B) D RI'!T74</f>
        <v>2581547.7999999998</v>
      </c>
      <c r="I73" s="18">
        <f t="shared" si="9"/>
        <v>73758.508571428567</v>
      </c>
      <c r="J73" s="18">
        <f t="shared" si="10"/>
        <v>87947.01687623591</v>
      </c>
      <c r="K73" s="18">
        <f t="shared" si="6"/>
        <v>73758.508571428567</v>
      </c>
      <c r="L73" s="18">
        <f t="shared" si="11"/>
        <v>14188.508304807343</v>
      </c>
      <c r="M73" s="18">
        <f>'D) Ecrêtage'!N72</f>
        <v>39783.593571428566</v>
      </c>
      <c r="N73" s="18">
        <f t="shared" si="7"/>
        <v>53702.664372443804</v>
      </c>
      <c r="O73" s="98">
        <f t="shared" si="8"/>
        <v>127461.17294387237</v>
      </c>
      <c r="P73" s="379"/>
      <c r="Q73" s="380"/>
      <c r="R73" s="379"/>
      <c r="T73" s="376"/>
      <c r="U73" s="381"/>
      <c r="V73" s="381"/>
      <c r="W73" s="382"/>
      <c r="X73" s="376"/>
      <c r="Y73" s="376"/>
      <c r="Z73" s="383"/>
    </row>
    <row r="74" spans="1:26" s="375" customFormat="1" x14ac:dyDescent="0.25">
      <c r="A74" s="391">
        <f>'A) Base RI'!A75</f>
        <v>5512</v>
      </c>
      <c r="B74" s="391" t="str">
        <f>'A) Base RI'!B75</f>
        <v>Bercher</v>
      </c>
      <c r="C74" s="404">
        <v>0</v>
      </c>
      <c r="D74" s="377">
        <f>'B) D RI'!AR75</f>
        <v>1143</v>
      </c>
      <c r="E74" s="378">
        <f>'B) D RI'!S75</f>
        <v>79</v>
      </c>
      <c r="F74" s="18">
        <f>'B) D RI'!R75</f>
        <v>2893195.1100000003</v>
      </c>
      <c r="G74" s="18">
        <f>'B) D RI'!U75</f>
        <v>36622.722911392411</v>
      </c>
      <c r="H74" s="73">
        <f>'B) D RI'!T75</f>
        <v>2666888.0600000005</v>
      </c>
      <c r="I74" s="18">
        <f t="shared" si="9"/>
        <v>67516.153417721536</v>
      </c>
      <c r="J74" s="18">
        <f t="shared" si="10"/>
        <v>98167.4221577516</v>
      </c>
      <c r="K74" s="18">
        <f t="shared" si="6"/>
        <v>67516.153417721536</v>
      </c>
      <c r="L74" s="18">
        <f t="shared" si="11"/>
        <v>30651.268740030064</v>
      </c>
      <c r="M74" s="18">
        <f>'D) Ecrêtage'!N73</f>
        <v>36622.722911392411</v>
      </c>
      <c r="N74" s="18">
        <f t="shared" si="7"/>
        <v>49435.901092855755</v>
      </c>
      <c r="O74" s="98">
        <f t="shared" si="8"/>
        <v>116952.05451057729</v>
      </c>
      <c r="P74" s="379"/>
      <c r="Q74" s="380"/>
      <c r="R74" s="379"/>
      <c r="T74" s="376"/>
      <c r="U74" s="381"/>
      <c r="V74" s="381"/>
      <c r="W74" s="382"/>
      <c r="X74" s="376"/>
      <c r="Y74" s="376"/>
      <c r="Z74" s="383"/>
    </row>
    <row r="75" spans="1:26" s="375" customFormat="1" x14ac:dyDescent="0.25">
      <c r="A75" s="391">
        <f>'A) Base RI'!A76</f>
        <v>5513</v>
      </c>
      <c r="B75" s="391" t="str">
        <f>'A) Base RI'!B76</f>
        <v>Bioley-Orjulaz</v>
      </c>
      <c r="C75" s="404">
        <v>0</v>
      </c>
      <c r="D75" s="377">
        <f>'B) D RI'!AR76</f>
        <v>460</v>
      </c>
      <c r="E75" s="378">
        <f>'B) D RI'!S76</f>
        <v>66</v>
      </c>
      <c r="F75" s="18">
        <f>'B) D RI'!R76</f>
        <v>2013398.5300000003</v>
      </c>
      <c r="G75" s="18">
        <f>'B) D RI'!U76</f>
        <v>30506.038333333338</v>
      </c>
      <c r="H75" s="73">
        <f>'B) D RI'!T76</f>
        <v>1917567.5300000003</v>
      </c>
      <c r="I75" s="18">
        <f t="shared" si="9"/>
        <v>58108.106969696979</v>
      </c>
      <c r="J75" s="18">
        <f t="shared" si="10"/>
        <v>39507.448987371601</v>
      </c>
      <c r="K75" s="18">
        <f t="shared" si="6"/>
        <v>39507.448987371601</v>
      </c>
      <c r="L75" s="18">
        <f t="shared" si="11"/>
        <v>0</v>
      </c>
      <c r="M75" s="18">
        <f>'D) Ecrêtage'!N74</f>
        <v>28667.291930654523</v>
      </c>
      <c r="N75" s="18">
        <f t="shared" si="7"/>
        <v>38697.106490763021</v>
      </c>
      <c r="O75" s="98">
        <f t="shared" si="8"/>
        <v>78204.555478134629</v>
      </c>
      <c r="P75" s="379"/>
      <c r="Q75" s="380"/>
      <c r="R75" s="379"/>
      <c r="T75" s="376"/>
      <c r="U75" s="381"/>
      <c r="V75" s="381"/>
      <c r="W75" s="382"/>
      <c r="X75" s="376"/>
      <c r="Y75" s="376"/>
      <c r="Z75" s="383"/>
    </row>
    <row r="76" spans="1:26" s="375" customFormat="1" x14ac:dyDescent="0.25">
      <c r="A76" s="391">
        <f>'A) Base RI'!A77</f>
        <v>5514</v>
      </c>
      <c r="B76" s="391" t="str">
        <f>'A) Base RI'!B77</f>
        <v>Bottens</v>
      </c>
      <c r="C76" s="404">
        <v>0</v>
      </c>
      <c r="D76" s="377">
        <f>'B) D RI'!AR77</f>
        <v>1281</v>
      </c>
      <c r="E76" s="378">
        <f>'B) D RI'!S77</f>
        <v>69</v>
      </c>
      <c r="F76" s="18">
        <f>'B) D RI'!R77</f>
        <v>2956377.5128571424</v>
      </c>
      <c r="G76" s="18">
        <f>'B) D RI'!U77</f>
        <v>42846.050910973077</v>
      </c>
      <c r="H76" s="73">
        <f>'B) D RI'!T77</f>
        <v>2753540.3699999996</v>
      </c>
      <c r="I76" s="18">
        <f t="shared" si="9"/>
        <v>79812.764347826072</v>
      </c>
      <c r="J76" s="18">
        <f t="shared" si="10"/>
        <v>110019.65685396308</v>
      </c>
      <c r="K76" s="18">
        <f t="shared" si="6"/>
        <v>79812.764347826072</v>
      </c>
      <c r="L76" s="18">
        <f t="shared" si="11"/>
        <v>30206.89250613701</v>
      </c>
      <c r="M76" s="18">
        <f>'D) Ecrêtage'!N75</f>
        <v>42846.050910973077</v>
      </c>
      <c r="N76" s="18">
        <f t="shared" si="7"/>
        <v>57836.582500407945</v>
      </c>
      <c r="O76" s="98">
        <f t="shared" si="8"/>
        <v>137649.34684823401</v>
      </c>
      <c r="P76" s="379"/>
      <c r="Q76" s="380"/>
      <c r="R76" s="379"/>
      <c r="T76" s="376"/>
      <c r="U76" s="381"/>
      <c r="V76" s="381"/>
      <c r="W76" s="382"/>
      <c r="X76" s="376"/>
      <c r="Y76" s="376"/>
      <c r="Z76" s="383"/>
    </row>
    <row r="77" spans="1:26" s="375" customFormat="1" x14ac:dyDescent="0.25">
      <c r="A77" s="391">
        <f>'A) Base RI'!A78</f>
        <v>5515</v>
      </c>
      <c r="B77" s="391" t="str">
        <f>'A) Base RI'!B78</f>
        <v>Bretigny-sur-Morrens</v>
      </c>
      <c r="C77" s="404">
        <v>0</v>
      </c>
      <c r="D77" s="377">
        <f>'B) D RI'!AR78</f>
        <v>785</v>
      </c>
      <c r="E77" s="378">
        <f>'B) D RI'!S78</f>
        <v>73</v>
      </c>
      <c r="F77" s="18">
        <f>'B) D RI'!R78</f>
        <v>1622327.9000000001</v>
      </c>
      <c r="G77" s="18">
        <f>'B) D RI'!U78</f>
        <v>22223.6698630137</v>
      </c>
      <c r="H77" s="73">
        <f>'B) D RI'!T78</f>
        <v>1487679.1</v>
      </c>
      <c r="I77" s="18">
        <f t="shared" si="9"/>
        <v>40758.331506849318</v>
      </c>
      <c r="J77" s="18">
        <f t="shared" si="10"/>
        <v>67420.320554536316</v>
      </c>
      <c r="K77" s="18">
        <f t="shared" si="6"/>
        <v>40758.331506849318</v>
      </c>
      <c r="L77" s="18">
        <f t="shared" si="11"/>
        <v>26661.989047686999</v>
      </c>
      <c r="M77" s="18">
        <f>'D) Ecrêtage'!N76</f>
        <v>22223.6698630137</v>
      </c>
      <c r="N77" s="18">
        <f t="shared" si="7"/>
        <v>29999.05681307118</v>
      </c>
      <c r="O77" s="98">
        <f t="shared" si="8"/>
        <v>70757.388319920501</v>
      </c>
      <c r="P77" s="379"/>
      <c r="Q77" s="380"/>
      <c r="R77" s="379"/>
      <c r="T77" s="376"/>
      <c r="U77" s="381"/>
      <c r="V77" s="381"/>
      <c r="W77" s="382"/>
      <c r="X77" s="376"/>
      <c r="Y77" s="376"/>
      <c r="Z77" s="383"/>
    </row>
    <row r="78" spans="1:26" s="375" customFormat="1" x14ac:dyDescent="0.25">
      <c r="A78" s="391">
        <f>'A) Base RI'!A79</f>
        <v>5516</v>
      </c>
      <c r="B78" s="391" t="str">
        <f>'A) Base RI'!B79</f>
        <v>Cugy</v>
      </c>
      <c r="C78" s="404">
        <v>0</v>
      </c>
      <c r="D78" s="377">
        <f>'B) D RI'!AR79</f>
        <v>2738</v>
      </c>
      <c r="E78" s="378">
        <f>'B) D RI'!S79</f>
        <v>67</v>
      </c>
      <c r="F78" s="18">
        <f>'B) D RI'!R79</f>
        <v>7881303.7500000009</v>
      </c>
      <c r="G78" s="18">
        <f>'B) D RI'!U79</f>
        <v>117631.39925373136</v>
      </c>
      <c r="H78" s="73">
        <f>'B) D RI'!T79</f>
        <v>7334250.3000000007</v>
      </c>
      <c r="I78" s="18">
        <f t="shared" si="9"/>
        <v>218932.84477611943</v>
      </c>
      <c r="J78" s="18">
        <f t="shared" si="10"/>
        <v>235155.20723352922</v>
      </c>
      <c r="K78" s="18">
        <f t="shared" si="6"/>
        <v>218932.84477611943</v>
      </c>
      <c r="L78" s="18">
        <f t="shared" si="11"/>
        <v>16222.362457409792</v>
      </c>
      <c r="M78" s="18">
        <f>'D) Ecrêtage'!N77</f>
        <v>117631.39925373136</v>
      </c>
      <c r="N78" s="18">
        <f t="shared" si="7"/>
        <v>158787.05231698439</v>
      </c>
      <c r="O78" s="98">
        <f t="shared" si="8"/>
        <v>377719.89709310385</v>
      </c>
      <c r="P78" s="379"/>
      <c r="Q78" s="380"/>
      <c r="R78" s="379"/>
      <c r="T78" s="376"/>
      <c r="U78" s="381"/>
      <c r="V78" s="381"/>
      <c r="W78" s="382"/>
      <c r="X78" s="376"/>
      <c r="Y78" s="376"/>
      <c r="Z78" s="383"/>
    </row>
    <row r="79" spans="1:26" s="375" customFormat="1" x14ac:dyDescent="0.25">
      <c r="A79" s="391">
        <f>'A) Base RI'!A80</f>
        <v>5518</v>
      </c>
      <c r="B79" s="391" t="str">
        <f>'A) Base RI'!B80</f>
        <v>Echallens</v>
      </c>
      <c r="C79" s="404">
        <v>0</v>
      </c>
      <c r="D79" s="377">
        <f>'B) D RI'!AR80</f>
        <v>5485</v>
      </c>
      <c r="E79" s="378">
        <f>'B) D RI'!S80</f>
        <v>74</v>
      </c>
      <c r="F79" s="18">
        <f>'B) D RI'!R80</f>
        <v>12813562.16</v>
      </c>
      <c r="G79" s="18">
        <f>'B) D RI'!U80</f>
        <v>173156.24540540541</v>
      </c>
      <c r="H79" s="73">
        <f>'B) D RI'!T80</f>
        <v>11873153.76</v>
      </c>
      <c r="I79" s="18">
        <f t="shared" si="9"/>
        <v>320896.04756756756</v>
      </c>
      <c r="J79" s="18">
        <f t="shared" si="10"/>
        <v>471083.38629507221</v>
      </c>
      <c r="K79" s="18">
        <f t="shared" si="6"/>
        <v>320896.04756756756</v>
      </c>
      <c r="L79" s="18">
        <f t="shared" si="11"/>
        <v>150187.33872750466</v>
      </c>
      <c r="M79" s="18">
        <f>'D) Ecrêtage'!N78</f>
        <v>173156.24540540541</v>
      </c>
      <c r="N79" s="18">
        <f t="shared" si="7"/>
        <v>233738.35534247066</v>
      </c>
      <c r="O79" s="98">
        <f t="shared" si="8"/>
        <v>554634.40291003825</v>
      </c>
      <c r="P79" s="379"/>
      <c r="Q79" s="380"/>
      <c r="R79" s="379"/>
      <c r="T79" s="376"/>
      <c r="U79" s="381"/>
      <c r="V79" s="381"/>
      <c r="W79" s="382"/>
      <c r="X79" s="376"/>
      <c r="Y79" s="376"/>
      <c r="Z79" s="383"/>
    </row>
    <row r="80" spans="1:26" s="375" customFormat="1" x14ac:dyDescent="0.25">
      <c r="A80" s="391">
        <f>'A) Base RI'!A81</f>
        <v>5520</v>
      </c>
      <c r="B80" s="391" t="str">
        <f>'A) Base RI'!B81</f>
        <v>Essertines-sur-Yverdon</v>
      </c>
      <c r="C80" s="404">
        <v>0</v>
      </c>
      <c r="D80" s="377">
        <f>'B) D RI'!AR81</f>
        <v>908</v>
      </c>
      <c r="E80" s="378">
        <f>'B) D RI'!S81</f>
        <v>73</v>
      </c>
      <c r="F80" s="18">
        <f>'B) D RI'!R81</f>
        <v>2042779.7299999997</v>
      </c>
      <c r="G80" s="18">
        <f>'B) D RI'!U81</f>
        <v>27983.283972602738</v>
      </c>
      <c r="H80" s="73">
        <f>'B) D RI'!T81</f>
        <v>1880712.3299999998</v>
      </c>
      <c r="I80" s="18">
        <f t="shared" si="9"/>
        <v>51526.365205479451</v>
      </c>
      <c r="J80" s="18">
        <f t="shared" si="10"/>
        <v>77984.268870724816</v>
      </c>
      <c r="K80" s="18">
        <f t="shared" si="6"/>
        <v>51526.365205479451</v>
      </c>
      <c r="L80" s="18">
        <f t="shared" si="11"/>
        <v>26457.903665245365</v>
      </c>
      <c r="M80" s="18">
        <f>'D) Ecrêtage'!N79</f>
        <v>27983.283972602738</v>
      </c>
      <c r="N80" s="18">
        <f t="shared" si="7"/>
        <v>37773.784927732675</v>
      </c>
      <c r="O80" s="98">
        <f t="shared" si="8"/>
        <v>89300.150133212126</v>
      </c>
      <c r="P80" s="379"/>
      <c r="Q80" s="380"/>
      <c r="R80" s="379"/>
      <c r="T80" s="376"/>
      <c r="U80" s="381"/>
      <c r="V80" s="381"/>
      <c r="W80" s="382"/>
      <c r="X80" s="376"/>
      <c r="Y80" s="376"/>
      <c r="Z80" s="383"/>
    </row>
    <row r="81" spans="1:26" s="375" customFormat="1" x14ac:dyDescent="0.25">
      <c r="A81" s="391">
        <f>'A) Base RI'!A82</f>
        <v>5521</v>
      </c>
      <c r="B81" s="391" t="str">
        <f>'A) Base RI'!B82</f>
        <v>Etagnières</v>
      </c>
      <c r="C81" s="404">
        <v>0</v>
      </c>
      <c r="D81" s="377">
        <f>'B) D RI'!AR82</f>
        <v>1106</v>
      </c>
      <c r="E81" s="378">
        <f>'B) D RI'!S82</f>
        <v>73</v>
      </c>
      <c r="F81" s="18">
        <f>'B) D RI'!R82</f>
        <v>2649913.06</v>
      </c>
      <c r="G81" s="18">
        <f>'B) D RI'!U82</f>
        <v>36300.178904109591</v>
      </c>
      <c r="H81" s="73">
        <f>'B) D RI'!T82</f>
        <v>2437113.06</v>
      </c>
      <c r="I81" s="18">
        <f t="shared" si="9"/>
        <v>66770.220821917814</v>
      </c>
      <c r="J81" s="18">
        <f t="shared" si="10"/>
        <v>94989.649087028243</v>
      </c>
      <c r="K81" s="18">
        <f t="shared" si="6"/>
        <v>66770.220821917814</v>
      </c>
      <c r="L81" s="18">
        <f t="shared" si="11"/>
        <v>28219.428265110429</v>
      </c>
      <c r="M81" s="18">
        <f>'D) Ecrêtage'!N80</f>
        <v>36300.178904109591</v>
      </c>
      <c r="N81" s="18">
        <f t="shared" si="7"/>
        <v>49000.508736020194</v>
      </c>
      <c r="O81" s="98">
        <f t="shared" si="8"/>
        <v>115770.729557938</v>
      </c>
      <c r="P81" s="379"/>
      <c r="Q81" s="380"/>
      <c r="R81" s="379"/>
      <c r="T81" s="376"/>
      <c r="U81" s="381"/>
      <c r="V81" s="381"/>
      <c r="W81" s="382"/>
      <c r="X81" s="376"/>
      <c r="Y81" s="376"/>
      <c r="Z81" s="383"/>
    </row>
    <row r="82" spans="1:26" s="375" customFormat="1" x14ac:dyDescent="0.25">
      <c r="A82" s="391">
        <f>'A) Base RI'!A83</f>
        <v>5522</v>
      </c>
      <c r="B82" s="391" t="str">
        <f>'A) Base RI'!B83</f>
        <v>Fey</v>
      </c>
      <c r="C82" s="404">
        <v>0</v>
      </c>
      <c r="D82" s="377">
        <f>'B) D RI'!AR83</f>
        <v>620</v>
      </c>
      <c r="E82" s="378">
        <f>'B) D RI'!S83</f>
        <v>75</v>
      </c>
      <c r="F82" s="18">
        <f>'B) D RI'!R83</f>
        <v>1211953.48</v>
      </c>
      <c r="G82" s="18">
        <f>'B) D RI'!U83</f>
        <v>16159.379733333333</v>
      </c>
      <c r="H82" s="73">
        <f>'B) D RI'!T83</f>
        <v>1107436.78</v>
      </c>
      <c r="I82" s="18">
        <f t="shared" si="9"/>
        <v>29531.647466666669</v>
      </c>
      <c r="J82" s="18">
        <f t="shared" si="10"/>
        <v>53249.170374283458</v>
      </c>
      <c r="K82" s="18">
        <f t="shared" si="6"/>
        <v>29531.647466666669</v>
      </c>
      <c r="L82" s="18">
        <f t="shared" si="11"/>
        <v>23717.522907616789</v>
      </c>
      <c r="M82" s="18">
        <f>'D) Ecrêtage'!N81</f>
        <v>16159.379733333333</v>
      </c>
      <c r="N82" s="18">
        <f t="shared" si="7"/>
        <v>21813.055794670614</v>
      </c>
      <c r="O82" s="98">
        <f t="shared" si="8"/>
        <v>51344.703261337287</v>
      </c>
      <c r="P82" s="379"/>
      <c r="Q82" s="380"/>
      <c r="R82" s="379"/>
      <c r="T82" s="376"/>
      <c r="U82" s="381"/>
      <c r="V82" s="381"/>
      <c r="W82" s="382"/>
      <c r="X82" s="376"/>
      <c r="Y82" s="376"/>
      <c r="Z82" s="383"/>
    </row>
    <row r="83" spans="1:26" s="375" customFormat="1" x14ac:dyDescent="0.25">
      <c r="A83" s="391">
        <f>'A) Base RI'!A84</f>
        <v>5523</v>
      </c>
      <c r="B83" s="391" t="str">
        <f>'A) Base RI'!B84</f>
        <v>Froideville</v>
      </c>
      <c r="C83" s="404">
        <v>0</v>
      </c>
      <c r="D83" s="377">
        <f>'B) D RI'!AR84</f>
        <v>2305</v>
      </c>
      <c r="E83" s="378">
        <f>'B) D RI'!S84</f>
        <v>76</v>
      </c>
      <c r="F83" s="18">
        <f>'B) D RI'!R84</f>
        <v>5490458.5800000001</v>
      </c>
      <c r="G83" s="18">
        <f>'B) D RI'!U84</f>
        <v>72242.876052631575</v>
      </c>
      <c r="H83" s="73">
        <f>'B) D RI'!T84</f>
        <v>5094159.82</v>
      </c>
      <c r="I83" s="18">
        <f t="shared" si="9"/>
        <v>134056.83736842105</v>
      </c>
      <c r="J83" s="18">
        <f t="shared" si="10"/>
        <v>197966.67373019899</v>
      </c>
      <c r="K83" s="18">
        <f t="shared" si="6"/>
        <v>134056.83736842105</v>
      </c>
      <c r="L83" s="18">
        <f t="shared" si="11"/>
        <v>63909.83636177794</v>
      </c>
      <c r="M83" s="18">
        <f>'D) Ecrêtage'!N82</f>
        <v>72242.876052631575</v>
      </c>
      <c r="N83" s="18">
        <f t="shared" si="7"/>
        <v>97518.463710145428</v>
      </c>
      <c r="O83" s="98">
        <f t="shared" si="8"/>
        <v>231575.30107856647</v>
      </c>
      <c r="P83" s="379"/>
      <c r="Q83" s="380"/>
      <c r="R83" s="379"/>
      <c r="T83" s="376"/>
      <c r="U83" s="381"/>
      <c r="V83" s="381"/>
      <c r="W83" s="382"/>
      <c r="X83" s="376"/>
      <c r="Y83" s="376"/>
      <c r="Z83" s="383"/>
    </row>
    <row r="84" spans="1:26" s="375" customFormat="1" x14ac:dyDescent="0.25">
      <c r="A84" s="391">
        <f>'A) Base RI'!A85</f>
        <v>5527</v>
      </c>
      <c r="B84" s="391" t="str">
        <f>'A) Base RI'!B85</f>
        <v>Morrens</v>
      </c>
      <c r="C84" s="404">
        <v>0</v>
      </c>
      <c r="D84" s="377">
        <f>'B) D RI'!AR85</f>
        <v>1048</v>
      </c>
      <c r="E84" s="378">
        <f>'B) D RI'!S85</f>
        <v>71</v>
      </c>
      <c r="F84" s="18">
        <f>'B) D RI'!R85</f>
        <v>2680937.3600000008</v>
      </c>
      <c r="G84" s="18">
        <f>'B) D RI'!U85</f>
        <v>37759.681126760574</v>
      </c>
      <c r="H84" s="73">
        <f>'B) D RI'!T85</f>
        <v>2489689.060000001</v>
      </c>
      <c r="I84" s="18">
        <f t="shared" si="9"/>
        <v>70132.086197183133</v>
      </c>
      <c r="J84" s="18">
        <f t="shared" si="10"/>
        <v>90008.275084272682</v>
      </c>
      <c r="K84" s="18">
        <f t="shared" si="6"/>
        <v>70132.086197183133</v>
      </c>
      <c r="L84" s="18">
        <f t="shared" si="11"/>
        <v>19876.188887089549</v>
      </c>
      <c r="M84" s="18">
        <f>'D) Ecrêtage'!N83</f>
        <v>37759.681126760574</v>
      </c>
      <c r="N84" s="18">
        <f t="shared" si="7"/>
        <v>50970.646448017913</v>
      </c>
      <c r="O84" s="98">
        <f t="shared" si="8"/>
        <v>121102.73264520105</v>
      </c>
      <c r="P84" s="379"/>
      <c r="Q84" s="380"/>
      <c r="R84" s="379"/>
      <c r="T84" s="376"/>
      <c r="U84" s="381"/>
      <c r="V84" s="381"/>
      <c r="W84" s="382"/>
      <c r="X84" s="376"/>
      <c r="Y84" s="376"/>
      <c r="Z84" s="383"/>
    </row>
    <row r="85" spans="1:26" s="375" customFormat="1" x14ac:dyDescent="0.25">
      <c r="A85" s="391">
        <f>'A) Base RI'!A86</f>
        <v>5529</v>
      </c>
      <c r="B85" s="391" t="str">
        <f>'A) Base RI'!B86</f>
        <v>Oulens-sous-Echallens</v>
      </c>
      <c r="C85" s="404">
        <v>0</v>
      </c>
      <c r="D85" s="377">
        <f>'B) D RI'!AR86</f>
        <v>529</v>
      </c>
      <c r="E85" s="378">
        <f>'B) D RI'!S86</f>
        <v>74</v>
      </c>
      <c r="F85" s="18">
        <f>'B) D RI'!R86</f>
        <v>1435425.34</v>
      </c>
      <c r="G85" s="18">
        <f>'B) D RI'!U86</f>
        <v>19397.63972972973</v>
      </c>
      <c r="H85" s="73">
        <f>'B) D RI'!T86</f>
        <v>1334767.9400000002</v>
      </c>
      <c r="I85" s="18">
        <f t="shared" si="9"/>
        <v>36074.809189189196</v>
      </c>
      <c r="J85" s="18">
        <f t="shared" si="10"/>
        <v>45433.566335477342</v>
      </c>
      <c r="K85" s="18">
        <f t="shared" si="6"/>
        <v>36074.809189189196</v>
      </c>
      <c r="L85" s="18">
        <f t="shared" si="11"/>
        <v>9358.757146288146</v>
      </c>
      <c r="M85" s="18">
        <f>'D) Ecrêtage'!N84</f>
        <v>19397.63972972973</v>
      </c>
      <c r="N85" s="18">
        <f t="shared" si="7"/>
        <v>26184.284588393235</v>
      </c>
      <c r="O85" s="98">
        <f t="shared" si="8"/>
        <v>62259.093777582428</v>
      </c>
      <c r="P85" s="379"/>
      <c r="Q85" s="380"/>
      <c r="R85" s="379"/>
      <c r="T85" s="376"/>
      <c r="U85" s="381"/>
      <c r="V85" s="381"/>
      <c r="W85" s="382"/>
      <c r="X85" s="376"/>
      <c r="Y85" s="376"/>
      <c r="Z85" s="383"/>
    </row>
    <row r="86" spans="1:26" s="375" customFormat="1" x14ac:dyDescent="0.25">
      <c r="A86" s="391">
        <f>'A) Base RI'!A87</f>
        <v>5530</v>
      </c>
      <c r="B86" s="391" t="str">
        <f>'A) Base RI'!B87</f>
        <v>Pailly</v>
      </c>
      <c r="C86" s="404">
        <v>0</v>
      </c>
      <c r="D86" s="377">
        <f>'B) D RI'!AR87</f>
        <v>524</v>
      </c>
      <c r="E86" s="378">
        <f>'B) D RI'!S87</f>
        <v>77.5</v>
      </c>
      <c r="F86" s="18">
        <f>'B) D RI'!R87</f>
        <v>1077752.4033333333</v>
      </c>
      <c r="G86" s="18">
        <f>'B) D RI'!U87</f>
        <v>13906.482623655915</v>
      </c>
      <c r="H86" s="73">
        <f>'B) D RI'!T87</f>
        <v>1000212.5700000001</v>
      </c>
      <c r="I86" s="18">
        <f t="shared" si="9"/>
        <v>25811.937290322581</v>
      </c>
      <c r="J86" s="18">
        <f t="shared" si="10"/>
        <v>45004.137542136341</v>
      </c>
      <c r="K86" s="18">
        <f t="shared" si="6"/>
        <v>25811.937290322581</v>
      </c>
      <c r="L86" s="18">
        <f t="shared" si="11"/>
        <v>19192.20025181376</v>
      </c>
      <c r="M86" s="18">
        <f>'D) Ecrêtage'!N85</f>
        <v>13906.482623655915</v>
      </c>
      <c r="N86" s="18">
        <f t="shared" si="7"/>
        <v>18771.938427295732</v>
      </c>
      <c r="O86" s="98">
        <f t="shared" si="8"/>
        <v>44583.875717618314</v>
      </c>
      <c r="P86" s="379"/>
      <c r="Q86" s="380"/>
      <c r="R86" s="379"/>
      <c r="T86" s="376"/>
      <c r="U86" s="381"/>
      <c r="V86" s="381"/>
      <c r="W86" s="382"/>
      <c r="X86" s="376"/>
      <c r="Y86" s="376"/>
      <c r="Z86" s="383"/>
    </row>
    <row r="87" spans="1:26" s="375" customFormat="1" x14ac:dyDescent="0.25">
      <c r="A87" s="391">
        <f>'A) Base RI'!A88</f>
        <v>5531</v>
      </c>
      <c r="B87" s="391" t="str">
        <f>'A) Base RI'!B88</f>
        <v>Penthéréaz</v>
      </c>
      <c r="C87" s="404">
        <v>0</v>
      </c>
      <c r="D87" s="377">
        <f>'B) D RI'!AR88</f>
        <v>387</v>
      </c>
      <c r="E87" s="378">
        <f>'B) D RI'!S88</f>
        <v>78</v>
      </c>
      <c r="F87" s="18">
        <f>'B) D RI'!R88</f>
        <v>1028703.85</v>
      </c>
      <c r="G87" s="18">
        <f>'B) D RI'!U88</f>
        <v>13188.510897435897</v>
      </c>
      <c r="H87" s="73">
        <f>'B) D RI'!T88</f>
        <v>963982.5</v>
      </c>
      <c r="I87" s="18">
        <f t="shared" si="9"/>
        <v>24717.5</v>
      </c>
      <c r="J87" s="18">
        <f t="shared" si="10"/>
        <v>33237.788604593065</v>
      </c>
      <c r="K87" s="18">
        <f t="shared" si="6"/>
        <v>24717.5</v>
      </c>
      <c r="L87" s="18">
        <f t="shared" si="11"/>
        <v>8520.2886045930645</v>
      </c>
      <c r="M87" s="18">
        <f>'D) Ecrêtage'!N86</f>
        <v>13188.510897435897</v>
      </c>
      <c r="N87" s="18">
        <f t="shared" si="7"/>
        <v>17802.770205403674</v>
      </c>
      <c r="O87" s="98">
        <f t="shared" si="8"/>
        <v>42520.270205403678</v>
      </c>
      <c r="P87" s="379"/>
      <c r="Q87" s="380"/>
      <c r="R87" s="379"/>
      <c r="T87" s="376"/>
      <c r="U87" s="381"/>
      <c r="V87" s="381"/>
      <c r="W87" s="382"/>
      <c r="X87" s="376"/>
      <c r="Y87" s="376"/>
      <c r="Z87" s="383"/>
    </row>
    <row r="88" spans="1:26" s="375" customFormat="1" x14ac:dyDescent="0.25">
      <c r="A88" s="391">
        <f>'A) Base RI'!A89</f>
        <v>5533</v>
      </c>
      <c r="B88" s="391" t="str">
        <f>'A) Base RI'!B89</f>
        <v>Poliez-Pittet</v>
      </c>
      <c r="C88" s="404">
        <v>0</v>
      </c>
      <c r="D88" s="377">
        <f>'B) D RI'!AR89</f>
        <v>802</v>
      </c>
      <c r="E88" s="378">
        <f>'B) D RI'!S89</f>
        <v>71</v>
      </c>
      <c r="F88" s="18">
        <f>'B) D RI'!R89</f>
        <v>1652751.7866666666</v>
      </c>
      <c r="G88" s="18">
        <f>'B) D RI'!U89</f>
        <v>23278.194178403755</v>
      </c>
      <c r="H88" s="73">
        <f>'B) D RI'!T89</f>
        <v>1529925.3699999999</v>
      </c>
      <c r="I88" s="18">
        <f t="shared" si="9"/>
        <v>43096.489295774642</v>
      </c>
      <c r="J88" s="18">
        <f t="shared" si="10"/>
        <v>68880.378451895696</v>
      </c>
      <c r="K88" s="18">
        <f t="shared" si="6"/>
        <v>43096.489295774642</v>
      </c>
      <c r="L88" s="18">
        <f t="shared" si="11"/>
        <v>25783.889156121055</v>
      </c>
      <c r="M88" s="18">
        <f>'D) Ecrêtage'!N87</f>
        <v>23278.194178403755</v>
      </c>
      <c r="N88" s="18">
        <f t="shared" si="7"/>
        <v>31422.527150920294</v>
      </c>
      <c r="O88" s="98">
        <f t="shared" si="8"/>
        <v>74519.016446694935</v>
      </c>
      <c r="P88" s="379"/>
      <c r="Q88" s="380"/>
      <c r="R88" s="379"/>
      <c r="T88" s="376"/>
      <c r="U88" s="381"/>
      <c r="V88" s="381"/>
      <c r="W88" s="382"/>
      <c r="X88" s="376"/>
      <c r="Y88" s="376"/>
      <c r="Z88" s="383"/>
    </row>
    <row r="89" spans="1:26" s="375" customFormat="1" x14ac:dyDescent="0.25">
      <c r="A89" s="391">
        <f>'A) Base RI'!A90</f>
        <v>5534</v>
      </c>
      <c r="B89" s="391" t="str">
        <f>'A) Base RI'!B90</f>
        <v>Rueyres</v>
      </c>
      <c r="C89" s="404">
        <v>0</v>
      </c>
      <c r="D89" s="377">
        <f>'B) D RI'!AR90</f>
        <v>261</v>
      </c>
      <c r="E89" s="378">
        <f>'B) D RI'!S90</f>
        <v>73</v>
      </c>
      <c r="F89" s="18">
        <f>'B) D RI'!R90</f>
        <v>546904.78</v>
      </c>
      <c r="G89" s="18">
        <f>'B) D RI'!U90</f>
        <v>7491.8463013698638</v>
      </c>
      <c r="H89" s="73">
        <f>'B) D RI'!T90</f>
        <v>478345.58</v>
      </c>
      <c r="I89" s="18">
        <f t="shared" si="9"/>
        <v>13105.358356164385</v>
      </c>
      <c r="J89" s="18">
        <f t="shared" si="10"/>
        <v>22416.183012399972</v>
      </c>
      <c r="K89" s="18">
        <f t="shared" si="6"/>
        <v>13105.358356164385</v>
      </c>
      <c r="L89" s="18">
        <f t="shared" si="11"/>
        <v>9310.8246562355871</v>
      </c>
      <c r="M89" s="18">
        <f>'D) Ecrêtage'!N88</f>
        <v>7491.8463013698638</v>
      </c>
      <c r="N89" s="18">
        <f t="shared" si="7"/>
        <v>10113.01572669754</v>
      </c>
      <c r="O89" s="98">
        <f t="shared" si="8"/>
        <v>23218.374082861927</v>
      </c>
      <c r="P89" s="379"/>
      <c r="Q89" s="380"/>
      <c r="R89" s="379"/>
      <c r="T89" s="376"/>
      <c r="U89" s="381"/>
      <c r="V89" s="381"/>
      <c r="W89" s="382"/>
      <c r="X89" s="376"/>
      <c r="Y89" s="376"/>
      <c r="Z89" s="383"/>
    </row>
    <row r="90" spans="1:26" s="375" customFormat="1" x14ac:dyDescent="0.25">
      <c r="A90" s="391">
        <f>'A) Base RI'!A91</f>
        <v>5535</v>
      </c>
      <c r="B90" s="391" t="str">
        <f>'A) Base RI'!B91</f>
        <v>Saint-Barthélemy</v>
      </c>
      <c r="C90" s="404">
        <v>0</v>
      </c>
      <c r="D90" s="377">
        <f>'B) D RI'!AR91</f>
        <v>776</v>
      </c>
      <c r="E90" s="378">
        <f>'B) D RI'!S91</f>
        <v>77</v>
      </c>
      <c r="F90" s="18">
        <f>'B) D RI'!R91</f>
        <v>1565983.2599999998</v>
      </c>
      <c r="G90" s="18">
        <f>'B) D RI'!U91</f>
        <v>20337.444935064934</v>
      </c>
      <c r="H90" s="73">
        <f>'B) D RI'!T91</f>
        <v>1437685.5599999998</v>
      </c>
      <c r="I90" s="18">
        <f t="shared" si="9"/>
        <v>37342.482077922075</v>
      </c>
      <c r="J90" s="18">
        <f t="shared" si="10"/>
        <v>66647.348726522527</v>
      </c>
      <c r="K90" s="18">
        <f t="shared" si="6"/>
        <v>37342.482077922075</v>
      </c>
      <c r="L90" s="18">
        <f t="shared" si="11"/>
        <v>29304.866648600451</v>
      </c>
      <c r="M90" s="18">
        <f>'D) Ecrêtage'!N89</f>
        <v>20337.444935064934</v>
      </c>
      <c r="N90" s="18">
        <f t="shared" si="7"/>
        <v>27452.89908464222</v>
      </c>
      <c r="O90" s="98">
        <f t="shared" si="8"/>
        <v>64795.381162564299</v>
      </c>
      <c r="P90" s="379"/>
      <c r="Q90" s="380"/>
      <c r="R90" s="379"/>
      <c r="T90" s="376"/>
      <c r="U90" s="381"/>
      <c r="V90" s="381"/>
      <c r="W90" s="382"/>
      <c r="X90" s="376"/>
      <c r="Y90" s="376"/>
      <c r="Z90" s="383"/>
    </row>
    <row r="91" spans="1:26" s="375" customFormat="1" x14ac:dyDescent="0.25">
      <c r="A91" s="391">
        <f>'A) Base RI'!A92</f>
        <v>5537</v>
      </c>
      <c r="B91" s="391" t="str">
        <f>'A) Base RI'!B92</f>
        <v>Villars-le-Terroir</v>
      </c>
      <c r="C91" s="404">
        <v>0</v>
      </c>
      <c r="D91" s="377">
        <f>'B) D RI'!AR92</f>
        <v>944</v>
      </c>
      <c r="E91" s="378">
        <f>'B) D RI'!S92</f>
        <v>73</v>
      </c>
      <c r="F91" s="18">
        <f>'B) D RI'!R92</f>
        <v>2072616.0149999999</v>
      </c>
      <c r="G91" s="18">
        <f>'B) D RI'!U92</f>
        <v>28392.00020547945</v>
      </c>
      <c r="H91" s="73">
        <f>'B) D RI'!T92</f>
        <v>1911490.64</v>
      </c>
      <c r="I91" s="18">
        <f t="shared" si="9"/>
        <v>52369.606575342463</v>
      </c>
      <c r="J91" s="18">
        <f t="shared" si="10"/>
        <v>81076.156182779974</v>
      </c>
      <c r="K91" s="18">
        <f t="shared" si="6"/>
        <v>52369.606575342463</v>
      </c>
      <c r="L91" s="18">
        <f t="shared" si="11"/>
        <v>28706.549607437511</v>
      </c>
      <c r="M91" s="18">
        <f>'D) Ecrêtage'!N90</f>
        <v>28392.00020547945</v>
      </c>
      <c r="N91" s="18">
        <f t="shared" si="7"/>
        <v>38325.498554063073</v>
      </c>
      <c r="O91" s="98">
        <f t="shared" si="8"/>
        <v>90695.105129405536</v>
      </c>
      <c r="P91" s="379"/>
      <c r="Q91" s="380"/>
      <c r="R91" s="379"/>
      <c r="T91" s="376"/>
      <c r="U91" s="381"/>
      <c r="V91" s="381"/>
      <c r="W91" s="382"/>
      <c r="X91" s="376"/>
      <c r="Y91" s="376"/>
      <c r="Z91" s="383"/>
    </row>
    <row r="92" spans="1:26" s="375" customFormat="1" x14ac:dyDescent="0.25">
      <c r="A92" s="391">
        <f>'A) Base RI'!A93</f>
        <v>5539</v>
      </c>
      <c r="B92" s="391" t="str">
        <f>'A) Base RI'!B93</f>
        <v>Vuarrens</v>
      </c>
      <c r="C92" s="404">
        <v>0</v>
      </c>
      <c r="D92" s="377">
        <f>'B) D RI'!AR93</f>
        <v>930</v>
      </c>
      <c r="E92" s="378">
        <f>'B) D RI'!S93</f>
        <v>75</v>
      </c>
      <c r="F92" s="18">
        <f>'B) D RI'!R93</f>
        <v>1703686.13</v>
      </c>
      <c r="G92" s="18">
        <f>'B) D RI'!U93</f>
        <v>22715.815066666666</v>
      </c>
      <c r="H92" s="73">
        <f>'B) D RI'!T93</f>
        <v>1550173.63</v>
      </c>
      <c r="I92" s="18">
        <f t="shared" si="9"/>
        <v>41337.963466666661</v>
      </c>
      <c r="J92" s="18">
        <f t="shared" si="10"/>
        <v>79873.755561425191</v>
      </c>
      <c r="K92" s="18">
        <f t="shared" si="6"/>
        <v>41337.963466666661</v>
      </c>
      <c r="L92" s="18">
        <f t="shared" si="11"/>
        <v>38535.79209475853</v>
      </c>
      <c r="M92" s="18">
        <f>'D) Ecrêtage'!N91</f>
        <v>22715.815066666666</v>
      </c>
      <c r="N92" s="18">
        <f t="shared" si="7"/>
        <v>30663.388672555691</v>
      </c>
      <c r="O92" s="98">
        <f t="shared" si="8"/>
        <v>72001.352139222348</v>
      </c>
      <c r="P92" s="379"/>
      <c r="Q92" s="380"/>
      <c r="R92" s="379"/>
      <c r="T92" s="376"/>
      <c r="U92" s="381"/>
      <c r="V92" s="381"/>
      <c r="W92" s="382"/>
      <c r="X92" s="376"/>
      <c r="Y92" s="376"/>
      <c r="Z92" s="383"/>
    </row>
    <row r="93" spans="1:26" s="375" customFormat="1" x14ac:dyDescent="0.25">
      <c r="A93" s="391">
        <f>'A) Base RI'!A94</f>
        <v>5540</v>
      </c>
      <c r="B93" s="391" t="str">
        <f>'A) Base RI'!B94</f>
        <v>Montilliez</v>
      </c>
      <c r="C93" s="404">
        <v>0</v>
      </c>
      <c r="D93" s="377">
        <f>'B) D RI'!AR94</f>
        <v>1635</v>
      </c>
      <c r="E93" s="378">
        <f>'B) D RI'!S94</f>
        <v>74</v>
      </c>
      <c r="F93" s="18">
        <f>'B) D RI'!R94</f>
        <v>3642952.682500001</v>
      </c>
      <c r="G93" s="18">
        <f>'B) D RI'!U94</f>
        <v>49229.090304054065</v>
      </c>
      <c r="H93" s="73">
        <f>'B) D RI'!T94</f>
        <v>3373682.870000001</v>
      </c>
      <c r="I93" s="18">
        <f t="shared" si="9"/>
        <v>91180.61810810813</v>
      </c>
      <c r="J93" s="18">
        <f t="shared" si="10"/>
        <v>140423.21542250557</v>
      </c>
      <c r="K93" s="18">
        <f t="shared" si="6"/>
        <v>91180.61810810813</v>
      </c>
      <c r="L93" s="18">
        <f t="shared" si="11"/>
        <v>49242.597314397441</v>
      </c>
      <c r="M93" s="18">
        <f>'D) Ecrêtage'!N92</f>
        <v>49229.090304054065</v>
      </c>
      <c r="N93" s="18">
        <f t="shared" si="7"/>
        <v>66452.853466158384</v>
      </c>
      <c r="O93" s="98">
        <f t="shared" si="8"/>
        <v>157633.4715742665</v>
      </c>
      <c r="P93" s="379"/>
      <c r="Q93" s="380"/>
      <c r="R93" s="379"/>
      <c r="T93" s="376"/>
      <c r="U93" s="381"/>
      <c r="V93" s="381"/>
      <c r="W93" s="382"/>
      <c r="X93" s="376"/>
      <c r="Y93" s="376"/>
      <c r="Z93" s="383"/>
    </row>
    <row r="94" spans="1:26" s="375" customFormat="1" x14ac:dyDescent="0.25">
      <c r="A94" s="391">
        <f>'A) Base RI'!A95</f>
        <v>5541</v>
      </c>
      <c r="B94" s="391" t="str">
        <f>'A) Base RI'!B95</f>
        <v>Goumoëns</v>
      </c>
      <c r="C94" s="404">
        <v>0</v>
      </c>
      <c r="D94" s="377">
        <f>'B) D RI'!AR95</f>
        <v>962</v>
      </c>
      <c r="E94" s="378">
        <f>'B) D RI'!S95</f>
        <v>77</v>
      </c>
      <c r="F94" s="18">
        <f>'B) D RI'!R95</f>
        <v>2188282.3199999998</v>
      </c>
      <c r="G94" s="18">
        <f>'B) D RI'!U95</f>
        <v>28419.250909090908</v>
      </c>
      <c r="H94" s="73">
        <f>'B) D RI'!T95</f>
        <v>2026181.52</v>
      </c>
      <c r="I94" s="18">
        <f t="shared" si="9"/>
        <v>52628.091428571432</v>
      </c>
      <c r="J94" s="18">
        <f t="shared" si="10"/>
        <v>82622.099838807568</v>
      </c>
      <c r="K94" s="18">
        <f t="shared" si="6"/>
        <v>52628.091428571432</v>
      </c>
      <c r="L94" s="18">
        <f t="shared" si="11"/>
        <v>29994.008410236136</v>
      </c>
      <c r="M94" s="18">
        <f>'D) Ecrêtage'!N93</f>
        <v>28419.250909090908</v>
      </c>
      <c r="N94" s="18">
        <f t="shared" si="7"/>
        <v>38362.283451016425</v>
      </c>
      <c r="O94" s="98">
        <f t="shared" si="8"/>
        <v>90990.374879587849</v>
      </c>
      <c r="P94" s="379"/>
      <c r="Q94" s="380"/>
      <c r="R94" s="379"/>
      <c r="T94" s="376"/>
      <c r="U94" s="381"/>
      <c r="V94" s="381"/>
      <c r="W94" s="382"/>
      <c r="X94" s="376"/>
      <c r="Y94" s="376"/>
      <c r="Z94" s="383"/>
    </row>
    <row r="95" spans="1:26" s="375" customFormat="1" x14ac:dyDescent="0.25">
      <c r="A95" s="391">
        <f>'A) Base RI'!A96</f>
        <v>5551</v>
      </c>
      <c r="B95" s="391" t="str">
        <f>'A) Base RI'!B96</f>
        <v>Bonvillars</v>
      </c>
      <c r="C95" s="404">
        <v>0</v>
      </c>
      <c r="D95" s="377">
        <f>'B) D RI'!AR96</f>
        <v>514</v>
      </c>
      <c r="E95" s="378">
        <f>'B) D RI'!S96</f>
        <v>55</v>
      </c>
      <c r="F95" s="18">
        <f>'B) D RI'!R96</f>
        <v>1136182.6600000001</v>
      </c>
      <c r="G95" s="18">
        <f>'B) D RI'!U96</f>
        <v>20657.866545454548</v>
      </c>
      <c r="H95" s="73">
        <f>'B) D RI'!T96</f>
        <v>1043190.1600000001</v>
      </c>
      <c r="I95" s="18">
        <f t="shared" si="9"/>
        <v>37934.18763636364</v>
      </c>
      <c r="J95" s="18">
        <f t="shared" si="10"/>
        <v>44145.279955454353</v>
      </c>
      <c r="K95" s="18">
        <f t="shared" si="6"/>
        <v>37934.18763636364</v>
      </c>
      <c r="L95" s="18">
        <f t="shared" si="11"/>
        <v>6211.0923190907124</v>
      </c>
      <c r="M95" s="18">
        <f>'D) Ecrêtage'!N94</f>
        <v>20657.866545454548</v>
      </c>
      <c r="N95" s="18">
        <f t="shared" si="7"/>
        <v>27885.426482388142</v>
      </c>
      <c r="O95" s="98">
        <f t="shared" si="8"/>
        <v>65819.614118751779</v>
      </c>
      <c r="P95" s="379"/>
      <c r="Q95" s="380"/>
      <c r="R95" s="379"/>
      <c r="T95" s="376"/>
      <c r="U95" s="381"/>
      <c r="V95" s="381"/>
      <c r="W95" s="382"/>
      <c r="X95" s="376"/>
      <c r="Y95" s="376"/>
      <c r="Z95" s="383"/>
    </row>
    <row r="96" spans="1:26" s="375" customFormat="1" x14ac:dyDescent="0.25">
      <c r="A96" s="391">
        <f>'A) Base RI'!A97</f>
        <v>5552</v>
      </c>
      <c r="B96" s="391" t="str">
        <f>'A) Base RI'!B97</f>
        <v>Bullet</v>
      </c>
      <c r="C96" s="404">
        <v>0</v>
      </c>
      <c r="D96" s="377">
        <f>'B) D RI'!AR97</f>
        <v>596</v>
      </c>
      <c r="E96" s="378">
        <f>'B) D RI'!S97</f>
        <v>70</v>
      </c>
      <c r="F96" s="18">
        <f>'B) D RI'!R97</f>
        <v>1074082.7999999998</v>
      </c>
      <c r="G96" s="18">
        <f>'B) D RI'!U97</f>
        <v>15344.039999999997</v>
      </c>
      <c r="H96" s="73">
        <f>'B) D RI'!T97</f>
        <v>971002.99999999988</v>
      </c>
      <c r="I96" s="18">
        <f t="shared" si="9"/>
        <v>27742.942857142854</v>
      </c>
      <c r="J96" s="18">
        <f t="shared" si="10"/>
        <v>51187.912166246679</v>
      </c>
      <c r="K96" s="18">
        <f t="shared" si="6"/>
        <v>27742.942857142854</v>
      </c>
      <c r="L96" s="18">
        <f t="shared" si="11"/>
        <v>23444.969309103824</v>
      </c>
      <c r="M96" s="18">
        <f>'D) Ecrêtage'!N95</f>
        <v>15344.039999999997</v>
      </c>
      <c r="N96" s="18">
        <f t="shared" si="7"/>
        <v>20712.453457928372</v>
      </c>
      <c r="O96" s="98">
        <f t="shared" si="8"/>
        <v>48455.396315071222</v>
      </c>
      <c r="P96" s="379"/>
      <c r="Q96" s="380"/>
      <c r="R96" s="379"/>
      <c r="T96" s="376"/>
      <c r="U96" s="381"/>
      <c r="V96" s="381"/>
      <c r="W96" s="382"/>
      <c r="X96" s="376"/>
      <c r="Y96" s="376"/>
      <c r="Z96" s="383"/>
    </row>
    <row r="97" spans="1:26" s="375" customFormat="1" x14ac:dyDescent="0.25">
      <c r="A97" s="391">
        <f>'A) Base RI'!A98</f>
        <v>5553</v>
      </c>
      <c r="B97" s="391" t="str">
        <f>'A) Base RI'!B98</f>
        <v>Champagne</v>
      </c>
      <c r="C97" s="404">
        <v>0</v>
      </c>
      <c r="D97" s="377">
        <f>'B) D RI'!AR98</f>
        <v>1005</v>
      </c>
      <c r="E97" s="378">
        <f>'B) D RI'!S98</f>
        <v>63</v>
      </c>
      <c r="F97" s="18">
        <f>'B) D RI'!R98</f>
        <v>2177403.42</v>
      </c>
      <c r="G97" s="18">
        <f>'B) D RI'!U98</f>
        <v>34561.95904761905</v>
      </c>
      <c r="H97" s="73">
        <f>'B) D RI'!T98</f>
        <v>1989671.1700000002</v>
      </c>
      <c r="I97" s="18">
        <f t="shared" si="9"/>
        <v>63164.164126984135</v>
      </c>
      <c r="J97" s="18">
        <f t="shared" si="10"/>
        <v>86315.187461540132</v>
      </c>
      <c r="K97" s="18">
        <f t="shared" si="6"/>
        <v>63164.164126984135</v>
      </c>
      <c r="L97" s="18">
        <f t="shared" si="11"/>
        <v>23151.023334555997</v>
      </c>
      <c r="M97" s="18">
        <f>'D) Ecrêtage'!N96</f>
        <v>34561.95904761905</v>
      </c>
      <c r="N97" s="18">
        <f t="shared" si="7"/>
        <v>46654.138557292346</v>
      </c>
      <c r="O97" s="98">
        <f t="shared" si="8"/>
        <v>109818.30268427648</v>
      </c>
      <c r="P97" s="379"/>
      <c r="Q97" s="380"/>
      <c r="R97" s="379"/>
      <c r="T97" s="376"/>
      <c r="U97" s="381"/>
      <c r="V97" s="381"/>
      <c r="W97" s="382"/>
      <c r="X97" s="376"/>
      <c r="Y97" s="376"/>
      <c r="Z97" s="383"/>
    </row>
    <row r="98" spans="1:26" s="375" customFormat="1" x14ac:dyDescent="0.25">
      <c r="A98" s="391">
        <f>'A) Base RI'!A99</f>
        <v>5554</v>
      </c>
      <c r="B98" s="391" t="str">
        <f>'A) Base RI'!B99</f>
        <v>Concise</v>
      </c>
      <c r="C98" s="404">
        <v>0</v>
      </c>
      <c r="D98" s="377">
        <f>'B) D RI'!AR99</f>
        <v>932</v>
      </c>
      <c r="E98" s="378">
        <f>'B) D RI'!S99</f>
        <v>75</v>
      </c>
      <c r="F98" s="18">
        <f>'B) D RI'!R99</f>
        <v>2169583.9900000002</v>
      </c>
      <c r="G98" s="18">
        <f>'B) D RI'!U99</f>
        <v>28927.786533333336</v>
      </c>
      <c r="H98" s="73">
        <f>'B) D RI'!T99</f>
        <v>2016553.9400000002</v>
      </c>
      <c r="I98" s="18">
        <f t="shared" si="9"/>
        <v>53774.771733333335</v>
      </c>
      <c r="J98" s="18">
        <f t="shared" si="10"/>
        <v>80045.527078761588</v>
      </c>
      <c r="K98" s="18">
        <f t="shared" si="6"/>
        <v>53774.771733333335</v>
      </c>
      <c r="L98" s="18">
        <f t="shared" si="11"/>
        <v>26270.755345428253</v>
      </c>
      <c r="M98" s="18">
        <f>'D) Ecrêtage'!N97</f>
        <v>28927.786533333336</v>
      </c>
      <c r="N98" s="18">
        <f t="shared" si="7"/>
        <v>39048.740241328487</v>
      </c>
      <c r="O98" s="98">
        <f t="shared" si="8"/>
        <v>92823.511974661815</v>
      </c>
      <c r="P98" s="379"/>
      <c r="Q98" s="380"/>
      <c r="R98" s="379"/>
      <c r="T98" s="376"/>
      <c r="U98" s="381"/>
      <c r="V98" s="381"/>
      <c r="W98" s="382"/>
      <c r="X98" s="376"/>
      <c r="Y98" s="376"/>
      <c r="Z98" s="383"/>
    </row>
    <row r="99" spans="1:26" s="375" customFormat="1" x14ac:dyDescent="0.25">
      <c r="A99" s="391">
        <f>'A) Base RI'!A100</f>
        <v>5555</v>
      </c>
      <c r="B99" s="391" t="str">
        <f>'A) Base RI'!B100</f>
        <v>Corcelles-près-Concise</v>
      </c>
      <c r="C99" s="404">
        <v>0</v>
      </c>
      <c r="D99" s="377">
        <f>'B) D RI'!AR100</f>
        <v>331</v>
      </c>
      <c r="E99" s="378">
        <f>'B) D RI'!S100</f>
        <v>71</v>
      </c>
      <c r="F99" s="18">
        <f>'B) D RI'!R100</f>
        <v>678331.73999999987</v>
      </c>
      <c r="G99" s="18">
        <f>'B) D RI'!U100</f>
        <v>9553.9681690140824</v>
      </c>
      <c r="H99" s="73">
        <f>'B) D RI'!T100</f>
        <v>611526.93999999994</v>
      </c>
      <c r="I99" s="18">
        <f t="shared" si="9"/>
        <v>17226.110985915493</v>
      </c>
      <c r="J99" s="18">
        <f t="shared" si="10"/>
        <v>28428.186119173912</v>
      </c>
      <c r="K99" s="18">
        <f t="shared" si="6"/>
        <v>17226.110985915493</v>
      </c>
      <c r="L99" s="18">
        <f t="shared" si="11"/>
        <v>11202.075133258419</v>
      </c>
      <c r="M99" s="18">
        <f>'D) Ecrêtage'!N98</f>
        <v>9553.9681690140824</v>
      </c>
      <c r="N99" s="18">
        <f t="shared" si="7"/>
        <v>12896.611390431292</v>
      </c>
      <c r="O99" s="98">
        <f t="shared" si="8"/>
        <v>30122.722376346785</v>
      </c>
      <c r="P99" s="379"/>
      <c r="Q99" s="380"/>
      <c r="R99" s="379"/>
      <c r="T99" s="376"/>
      <c r="U99" s="381"/>
      <c r="V99" s="381"/>
      <c r="W99" s="382"/>
      <c r="X99" s="376"/>
      <c r="Y99" s="376"/>
      <c r="Z99" s="383"/>
    </row>
    <row r="100" spans="1:26" s="375" customFormat="1" x14ac:dyDescent="0.25">
      <c r="A100" s="391">
        <f>'A) Base RI'!A101</f>
        <v>5556</v>
      </c>
      <c r="B100" s="391" t="str">
        <f>'A) Base RI'!B101</f>
        <v>Fiez</v>
      </c>
      <c r="C100" s="404">
        <v>0</v>
      </c>
      <c r="D100" s="377">
        <f>'B) D RI'!AR101</f>
        <v>411</v>
      </c>
      <c r="E100" s="378">
        <f>'B) D RI'!S101</f>
        <v>69</v>
      </c>
      <c r="F100" s="18">
        <f>'B) D RI'!R101</f>
        <v>754197.26166666672</v>
      </c>
      <c r="G100" s="18">
        <f>'B) D RI'!U101</f>
        <v>10930.395096618358</v>
      </c>
      <c r="H100" s="73">
        <f>'B) D RI'!T101</f>
        <v>694362.97000000009</v>
      </c>
      <c r="I100" s="18">
        <f t="shared" si="9"/>
        <v>20126.462898550726</v>
      </c>
      <c r="J100" s="18">
        <f t="shared" si="10"/>
        <v>35299.046812629844</v>
      </c>
      <c r="K100" s="18">
        <f t="shared" si="6"/>
        <v>20126.462898550726</v>
      </c>
      <c r="L100" s="18">
        <f t="shared" si="11"/>
        <v>15172.583914079118</v>
      </c>
      <c r="M100" s="18">
        <f>'D) Ecrêtage'!N99</f>
        <v>10930.395096618358</v>
      </c>
      <c r="N100" s="18">
        <f t="shared" si="7"/>
        <v>14754.608285397866</v>
      </c>
      <c r="O100" s="98">
        <f t="shared" si="8"/>
        <v>34881.071183948588</v>
      </c>
      <c r="P100" s="379"/>
      <c r="Q100" s="380"/>
      <c r="R100" s="379"/>
      <c r="T100" s="376"/>
      <c r="U100" s="381"/>
      <c r="V100" s="381"/>
      <c r="W100" s="382"/>
      <c r="X100" s="376"/>
      <c r="Y100" s="376"/>
      <c r="Z100" s="383"/>
    </row>
    <row r="101" spans="1:26" s="375" customFormat="1" x14ac:dyDescent="0.25">
      <c r="A101" s="391">
        <f>'A) Base RI'!A102</f>
        <v>5557</v>
      </c>
      <c r="B101" s="391" t="str">
        <f>'A) Base RI'!B102</f>
        <v>Fontaines-sur-Grandson</v>
      </c>
      <c r="C101" s="404">
        <v>0</v>
      </c>
      <c r="D101" s="377">
        <f>'B) D RI'!AR102</f>
        <v>183</v>
      </c>
      <c r="E101" s="378">
        <f>'B) D RI'!S102</f>
        <v>69</v>
      </c>
      <c r="F101" s="18">
        <f>'B) D RI'!R102</f>
        <v>317043.38</v>
      </c>
      <c r="G101" s="18">
        <f>'B) D RI'!U102</f>
        <v>4594.8315942028985</v>
      </c>
      <c r="H101" s="73">
        <f>'B) D RI'!T102</f>
        <v>294363.28000000003</v>
      </c>
      <c r="I101" s="18">
        <f t="shared" si="9"/>
        <v>8532.2689855072476</v>
      </c>
      <c r="J101" s="18">
        <f t="shared" si="10"/>
        <v>15717.093836280441</v>
      </c>
      <c r="K101" s="18">
        <f t="shared" si="6"/>
        <v>8532.2689855072476</v>
      </c>
      <c r="L101" s="18">
        <f t="shared" si="11"/>
        <v>7184.8248507731932</v>
      </c>
      <c r="M101" s="18">
        <f>'D) Ecrêtage'!N100</f>
        <v>4594.8315942028985</v>
      </c>
      <c r="N101" s="18">
        <f t="shared" si="7"/>
        <v>6202.4235821821612</v>
      </c>
      <c r="O101" s="98">
        <f t="shared" si="8"/>
        <v>14734.69256768941</v>
      </c>
      <c r="P101" s="379"/>
      <c r="Q101" s="380"/>
      <c r="R101" s="379"/>
      <c r="T101" s="376"/>
      <c r="U101" s="381"/>
      <c r="V101" s="381"/>
      <c r="W101" s="382"/>
      <c r="X101" s="376"/>
      <c r="Y101" s="376"/>
      <c r="Z101" s="383"/>
    </row>
    <row r="102" spans="1:26" s="375" customFormat="1" x14ac:dyDescent="0.25">
      <c r="A102" s="391">
        <f>'A) Base RI'!A103</f>
        <v>5559</v>
      </c>
      <c r="B102" s="391" t="str">
        <f>'A) Base RI'!B103</f>
        <v>Giez</v>
      </c>
      <c r="C102" s="404">
        <v>0</v>
      </c>
      <c r="D102" s="377">
        <f>'B) D RI'!AR103</f>
        <v>384</v>
      </c>
      <c r="E102" s="378">
        <f>'B) D RI'!S103</f>
        <v>66</v>
      </c>
      <c r="F102" s="18">
        <f>'B) D RI'!R103</f>
        <v>973421.41</v>
      </c>
      <c r="G102" s="18">
        <f>'B) D RI'!U103</f>
        <v>14748.809242424242</v>
      </c>
      <c r="H102" s="73">
        <f>'B) D RI'!T103</f>
        <v>895657.01</v>
      </c>
      <c r="I102" s="18">
        <f t="shared" si="9"/>
        <v>27141.121515151517</v>
      </c>
      <c r="J102" s="18">
        <f t="shared" si="10"/>
        <v>32980.131328588468</v>
      </c>
      <c r="K102" s="18">
        <f t="shared" si="6"/>
        <v>27141.121515151517</v>
      </c>
      <c r="L102" s="18">
        <f t="shared" si="11"/>
        <v>5839.0098134369509</v>
      </c>
      <c r="M102" s="18">
        <f>'D) Ecrêtage'!N101</f>
        <v>14748.809242424242</v>
      </c>
      <c r="N102" s="18">
        <f t="shared" si="7"/>
        <v>19908.969540849474</v>
      </c>
      <c r="O102" s="98">
        <f t="shared" si="8"/>
        <v>47050.091056000994</v>
      </c>
      <c r="P102" s="379"/>
      <c r="Q102" s="380"/>
      <c r="R102" s="379"/>
      <c r="T102" s="376"/>
      <c r="U102" s="381"/>
      <c r="V102" s="381"/>
      <c r="W102" s="382"/>
      <c r="X102" s="376"/>
      <c r="Y102" s="376"/>
      <c r="Z102" s="383"/>
    </row>
    <row r="103" spans="1:26" s="375" customFormat="1" x14ac:dyDescent="0.25">
      <c r="A103" s="391">
        <f>'A) Base RI'!A104</f>
        <v>5560</v>
      </c>
      <c r="B103" s="391" t="str">
        <f>'A) Base RI'!B104</f>
        <v>Grandevent</v>
      </c>
      <c r="C103" s="404">
        <v>0</v>
      </c>
      <c r="D103" s="377">
        <f>'B) D RI'!AR104</f>
        <v>226</v>
      </c>
      <c r="E103" s="378">
        <f>'B) D RI'!S104</f>
        <v>66</v>
      </c>
      <c r="F103" s="18">
        <f>'B) D RI'!R104</f>
        <v>403732.71</v>
      </c>
      <c r="G103" s="18">
        <f>'B) D RI'!U104</f>
        <v>6117.1622727272734</v>
      </c>
      <c r="H103" s="73">
        <f>'B) D RI'!T104</f>
        <v>370024.96000000002</v>
      </c>
      <c r="I103" s="18">
        <f t="shared" si="9"/>
        <v>11212.877575757577</v>
      </c>
      <c r="J103" s="18">
        <f t="shared" si="10"/>
        <v>19410.181459013005</v>
      </c>
      <c r="K103" s="18">
        <f t="shared" si="6"/>
        <v>11212.877575757577</v>
      </c>
      <c r="L103" s="18">
        <f t="shared" si="11"/>
        <v>8197.3038832554284</v>
      </c>
      <c r="M103" s="18">
        <f>'D) Ecrêtage'!N102</f>
        <v>6117.1622727272734</v>
      </c>
      <c r="N103" s="18">
        <f t="shared" si="7"/>
        <v>8257.3715180916497</v>
      </c>
      <c r="O103" s="98">
        <f t="shared" si="8"/>
        <v>19470.249093849226</v>
      </c>
      <c r="P103" s="379"/>
      <c r="Q103" s="380"/>
      <c r="R103" s="379"/>
      <c r="T103" s="376"/>
      <c r="U103" s="381"/>
      <c r="V103" s="381"/>
      <c r="W103" s="382"/>
      <c r="X103" s="376"/>
      <c r="Y103" s="376"/>
      <c r="Z103" s="383"/>
    </row>
    <row r="104" spans="1:26" s="375" customFormat="1" x14ac:dyDescent="0.25">
      <c r="A104" s="391">
        <f>'A) Base RI'!A105</f>
        <v>5561</v>
      </c>
      <c r="B104" s="391" t="str">
        <f>'A) Base RI'!B105</f>
        <v>Grandson</v>
      </c>
      <c r="C104" s="404">
        <v>0</v>
      </c>
      <c r="D104" s="377">
        <f>'B) D RI'!AR105</f>
        <v>3244</v>
      </c>
      <c r="E104" s="378">
        <f>'B) D RI'!S105</f>
        <v>69</v>
      </c>
      <c r="F104" s="18">
        <f>'B) D RI'!R105</f>
        <v>7488929.5900000008</v>
      </c>
      <c r="G104" s="18">
        <f>'B) D RI'!U105</f>
        <v>108535.21144927538</v>
      </c>
      <c r="H104" s="73">
        <f>'B) D RI'!T105</f>
        <v>6952766.6900000004</v>
      </c>
      <c r="I104" s="18">
        <f t="shared" si="9"/>
        <v>201529.46927536232</v>
      </c>
      <c r="J104" s="18">
        <f t="shared" si="10"/>
        <v>278613.401119638</v>
      </c>
      <c r="K104" s="18">
        <f t="shared" si="6"/>
        <v>201529.46927536232</v>
      </c>
      <c r="L104" s="18">
        <f t="shared" si="11"/>
        <v>77083.931844275678</v>
      </c>
      <c r="M104" s="18">
        <f>'D) Ecrêtage'!N103</f>
        <v>108535.21144927538</v>
      </c>
      <c r="N104" s="18">
        <f t="shared" si="7"/>
        <v>146508.38473371623</v>
      </c>
      <c r="O104" s="98">
        <f t="shared" si="8"/>
        <v>348037.85400907858</v>
      </c>
      <c r="P104" s="379"/>
      <c r="Q104" s="380"/>
      <c r="R104" s="379"/>
      <c r="T104" s="376"/>
      <c r="U104" s="381"/>
      <c r="V104" s="381"/>
      <c r="W104" s="382"/>
      <c r="X104" s="376"/>
      <c r="Y104" s="376"/>
      <c r="Z104" s="383"/>
    </row>
    <row r="105" spans="1:26" s="375" customFormat="1" x14ac:dyDescent="0.25">
      <c r="A105" s="391">
        <f>'A) Base RI'!A106</f>
        <v>5562</v>
      </c>
      <c r="B105" s="391" t="str">
        <f>'A) Base RI'!B106</f>
        <v>Mauborget</v>
      </c>
      <c r="C105" s="404">
        <v>0</v>
      </c>
      <c r="D105" s="377">
        <f>'B) D RI'!AR106</f>
        <v>110</v>
      </c>
      <c r="E105" s="378">
        <f>'B) D RI'!S106</f>
        <v>70</v>
      </c>
      <c r="F105" s="18">
        <f>'B) D RI'!R106</f>
        <v>236460.06333333332</v>
      </c>
      <c r="G105" s="18">
        <f>'B) D RI'!U106</f>
        <v>3378.0009047619046</v>
      </c>
      <c r="H105" s="73">
        <f>'B) D RI'!T106</f>
        <v>209156.22999999998</v>
      </c>
      <c r="I105" s="18">
        <f t="shared" si="9"/>
        <v>5975.8922857142852</v>
      </c>
      <c r="J105" s="18">
        <f t="shared" si="10"/>
        <v>9447.4334535019043</v>
      </c>
      <c r="K105" s="18">
        <f t="shared" si="6"/>
        <v>5975.8922857142852</v>
      </c>
      <c r="L105" s="18">
        <f t="shared" si="11"/>
        <v>3471.5411677876191</v>
      </c>
      <c r="M105" s="18">
        <f>'D) Ecrêtage'!N104</f>
        <v>3378.0009047619046</v>
      </c>
      <c r="N105" s="18">
        <f t="shared" si="7"/>
        <v>4559.860800722684</v>
      </c>
      <c r="O105" s="98">
        <f t="shared" si="8"/>
        <v>10535.753086436969</v>
      </c>
      <c r="P105" s="379"/>
      <c r="Q105" s="380"/>
      <c r="R105" s="379"/>
      <c r="T105" s="376"/>
      <c r="U105" s="381"/>
      <c r="V105" s="381"/>
      <c r="W105" s="382"/>
      <c r="X105" s="376"/>
      <c r="Y105" s="376"/>
      <c r="Z105" s="383"/>
    </row>
    <row r="106" spans="1:26" s="375" customFormat="1" x14ac:dyDescent="0.25">
      <c r="A106" s="391">
        <f>'A) Base RI'!A107</f>
        <v>5563</v>
      </c>
      <c r="B106" s="391" t="str">
        <f>'A) Base RI'!B107</f>
        <v>Mutrux</v>
      </c>
      <c r="C106" s="404">
        <v>0</v>
      </c>
      <c r="D106" s="377">
        <f>'B) D RI'!AR107</f>
        <v>149</v>
      </c>
      <c r="E106" s="378">
        <f>'B) D RI'!S107</f>
        <v>78.5</v>
      </c>
      <c r="F106" s="18">
        <f>'B) D RI'!R107</f>
        <v>293091.94</v>
      </c>
      <c r="G106" s="18">
        <f>'B) D RI'!U107</f>
        <v>3733.6552866242037</v>
      </c>
      <c r="H106" s="73">
        <f>'B) D RI'!T107</f>
        <v>276956.44</v>
      </c>
      <c r="I106" s="18">
        <f t="shared" si="9"/>
        <v>7056.215031847134</v>
      </c>
      <c r="J106" s="18">
        <f t="shared" si="10"/>
        <v>12796.97804156167</v>
      </c>
      <c r="K106" s="18">
        <f t="shared" si="6"/>
        <v>7056.215031847134</v>
      </c>
      <c r="L106" s="18">
        <f t="shared" si="11"/>
        <v>5740.7630097145357</v>
      </c>
      <c r="M106" s="18">
        <f>'D) Ecrêtage'!N105</f>
        <v>3733.6552866242037</v>
      </c>
      <c r="N106" s="18">
        <f t="shared" si="7"/>
        <v>5039.9478463398191</v>
      </c>
      <c r="O106" s="98">
        <f t="shared" si="8"/>
        <v>12096.162878186953</v>
      </c>
      <c r="P106" s="379"/>
      <c r="Q106" s="380"/>
      <c r="R106" s="379"/>
      <c r="T106" s="376"/>
      <c r="U106" s="381"/>
      <c r="V106" s="381"/>
      <c r="W106" s="382"/>
      <c r="X106" s="376"/>
      <c r="Y106" s="376"/>
      <c r="Z106" s="383"/>
    </row>
    <row r="107" spans="1:26" s="375" customFormat="1" x14ac:dyDescent="0.25">
      <c r="A107" s="391">
        <f>'A) Base RI'!A108</f>
        <v>5564</v>
      </c>
      <c r="B107" s="391" t="str">
        <f>'A) Base RI'!B108</f>
        <v>Novalles</v>
      </c>
      <c r="C107" s="404">
        <v>0</v>
      </c>
      <c r="D107" s="377">
        <f>'B) D RI'!AR108</f>
        <v>102</v>
      </c>
      <c r="E107" s="378">
        <f>'B) D RI'!S108</f>
        <v>76</v>
      </c>
      <c r="F107" s="18">
        <f>'B) D RI'!R108</f>
        <v>182367.85750000001</v>
      </c>
      <c r="G107" s="18">
        <f>'B) D RI'!U108</f>
        <v>2399.5770723684213</v>
      </c>
      <c r="H107" s="73">
        <f>'B) D RI'!T108</f>
        <v>170696.92</v>
      </c>
      <c r="I107" s="18">
        <f t="shared" si="9"/>
        <v>4492.024210526316</v>
      </c>
      <c r="J107" s="18">
        <f t="shared" si="10"/>
        <v>8760.3473841563118</v>
      </c>
      <c r="K107" s="18">
        <f t="shared" si="6"/>
        <v>4492.024210526316</v>
      </c>
      <c r="L107" s="18">
        <f t="shared" si="11"/>
        <v>4268.3231736299958</v>
      </c>
      <c r="M107" s="18">
        <f>'D) Ecrêtage'!N106</f>
        <v>2399.5770723684213</v>
      </c>
      <c r="N107" s="18">
        <f t="shared" si="7"/>
        <v>3239.1161930067278</v>
      </c>
      <c r="O107" s="98">
        <f t="shared" si="8"/>
        <v>7731.1404035330434</v>
      </c>
      <c r="P107" s="379"/>
      <c r="Q107" s="380"/>
      <c r="R107" s="379"/>
      <c r="T107" s="376"/>
      <c r="U107" s="381"/>
      <c r="V107" s="381"/>
      <c r="W107" s="382"/>
      <c r="X107" s="376"/>
      <c r="Y107" s="376"/>
      <c r="Z107" s="383"/>
    </row>
    <row r="108" spans="1:26" s="375" customFormat="1" x14ac:dyDescent="0.25">
      <c r="A108" s="391">
        <f>'A) Base RI'!A109</f>
        <v>5565</v>
      </c>
      <c r="B108" s="391" t="str">
        <f>'A) Base RI'!B109</f>
        <v>Onnens</v>
      </c>
      <c r="C108" s="404">
        <v>0</v>
      </c>
      <c r="D108" s="377">
        <f>'B) D RI'!AR109</f>
        <v>500</v>
      </c>
      <c r="E108" s="378">
        <f>'B) D RI'!S109</f>
        <v>65</v>
      </c>
      <c r="F108" s="18">
        <f>'B) D RI'!R109</f>
        <v>1171822.6399999999</v>
      </c>
      <c r="G108" s="18">
        <f>'B) D RI'!U109</f>
        <v>18028.040615384612</v>
      </c>
      <c r="H108" s="73">
        <f>'B) D RI'!T109</f>
        <v>1044457.9399999998</v>
      </c>
      <c r="I108" s="18">
        <f t="shared" si="9"/>
        <v>32137.167384615379</v>
      </c>
      <c r="J108" s="18">
        <f t="shared" si="10"/>
        <v>42942.879334099569</v>
      </c>
      <c r="K108" s="18">
        <f t="shared" si="6"/>
        <v>32137.167384615379</v>
      </c>
      <c r="L108" s="18">
        <f t="shared" si="11"/>
        <v>10805.71194948419</v>
      </c>
      <c r="M108" s="18">
        <f>'D) Ecrêtage'!N107</f>
        <v>18028.040615384612</v>
      </c>
      <c r="N108" s="18">
        <f t="shared" si="7"/>
        <v>24335.504351122403</v>
      </c>
      <c r="O108" s="98">
        <f t="shared" si="8"/>
        <v>56472.671735737778</v>
      </c>
      <c r="P108" s="379"/>
      <c r="Q108" s="380"/>
      <c r="R108" s="379"/>
      <c r="T108" s="376"/>
      <c r="U108" s="381"/>
      <c r="V108" s="381"/>
      <c r="W108" s="382"/>
      <c r="X108" s="376"/>
      <c r="Y108" s="376"/>
      <c r="Z108" s="383"/>
    </row>
    <row r="109" spans="1:26" s="375" customFormat="1" x14ac:dyDescent="0.25">
      <c r="A109" s="391">
        <f>'A) Base RI'!A110</f>
        <v>5566</v>
      </c>
      <c r="B109" s="391" t="str">
        <f>'A) Base RI'!B110</f>
        <v>Provence</v>
      </c>
      <c r="C109" s="404">
        <v>0</v>
      </c>
      <c r="D109" s="377">
        <f>'B) D RI'!AR110</f>
        <v>373</v>
      </c>
      <c r="E109" s="378">
        <f>'B) D RI'!S110</f>
        <v>81</v>
      </c>
      <c r="F109" s="18">
        <f>'B) D RI'!R110</f>
        <v>563235.6</v>
      </c>
      <c r="G109" s="18">
        <f>'B) D RI'!U110</f>
        <v>6953.5259259259255</v>
      </c>
      <c r="H109" s="73">
        <f>'B) D RI'!T110</f>
        <v>514262.69999999995</v>
      </c>
      <c r="I109" s="18">
        <f t="shared" si="9"/>
        <v>12697.844444444443</v>
      </c>
      <c r="J109" s="18">
        <f t="shared" si="10"/>
        <v>32035.387983238277</v>
      </c>
      <c r="K109" s="18">
        <f t="shared" si="6"/>
        <v>12697.844444444443</v>
      </c>
      <c r="L109" s="18">
        <f t="shared" si="11"/>
        <v>19337.543538793834</v>
      </c>
      <c r="M109" s="18">
        <f>'D) Ecrêtage'!N108</f>
        <v>6953.5259259259255</v>
      </c>
      <c r="N109" s="18">
        <f t="shared" si="7"/>
        <v>9386.353405572394</v>
      </c>
      <c r="O109" s="98">
        <f t="shared" si="8"/>
        <v>22084.197850016837</v>
      </c>
      <c r="P109" s="379"/>
      <c r="Q109" s="380"/>
      <c r="R109" s="379"/>
      <c r="T109" s="376"/>
      <c r="U109" s="381"/>
      <c r="V109" s="381"/>
      <c r="W109" s="382"/>
      <c r="X109" s="376"/>
      <c r="Y109" s="376"/>
      <c r="Z109" s="383"/>
    </row>
    <row r="110" spans="1:26" s="375" customFormat="1" x14ac:dyDescent="0.25">
      <c r="A110" s="391">
        <f>'A) Base RI'!A111</f>
        <v>5568</v>
      </c>
      <c r="B110" s="391" t="str">
        <f>'A) Base RI'!B111</f>
        <v>Sainte-Croix</v>
      </c>
      <c r="C110" s="404">
        <v>0</v>
      </c>
      <c r="D110" s="377">
        <f>'B) D RI'!AR111</f>
        <v>4732</v>
      </c>
      <c r="E110" s="378">
        <f>'B) D RI'!S111</f>
        <v>70</v>
      </c>
      <c r="F110" s="18">
        <f>'B) D RI'!R111</f>
        <v>6690439.6800000006</v>
      </c>
      <c r="G110" s="18">
        <f>'B) D RI'!U111</f>
        <v>95577.709714285724</v>
      </c>
      <c r="H110" s="73">
        <f>'B) D RI'!T111</f>
        <v>6130329.0300000003</v>
      </c>
      <c r="I110" s="18">
        <f t="shared" si="9"/>
        <v>175152.258</v>
      </c>
      <c r="J110" s="18">
        <f t="shared" si="10"/>
        <v>406411.41001791827</v>
      </c>
      <c r="K110" s="18">
        <f t="shared" si="6"/>
        <v>175152.258</v>
      </c>
      <c r="L110" s="18">
        <f t="shared" si="11"/>
        <v>231259.15201791827</v>
      </c>
      <c r="M110" s="18">
        <f>'D) Ecrêtage'!N109</f>
        <v>95577.709714285724</v>
      </c>
      <c r="N110" s="18">
        <f t="shared" si="7"/>
        <v>129017.4467788491</v>
      </c>
      <c r="O110" s="98">
        <f t="shared" si="8"/>
        <v>304169.70477884909</v>
      </c>
      <c r="P110" s="379"/>
      <c r="Q110" s="380"/>
      <c r="R110" s="379"/>
      <c r="T110" s="376"/>
      <c r="U110" s="381"/>
      <c r="V110" s="381"/>
      <c r="W110" s="382"/>
      <c r="X110" s="376"/>
      <c r="Y110" s="376"/>
      <c r="Z110" s="383"/>
    </row>
    <row r="111" spans="1:26" s="375" customFormat="1" x14ac:dyDescent="0.25">
      <c r="A111" s="391">
        <f>'A) Base RI'!A112</f>
        <v>5571</v>
      </c>
      <c r="B111" s="391" t="str">
        <f>'A) Base RI'!B112</f>
        <v>Tévenon</v>
      </c>
      <c r="C111" s="404">
        <v>0</v>
      </c>
      <c r="D111" s="377">
        <f>'B) D RI'!AR112</f>
        <v>760</v>
      </c>
      <c r="E111" s="378">
        <f>'B) D RI'!S112</f>
        <v>73</v>
      </c>
      <c r="F111" s="18">
        <f>'B) D RI'!R112</f>
        <v>1441491.6266666667</v>
      </c>
      <c r="G111" s="18">
        <f>'B) D RI'!U112</f>
        <v>19746.460639269408</v>
      </c>
      <c r="H111" s="73">
        <f>'B) D RI'!T112</f>
        <v>1317981.71</v>
      </c>
      <c r="I111" s="18">
        <f t="shared" si="9"/>
        <v>36109.08794520548</v>
      </c>
      <c r="J111" s="18">
        <f t="shared" si="10"/>
        <v>65273.176587831338</v>
      </c>
      <c r="K111" s="18">
        <f t="shared" si="6"/>
        <v>36109.08794520548</v>
      </c>
      <c r="L111" s="18">
        <f t="shared" si="11"/>
        <v>29164.088642625858</v>
      </c>
      <c r="M111" s="18">
        <f>'D) Ecrêtage'!N110</f>
        <v>19746.460639269408</v>
      </c>
      <c r="N111" s="18">
        <f t="shared" si="7"/>
        <v>26655.147337316779</v>
      </c>
      <c r="O111" s="98">
        <f t="shared" si="8"/>
        <v>62764.235282522262</v>
      </c>
      <c r="P111" s="379"/>
      <c r="Q111" s="380"/>
      <c r="R111" s="379"/>
      <c r="T111" s="376"/>
      <c r="U111" s="381"/>
      <c r="V111" s="381"/>
      <c r="W111" s="382"/>
      <c r="X111" s="376"/>
      <c r="Y111" s="376"/>
      <c r="Z111" s="383"/>
    </row>
    <row r="112" spans="1:26" s="375" customFormat="1" x14ac:dyDescent="0.25">
      <c r="A112" s="391">
        <f>'A) Base RI'!A113</f>
        <v>5581</v>
      </c>
      <c r="B112" s="391" t="str">
        <f>'A) Base RI'!B113</f>
        <v>Belmont-sur-Lausanne</v>
      </c>
      <c r="C112" s="404">
        <v>1</v>
      </c>
      <c r="D112" s="377">
        <f>'B) D RI'!AR113</f>
        <v>3554</v>
      </c>
      <c r="E112" s="378">
        <f>'B) D RI'!S113</f>
        <v>69.5</v>
      </c>
      <c r="F112" s="18">
        <f>'B) D RI'!R113</f>
        <v>12525327.056666667</v>
      </c>
      <c r="G112" s="18">
        <f>'B) D RI'!U113</f>
        <v>180220.53318944844</v>
      </c>
      <c r="H112" s="73">
        <f>'B) D RI'!T113</f>
        <v>11737092.890000001</v>
      </c>
      <c r="I112" s="18">
        <f t="shared" si="9"/>
        <v>337758.06877697841</v>
      </c>
      <c r="J112" s="18">
        <f t="shared" si="10"/>
        <v>305237.98630677973</v>
      </c>
      <c r="K112" s="18">
        <f t="shared" si="6"/>
        <v>0</v>
      </c>
      <c r="L112" s="18">
        <f t="shared" si="11"/>
        <v>305237.98630677973</v>
      </c>
      <c r="M112" s="18">
        <f>'D) Ecrêtage'!N111</f>
        <v>180220.53318944844</v>
      </c>
      <c r="N112" s="18">
        <f t="shared" si="7"/>
        <v>243274.22281547016</v>
      </c>
      <c r="O112" s="98">
        <f t="shared" si="8"/>
        <v>243274.22281547016</v>
      </c>
      <c r="P112" s="379"/>
      <c r="Q112" s="380"/>
      <c r="R112" s="379"/>
      <c r="T112" s="376"/>
      <c r="U112" s="381"/>
      <c r="V112" s="381"/>
      <c r="W112" s="382"/>
      <c r="X112" s="376"/>
      <c r="Y112" s="376"/>
      <c r="Z112" s="383"/>
    </row>
    <row r="113" spans="1:26" s="375" customFormat="1" x14ac:dyDescent="0.25">
      <c r="A113" s="391">
        <f>'A) Base RI'!A114</f>
        <v>5582</v>
      </c>
      <c r="B113" s="391" t="str">
        <f>'A) Base RI'!B114</f>
        <v>Cheseaux-sur-Lausanne</v>
      </c>
      <c r="C113" s="404">
        <v>0</v>
      </c>
      <c r="D113" s="377">
        <f>'B) D RI'!AR114</f>
        <v>4080</v>
      </c>
      <c r="E113" s="378">
        <f>'B) D RI'!S114</f>
        <v>74.5</v>
      </c>
      <c r="F113" s="18">
        <f>'B) D RI'!R114</f>
        <v>10831435.279999999</v>
      </c>
      <c r="G113" s="18">
        <f>'B) D RI'!U114</f>
        <v>145388.39302013422</v>
      </c>
      <c r="H113" s="73">
        <f>'B) D RI'!T114</f>
        <v>10059219.379999999</v>
      </c>
      <c r="I113" s="18">
        <f t="shared" si="9"/>
        <v>270046.15785234899</v>
      </c>
      <c r="J113" s="18">
        <f t="shared" si="10"/>
        <v>350413.89536625246</v>
      </c>
      <c r="K113" s="18">
        <f t="shared" si="6"/>
        <v>270046.15785234899</v>
      </c>
      <c r="L113" s="18">
        <f t="shared" si="11"/>
        <v>80367.73751390347</v>
      </c>
      <c r="M113" s="18">
        <f>'D) Ecrêtage'!N112</f>
        <v>145388.39302013422</v>
      </c>
      <c r="N113" s="18">
        <f t="shared" si="7"/>
        <v>196255.37496985987</v>
      </c>
      <c r="O113" s="98">
        <f t="shared" si="8"/>
        <v>466301.53282220883</v>
      </c>
      <c r="P113" s="379"/>
      <c r="Q113" s="380"/>
      <c r="R113" s="379"/>
      <c r="T113" s="376"/>
      <c r="U113" s="381"/>
      <c r="V113" s="381"/>
      <c r="W113" s="382"/>
      <c r="X113" s="376"/>
      <c r="Y113" s="376"/>
      <c r="Z113" s="383"/>
    </row>
    <row r="114" spans="1:26" s="375" customFormat="1" x14ac:dyDescent="0.25">
      <c r="A114" s="391">
        <f>'A) Base RI'!A115</f>
        <v>5583</v>
      </c>
      <c r="B114" s="391" t="str">
        <f>'A) Base RI'!B115</f>
        <v>Crissier</v>
      </c>
      <c r="C114" s="404">
        <v>1</v>
      </c>
      <c r="D114" s="377">
        <f>'B) D RI'!AR115</f>
        <v>7407</v>
      </c>
      <c r="E114" s="378">
        <f>'B) D RI'!S115</f>
        <v>65</v>
      </c>
      <c r="F114" s="18">
        <f>'B) D RI'!R115</f>
        <v>19539685.630000003</v>
      </c>
      <c r="G114" s="18">
        <f>'B) D RI'!U115</f>
        <v>300610.54815384618</v>
      </c>
      <c r="H114" s="73">
        <f>'B) D RI'!T115</f>
        <v>17312637.980000004</v>
      </c>
      <c r="I114" s="18">
        <f t="shared" si="9"/>
        <v>532696.55323076935</v>
      </c>
      <c r="J114" s="18">
        <f t="shared" si="10"/>
        <v>636155.81445535098</v>
      </c>
      <c r="K114" s="18">
        <f t="shared" si="6"/>
        <v>0</v>
      </c>
      <c r="L114" s="18">
        <f t="shared" si="11"/>
        <v>636155.81445535098</v>
      </c>
      <c r="M114" s="18">
        <f>'D) Ecrêtage'!N113</f>
        <v>300610.54815384618</v>
      </c>
      <c r="N114" s="18">
        <f t="shared" si="7"/>
        <v>405785.04667603027</v>
      </c>
      <c r="O114" s="98">
        <f t="shared" si="8"/>
        <v>405785.04667603027</v>
      </c>
      <c r="P114" s="379"/>
      <c r="Q114" s="380"/>
      <c r="R114" s="379"/>
      <c r="T114" s="376"/>
      <c r="U114" s="381"/>
      <c r="V114" s="381"/>
      <c r="W114" s="382"/>
      <c r="X114" s="376"/>
      <c r="Y114" s="376"/>
      <c r="Z114" s="383"/>
    </row>
    <row r="115" spans="1:26" s="375" customFormat="1" x14ac:dyDescent="0.25">
      <c r="A115" s="391">
        <f>'A) Base RI'!A116</f>
        <v>5584</v>
      </c>
      <c r="B115" s="391" t="str">
        <f>'A) Base RI'!B116</f>
        <v>Epalinges</v>
      </c>
      <c r="C115" s="404">
        <v>0</v>
      </c>
      <c r="D115" s="377">
        <f>'B) D RI'!AR116</f>
        <v>8912</v>
      </c>
      <c r="E115" s="378">
        <f>'B) D RI'!S116</f>
        <v>66</v>
      </c>
      <c r="F115" s="18">
        <f>'B) D RI'!R116</f>
        <v>30459437.969999999</v>
      </c>
      <c r="G115" s="18">
        <f>'B) D RI'!U116</f>
        <v>461506.63590909087</v>
      </c>
      <c r="H115" s="73">
        <f>'B) D RI'!T116</f>
        <v>28432482.869999997</v>
      </c>
      <c r="I115" s="18">
        <f t="shared" si="9"/>
        <v>861590.3899999999</v>
      </c>
      <c r="J115" s="18">
        <f t="shared" si="10"/>
        <v>765413.88125099067</v>
      </c>
      <c r="K115" s="18">
        <f t="shared" si="6"/>
        <v>765413.88125099067</v>
      </c>
      <c r="L115" s="18">
        <f t="shared" si="11"/>
        <v>0</v>
      </c>
      <c r="M115" s="18">
        <f>'D) Ecrêtage'!N114</f>
        <v>461506.63590909087</v>
      </c>
      <c r="N115" s="18">
        <f t="shared" si="7"/>
        <v>622973.78765906114</v>
      </c>
      <c r="O115" s="98">
        <f t="shared" si="8"/>
        <v>1388387.6689100517</v>
      </c>
      <c r="P115" s="379"/>
      <c r="Q115" s="380"/>
      <c r="R115" s="379"/>
      <c r="T115" s="376"/>
      <c r="U115" s="381"/>
      <c r="V115" s="381"/>
      <c r="W115" s="382"/>
      <c r="X115" s="376"/>
      <c r="Y115" s="376"/>
      <c r="Z115" s="383"/>
    </row>
    <row r="116" spans="1:26" s="375" customFormat="1" x14ac:dyDescent="0.25">
      <c r="A116" s="391">
        <f>'A) Base RI'!A117</f>
        <v>5585</v>
      </c>
      <c r="B116" s="391" t="str">
        <f>'A) Base RI'!B117</f>
        <v>Jouxtens-Mézery</v>
      </c>
      <c r="C116" s="404">
        <v>0</v>
      </c>
      <c r="D116" s="377">
        <f>'B) D RI'!AR117</f>
        <v>1398</v>
      </c>
      <c r="E116" s="378">
        <f>'B) D RI'!S117</f>
        <v>55</v>
      </c>
      <c r="F116" s="18">
        <f>'B) D RI'!R117</f>
        <v>10536095.633333335</v>
      </c>
      <c r="G116" s="18">
        <f>'B) D RI'!U117</f>
        <v>191565.37515151518</v>
      </c>
      <c r="H116" s="73">
        <f>'B) D RI'!T117</f>
        <v>10083080.300000001</v>
      </c>
      <c r="I116" s="18">
        <f t="shared" si="9"/>
        <v>366657.46545454545</v>
      </c>
      <c r="J116" s="18">
        <f t="shared" si="10"/>
        <v>120068.29061814239</v>
      </c>
      <c r="K116" s="18">
        <f t="shared" si="6"/>
        <v>120068.29061814239</v>
      </c>
      <c r="L116" s="18">
        <f t="shared" si="11"/>
        <v>0</v>
      </c>
      <c r="M116" s="18">
        <f>'D) Ecrêtage'!N115</f>
        <v>134590.31495665171</v>
      </c>
      <c r="N116" s="18">
        <f t="shared" si="7"/>
        <v>181679.37742782017</v>
      </c>
      <c r="O116" s="98">
        <f t="shared" si="8"/>
        <v>301747.66804596258</v>
      </c>
      <c r="P116" s="379"/>
      <c r="Q116" s="380"/>
      <c r="R116" s="379"/>
      <c r="T116" s="376"/>
      <c r="U116" s="381"/>
      <c r="V116" s="381"/>
      <c r="W116" s="382"/>
      <c r="X116" s="376"/>
      <c r="Y116" s="376"/>
      <c r="Z116" s="383"/>
    </row>
    <row r="117" spans="1:26" s="375" customFormat="1" x14ac:dyDescent="0.25">
      <c r="A117" s="391">
        <f>'A) Base RI'!A118</f>
        <v>5586</v>
      </c>
      <c r="B117" s="391" t="str">
        <f>'A) Base RI'!B118</f>
        <v>Lausanne</v>
      </c>
      <c r="C117" s="404">
        <v>1</v>
      </c>
      <c r="D117" s="377">
        <f>'B) D RI'!AR118</f>
        <v>133521</v>
      </c>
      <c r="E117" s="378">
        <f>'B) D RI'!S118</f>
        <v>79</v>
      </c>
      <c r="F117" s="18">
        <f>'B) D RI'!R118</f>
        <v>476832418.48666662</v>
      </c>
      <c r="G117" s="18">
        <f>'B) D RI'!U118</f>
        <v>6035853.3985654004</v>
      </c>
      <c r="H117" s="73">
        <f>'B) D RI'!T118</f>
        <v>450705504.21999997</v>
      </c>
      <c r="I117" s="18">
        <f t="shared" si="9"/>
        <v>11410265.929620253</v>
      </c>
      <c r="J117" s="18">
        <f t="shared" si="10"/>
        <v>11467552.383136617</v>
      </c>
      <c r="K117" s="18">
        <f t="shared" si="6"/>
        <v>0</v>
      </c>
      <c r="L117" s="18">
        <f t="shared" si="11"/>
        <v>11467552.383136617</v>
      </c>
      <c r="M117" s="18">
        <f>'D) Ecrêtage'!N116</f>
        <v>6035853.3985654004</v>
      </c>
      <c r="N117" s="18">
        <f t="shared" si="7"/>
        <v>8147615.1389506711</v>
      </c>
      <c r="O117" s="98">
        <f t="shared" si="8"/>
        <v>8147615.1389506711</v>
      </c>
      <c r="P117" s="379"/>
      <c r="Q117" s="380"/>
      <c r="R117" s="379"/>
      <c r="T117" s="376"/>
      <c r="U117" s="381"/>
      <c r="V117" s="381"/>
      <c r="W117" s="382"/>
      <c r="X117" s="376"/>
      <c r="Y117" s="376"/>
      <c r="Z117" s="383"/>
    </row>
    <row r="118" spans="1:26" s="375" customFormat="1" x14ac:dyDescent="0.25">
      <c r="A118" s="391">
        <f>'A) Base RI'!A119</f>
        <v>5587</v>
      </c>
      <c r="B118" s="391" t="str">
        <f>'A) Base RI'!B119</f>
        <v>Le Mont-sur-Lausanne</v>
      </c>
      <c r="C118" s="404">
        <v>0</v>
      </c>
      <c r="D118" s="377">
        <f>'B) D RI'!AR119</f>
        <v>6937</v>
      </c>
      <c r="E118" s="378">
        <f>'B) D RI'!S119</f>
        <v>75</v>
      </c>
      <c r="F118" s="18">
        <f>'B) D RI'!R119</f>
        <v>26178853.876666665</v>
      </c>
      <c r="G118" s="18">
        <f>'B) D RI'!U119</f>
        <v>349051.38502222218</v>
      </c>
      <c r="H118" s="73">
        <f>'B) D RI'!T119</f>
        <v>24351616.709999997</v>
      </c>
      <c r="I118" s="18">
        <f t="shared" si="9"/>
        <v>649376.44559999998</v>
      </c>
      <c r="J118" s="18">
        <f t="shared" si="10"/>
        <v>595789.50788129738</v>
      </c>
      <c r="K118" s="18">
        <f t="shared" si="6"/>
        <v>595789.50788129738</v>
      </c>
      <c r="L118" s="18">
        <f t="shared" si="11"/>
        <v>0</v>
      </c>
      <c r="M118" s="18">
        <f>'D) Ecrêtage'!N117</f>
        <v>349051.38502222218</v>
      </c>
      <c r="N118" s="18">
        <f t="shared" si="7"/>
        <v>471173.86077579402</v>
      </c>
      <c r="O118" s="98">
        <f t="shared" si="8"/>
        <v>1066963.3686570914</v>
      </c>
      <c r="P118" s="379"/>
      <c r="Q118" s="380"/>
      <c r="R118" s="379"/>
      <c r="T118" s="376"/>
      <c r="U118" s="381"/>
      <c r="V118" s="381"/>
      <c r="W118" s="382"/>
      <c r="X118" s="376"/>
      <c r="Y118" s="376"/>
      <c r="Z118" s="383"/>
    </row>
    <row r="119" spans="1:26" s="375" customFormat="1" x14ac:dyDescent="0.25">
      <c r="A119" s="391">
        <f>'A) Base RI'!A120</f>
        <v>5588</v>
      </c>
      <c r="B119" s="391" t="str">
        <f>'A) Base RI'!B120</f>
        <v>Paudex</v>
      </c>
      <c r="C119" s="404">
        <v>1</v>
      </c>
      <c r="D119" s="377">
        <f>'B) D RI'!AR120</f>
        <v>1454</v>
      </c>
      <c r="E119" s="378">
        <f>'B) D RI'!S120</f>
        <v>61.5</v>
      </c>
      <c r="F119" s="18">
        <f>'B) D RI'!R120</f>
        <v>9381845.6671428569</v>
      </c>
      <c r="G119" s="18">
        <f>'B) D RI'!U120</f>
        <v>152550.33605110337</v>
      </c>
      <c r="H119" s="73">
        <f>'B) D RI'!T120</f>
        <v>8874040.8100000005</v>
      </c>
      <c r="I119" s="18">
        <f t="shared" si="9"/>
        <v>288586.69300813013</v>
      </c>
      <c r="J119" s="18">
        <f t="shared" si="10"/>
        <v>124877.89310356154</v>
      </c>
      <c r="K119" s="18">
        <f t="shared" si="6"/>
        <v>0</v>
      </c>
      <c r="L119" s="18">
        <f t="shared" si="11"/>
        <v>124877.89310356154</v>
      </c>
      <c r="M119" s="18">
        <f>'D) Ecrêtage'!N118</f>
        <v>119438.63823447276</v>
      </c>
      <c r="N119" s="18">
        <f t="shared" si="7"/>
        <v>161226.58931479984</v>
      </c>
      <c r="O119" s="98">
        <f t="shared" si="8"/>
        <v>161226.58931479984</v>
      </c>
      <c r="P119" s="379"/>
      <c r="Q119" s="380"/>
      <c r="R119" s="379"/>
      <c r="T119" s="376"/>
      <c r="U119" s="381"/>
      <c r="V119" s="381"/>
      <c r="W119" s="382"/>
      <c r="X119" s="376"/>
      <c r="Y119" s="376"/>
      <c r="Z119" s="383"/>
    </row>
    <row r="120" spans="1:26" s="375" customFormat="1" x14ac:dyDescent="0.25">
      <c r="A120" s="391">
        <f>'A) Base RI'!A121</f>
        <v>5589</v>
      </c>
      <c r="B120" s="391" t="str">
        <f>'A) Base RI'!B121</f>
        <v>Prilly</v>
      </c>
      <c r="C120" s="404">
        <v>1</v>
      </c>
      <c r="D120" s="377">
        <f>'B) D RI'!AR121</f>
        <v>11824</v>
      </c>
      <c r="E120" s="378">
        <f>'B) D RI'!S121</f>
        <v>73.5</v>
      </c>
      <c r="F120" s="18">
        <f>'B) D RI'!R121</f>
        <v>30132354.610000003</v>
      </c>
      <c r="G120" s="18">
        <f>'B) D RI'!U121</f>
        <v>409964.00829931977</v>
      </c>
      <c r="H120" s="73">
        <f>'B) D RI'!T121</f>
        <v>27999570.010000002</v>
      </c>
      <c r="I120" s="18">
        <f t="shared" si="9"/>
        <v>761893.06149659865</v>
      </c>
      <c r="J120" s="18">
        <f t="shared" si="10"/>
        <v>1015513.2104927865</v>
      </c>
      <c r="K120" s="18">
        <f t="shared" si="6"/>
        <v>0</v>
      </c>
      <c r="L120" s="18">
        <f t="shared" si="11"/>
        <v>1015513.2104927865</v>
      </c>
      <c r="M120" s="18">
        <f>'D) Ecrêtage'!N119</f>
        <v>409964.00829931977</v>
      </c>
      <c r="N120" s="18">
        <f t="shared" si="7"/>
        <v>553397.96046708839</v>
      </c>
      <c r="O120" s="98">
        <f t="shared" si="8"/>
        <v>553397.96046708839</v>
      </c>
      <c r="P120" s="379"/>
      <c r="Q120" s="380"/>
      <c r="R120" s="379"/>
      <c r="T120" s="376"/>
      <c r="U120" s="381"/>
      <c r="V120" s="381"/>
      <c r="W120" s="382"/>
      <c r="X120" s="376"/>
      <c r="Y120" s="376"/>
      <c r="Z120" s="383"/>
    </row>
    <row r="121" spans="1:26" s="375" customFormat="1" x14ac:dyDescent="0.25">
      <c r="A121" s="391">
        <f>'A) Base RI'!A122</f>
        <v>5590</v>
      </c>
      <c r="B121" s="391" t="str">
        <f>'A) Base RI'!B122</f>
        <v>Pully</v>
      </c>
      <c r="C121" s="404">
        <v>1</v>
      </c>
      <c r="D121" s="377">
        <f>'B) D RI'!AR122</f>
        <v>17598</v>
      </c>
      <c r="E121" s="378">
        <f>'B) D RI'!S122</f>
        <v>63</v>
      </c>
      <c r="F121" s="18">
        <f>'B) D RI'!R122</f>
        <v>88970376.141428575</v>
      </c>
      <c r="G121" s="18">
        <f>'B) D RI'!U122</f>
        <v>1412228.1927210884</v>
      </c>
      <c r="H121" s="73">
        <f>'B) D RI'!T122</f>
        <v>84301872.570000008</v>
      </c>
      <c r="I121" s="18">
        <f t="shared" si="9"/>
        <v>2676249.922857143</v>
      </c>
      <c r="J121" s="18">
        <f t="shared" si="10"/>
        <v>1511417.5810429682</v>
      </c>
      <c r="K121" s="18">
        <f t="shared" si="6"/>
        <v>0</v>
      </c>
      <c r="L121" s="18">
        <f t="shared" si="11"/>
        <v>1511417.5810429682</v>
      </c>
      <c r="M121" s="18">
        <f>'D) Ecrêtage'!N120</f>
        <v>1233855.8034109231</v>
      </c>
      <c r="N121" s="18">
        <f t="shared" si="7"/>
        <v>1665544.465599905</v>
      </c>
      <c r="O121" s="98">
        <f t="shared" si="8"/>
        <v>1665544.465599905</v>
      </c>
      <c r="P121" s="379"/>
      <c r="Q121" s="380"/>
      <c r="R121" s="379"/>
      <c r="T121" s="376"/>
      <c r="U121" s="381"/>
      <c r="V121" s="381"/>
      <c r="W121" s="382"/>
      <c r="X121" s="376"/>
      <c r="Y121" s="376"/>
      <c r="Z121" s="383"/>
    </row>
    <row r="122" spans="1:26" s="375" customFormat="1" x14ac:dyDescent="0.25">
      <c r="A122" s="391">
        <f>'A) Base RI'!A123</f>
        <v>5591</v>
      </c>
      <c r="B122" s="391" t="str">
        <f>'A) Base RI'!B123</f>
        <v>Renens</v>
      </c>
      <c r="C122" s="404">
        <v>1</v>
      </c>
      <c r="D122" s="377">
        <f>'B) D RI'!AR123</f>
        <v>20307</v>
      </c>
      <c r="E122" s="378">
        <f>'B) D RI'!S123</f>
        <v>78.5</v>
      </c>
      <c r="F122" s="18">
        <f>'B) D RI'!R123</f>
        <v>39817156.324285716</v>
      </c>
      <c r="G122" s="18">
        <f>'B) D RI'!U123</f>
        <v>507224.92132848047</v>
      </c>
      <c r="H122" s="73">
        <f>'B) D RI'!T123</f>
        <v>36074712.859999999</v>
      </c>
      <c r="I122" s="18">
        <f t="shared" si="9"/>
        <v>919100.96458598727</v>
      </c>
      <c r="J122" s="18">
        <f t="shared" si="10"/>
        <v>1744082.1012751197</v>
      </c>
      <c r="K122" s="18">
        <f t="shared" si="6"/>
        <v>0</v>
      </c>
      <c r="L122" s="18">
        <f t="shared" si="11"/>
        <v>1744082.1012751197</v>
      </c>
      <c r="M122" s="18">
        <f>'D) Ecrêtage'!N121</f>
        <v>507224.92132848047</v>
      </c>
      <c r="N122" s="18">
        <f t="shared" si="7"/>
        <v>684687.51226649131</v>
      </c>
      <c r="O122" s="98">
        <f t="shared" si="8"/>
        <v>684687.51226649131</v>
      </c>
      <c r="P122" s="379"/>
      <c r="Q122" s="380"/>
      <c r="R122" s="379"/>
      <c r="T122" s="376"/>
      <c r="U122" s="381"/>
      <c r="V122" s="381"/>
      <c r="W122" s="382"/>
      <c r="X122" s="376"/>
      <c r="Y122" s="376"/>
      <c r="Z122" s="383"/>
    </row>
    <row r="123" spans="1:26" s="375" customFormat="1" x14ac:dyDescent="0.25">
      <c r="A123" s="391">
        <f>'A) Base RI'!A124</f>
        <v>5592</v>
      </c>
      <c r="B123" s="391" t="str">
        <f>'A) Base RI'!B124</f>
        <v>Romanel-sur-Lausanne</v>
      </c>
      <c r="C123" s="404">
        <v>0</v>
      </c>
      <c r="D123" s="377">
        <f>'B) D RI'!AR124</f>
        <v>3290</v>
      </c>
      <c r="E123" s="378">
        <f>'B) D RI'!S124</f>
        <v>70</v>
      </c>
      <c r="F123" s="18">
        <f>'B) D RI'!R124</f>
        <v>8082722.2200000007</v>
      </c>
      <c r="G123" s="18">
        <f>'B) D RI'!U124</f>
        <v>115467.46028571429</v>
      </c>
      <c r="H123" s="73">
        <f>'B) D RI'!T124</f>
        <v>7341064.0200000005</v>
      </c>
      <c r="I123" s="18">
        <f t="shared" si="9"/>
        <v>209744.6862857143</v>
      </c>
      <c r="J123" s="18">
        <f t="shared" si="10"/>
        <v>282564.14601837512</v>
      </c>
      <c r="K123" s="18">
        <f t="shared" si="6"/>
        <v>209744.6862857143</v>
      </c>
      <c r="L123" s="18">
        <f t="shared" si="11"/>
        <v>72819.45973266082</v>
      </c>
      <c r="M123" s="18">
        <f>'D) Ecrêtage'!N122</f>
        <v>115467.46028571429</v>
      </c>
      <c r="N123" s="18">
        <f t="shared" si="7"/>
        <v>155866.01684256885</v>
      </c>
      <c r="O123" s="98">
        <f t="shared" si="8"/>
        <v>365610.70312828314</v>
      </c>
      <c r="P123" s="379"/>
      <c r="Q123" s="380"/>
      <c r="R123" s="379"/>
      <c r="T123" s="376"/>
      <c r="U123" s="381"/>
      <c r="V123" s="381"/>
      <c r="W123" s="382"/>
      <c r="X123" s="376"/>
      <c r="Y123" s="376"/>
      <c r="Z123" s="383"/>
    </row>
    <row r="124" spans="1:26" s="375" customFormat="1" x14ac:dyDescent="0.25">
      <c r="A124" s="391">
        <f>'A) Base RI'!A125</f>
        <v>5601</v>
      </c>
      <c r="B124" s="391" t="str">
        <f>'A) Base RI'!B125</f>
        <v>Chexbres</v>
      </c>
      <c r="C124" s="404">
        <v>1</v>
      </c>
      <c r="D124" s="377">
        <f>'B) D RI'!AR125</f>
        <v>2180</v>
      </c>
      <c r="E124" s="378">
        <f>'B) D RI'!S125</f>
        <v>64</v>
      </c>
      <c r="F124" s="18">
        <f>'B) D RI'!R125</f>
        <v>6528317.9700000007</v>
      </c>
      <c r="G124" s="18">
        <f>'B) D RI'!U125</f>
        <v>102004.96828125001</v>
      </c>
      <c r="H124" s="73">
        <f>'B) D RI'!T125</f>
        <v>6112299.6700000009</v>
      </c>
      <c r="I124" s="18">
        <f t="shared" si="9"/>
        <v>191009.36468750003</v>
      </c>
      <c r="J124" s="18">
        <f t="shared" si="10"/>
        <v>187230.95389667409</v>
      </c>
      <c r="K124" s="18">
        <f t="shared" si="6"/>
        <v>0</v>
      </c>
      <c r="L124" s="18">
        <f t="shared" si="11"/>
        <v>187230.95389667409</v>
      </c>
      <c r="M124" s="18">
        <f>'D) Ecrêtage'!N123</f>
        <v>102004.96828125001</v>
      </c>
      <c r="N124" s="18">
        <f t="shared" si="7"/>
        <v>137693.40786408604</v>
      </c>
      <c r="O124" s="98">
        <f t="shared" si="8"/>
        <v>137693.40786408604</v>
      </c>
      <c r="P124" s="379"/>
      <c r="Q124" s="380"/>
      <c r="R124" s="379"/>
      <c r="T124" s="376"/>
      <c r="U124" s="381"/>
      <c r="V124" s="381"/>
      <c r="W124" s="382"/>
      <c r="X124" s="376"/>
      <c r="Y124" s="376"/>
      <c r="Z124" s="383"/>
    </row>
    <row r="125" spans="1:26" s="375" customFormat="1" x14ac:dyDescent="0.25">
      <c r="A125" s="391">
        <f>'A) Base RI'!A126</f>
        <v>5604</v>
      </c>
      <c r="B125" s="391" t="str">
        <f>'A) Base RI'!B126</f>
        <v>Forel (Lavaux)</v>
      </c>
      <c r="C125" s="404">
        <v>0</v>
      </c>
      <c r="D125" s="377">
        <f>'B) D RI'!AR126</f>
        <v>2072</v>
      </c>
      <c r="E125" s="378">
        <f>'B) D RI'!S126</f>
        <v>66</v>
      </c>
      <c r="F125" s="18">
        <f>'B) D RI'!R126</f>
        <v>4862826.2099999981</v>
      </c>
      <c r="G125" s="18">
        <f>'B) D RI'!U126</f>
        <v>73679.184999999969</v>
      </c>
      <c r="H125" s="73">
        <f>'B) D RI'!T126</f>
        <v>4511033.6599999983</v>
      </c>
      <c r="I125" s="18">
        <f t="shared" si="9"/>
        <v>136697.98969696966</v>
      </c>
      <c r="J125" s="18">
        <f t="shared" si="10"/>
        <v>177955.29196050859</v>
      </c>
      <c r="K125" s="18">
        <f t="shared" si="6"/>
        <v>136697.98969696966</v>
      </c>
      <c r="L125" s="18">
        <f t="shared" si="11"/>
        <v>41257.302263538935</v>
      </c>
      <c r="M125" s="18">
        <f>'D) Ecrêtage'!N124</f>
        <v>73679.184999999969</v>
      </c>
      <c r="N125" s="18">
        <f t="shared" si="7"/>
        <v>99457.29352442993</v>
      </c>
      <c r="O125" s="98">
        <f t="shared" si="8"/>
        <v>236155.28322139959</v>
      </c>
      <c r="P125" s="379"/>
      <c r="Q125" s="380"/>
      <c r="R125" s="379"/>
      <c r="T125" s="376"/>
      <c r="U125" s="381"/>
      <c r="V125" s="381"/>
      <c r="W125" s="382"/>
      <c r="X125" s="376"/>
      <c r="Y125" s="376"/>
      <c r="Z125" s="383"/>
    </row>
    <row r="126" spans="1:26" s="375" customFormat="1" x14ac:dyDescent="0.25">
      <c r="A126" s="391">
        <f>'A) Base RI'!A127</f>
        <v>5606</v>
      </c>
      <c r="B126" s="391" t="str">
        <f>'A) Base RI'!B127</f>
        <v>Lutry</v>
      </c>
      <c r="C126" s="404">
        <v>1</v>
      </c>
      <c r="D126" s="377">
        <f>'B) D RI'!AR127</f>
        <v>9648</v>
      </c>
      <c r="E126" s="378">
        <f>'B) D RI'!S127</f>
        <v>56</v>
      </c>
      <c r="F126" s="18">
        <f>'B) D RI'!R127</f>
        <v>45414442.917142868</v>
      </c>
      <c r="G126" s="18">
        <f>'B) D RI'!U127</f>
        <v>810972.19494897977</v>
      </c>
      <c r="H126" s="73">
        <f>'B) D RI'!T127</f>
        <v>42737035.06000001</v>
      </c>
      <c r="I126" s="18">
        <f t="shared" si="9"/>
        <v>1526322.6807142862</v>
      </c>
      <c r="J126" s="18">
        <f t="shared" si="10"/>
        <v>828625.79963078524</v>
      </c>
      <c r="K126" s="18">
        <f t="shared" si="6"/>
        <v>0</v>
      </c>
      <c r="L126" s="18">
        <f t="shared" si="11"/>
        <v>828625.79963078524</v>
      </c>
      <c r="M126" s="18">
        <f>'D) Ecrêtage'!N125</f>
        <v>696286.44029501616</v>
      </c>
      <c r="N126" s="18">
        <f t="shared" si="7"/>
        <v>939895.91320129158</v>
      </c>
      <c r="O126" s="98">
        <f t="shared" si="8"/>
        <v>939895.91320129158</v>
      </c>
      <c r="P126" s="379"/>
      <c r="Q126" s="380"/>
      <c r="R126" s="379"/>
      <c r="T126" s="376"/>
      <c r="U126" s="381"/>
      <c r="V126" s="381"/>
      <c r="W126" s="382"/>
      <c r="X126" s="376"/>
      <c r="Y126" s="376"/>
      <c r="Z126" s="383"/>
    </row>
    <row r="127" spans="1:26" s="375" customFormat="1" x14ac:dyDescent="0.25">
      <c r="A127" s="391">
        <f>'A) Base RI'!A128</f>
        <v>5607</v>
      </c>
      <c r="B127" s="391" t="str">
        <f>'A) Base RI'!B128</f>
        <v>Puidoux</v>
      </c>
      <c r="C127" s="404">
        <v>1</v>
      </c>
      <c r="D127" s="377">
        <f>'B) D RI'!AR128</f>
        <v>2815</v>
      </c>
      <c r="E127" s="378">
        <f>'B) D RI'!S128</f>
        <v>68</v>
      </c>
      <c r="F127" s="18">
        <f>'B) D RI'!R128</f>
        <v>6939192.9573913058</v>
      </c>
      <c r="G127" s="18">
        <f>'B) D RI'!U128</f>
        <v>102046.9552557545</v>
      </c>
      <c r="H127" s="73">
        <f>'B) D RI'!T128</f>
        <v>6332595.2400000012</v>
      </c>
      <c r="I127" s="18">
        <f t="shared" si="9"/>
        <v>186252.80117647062</v>
      </c>
      <c r="J127" s="18">
        <f t="shared" si="10"/>
        <v>241768.41065098054</v>
      </c>
      <c r="K127" s="18">
        <f t="shared" si="6"/>
        <v>0</v>
      </c>
      <c r="L127" s="18">
        <f t="shared" si="11"/>
        <v>241768.41065098054</v>
      </c>
      <c r="M127" s="18">
        <f>'D) Ecrêtage'!N126</f>
        <v>102046.9552557545</v>
      </c>
      <c r="N127" s="18">
        <f t="shared" si="7"/>
        <v>137750.0848054433</v>
      </c>
      <c r="O127" s="98">
        <f t="shared" si="8"/>
        <v>137750.0848054433</v>
      </c>
      <c r="P127" s="379"/>
      <c r="Q127" s="380"/>
      <c r="R127" s="379"/>
      <c r="T127" s="376"/>
      <c r="U127" s="381"/>
      <c r="V127" s="381"/>
      <c r="W127" s="382"/>
      <c r="X127" s="376"/>
      <c r="Y127" s="376"/>
      <c r="Z127" s="383"/>
    </row>
    <row r="128" spans="1:26" s="375" customFormat="1" x14ac:dyDescent="0.25">
      <c r="A128" s="391">
        <f>'A) Base RI'!A129</f>
        <v>5609</v>
      </c>
      <c r="B128" s="391" t="str">
        <f>'A) Base RI'!B129</f>
        <v>Rivaz</v>
      </c>
      <c r="C128" s="404">
        <v>1</v>
      </c>
      <c r="D128" s="377">
        <f>'B) D RI'!AR129</f>
        <v>345</v>
      </c>
      <c r="E128" s="378">
        <f>'B) D RI'!S129</f>
        <v>63.5</v>
      </c>
      <c r="F128" s="18">
        <f>'B) D RI'!R129</f>
        <v>1108556.3599999999</v>
      </c>
      <c r="G128" s="18">
        <f>'B) D RI'!U129</f>
        <v>17457.580472440943</v>
      </c>
      <c r="H128" s="73">
        <f>'B) D RI'!T129</f>
        <v>1059061.96</v>
      </c>
      <c r="I128" s="18">
        <f t="shared" si="9"/>
        <v>33356.282204724412</v>
      </c>
      <c r="J128" s="18">
        <f t="shared" si="10"/>
        <v>29630.586740528699</v>
      </c>
      <c r="K128" s="18">
        <f t="shared" si="6"/>
        <v>0</v>
      </c>
      <c r="L128" s="18">
        <f t="shared" si="11"/>
        <v>29630.586740528699</v>
      </c>
      <c r="M128" s="18">
        <f>'D) Ecrêtage'!N127</f>
        <v>17457.580472440943</v>
      </c>
      <c r="N128" s="18">
        <f t="shared" si="7"/>
        <v>23565.457534226465</v>
      </c>
      <c r="O128" s="98">
        <f t="shared" si="8"/>
        <v>23565.457534226465</v>
      </c>
      <c r="P128" s="379"/>
      <c r="Q128" s="380"/>
      <c r="R128" s="379"/>
      <c r="T128" s="376"/>
      <c r="U128" s="381"/>
      <c r="V128" s="381"/>
      <c r="W128" s="382"/>
      <c r="X128" s="376"/>
      <c r="Y128" s="376"/>
      <c r="Z128" s="383"/>
    </row>
    <row r="129" spans="1:26" s="375" customFormat="1" x14ac:dyDescent="0.25">
      <c r="A129" s="391">
        <f>'A) Base RI'!A130</f>
        <v>5610</v>
      </c>
      <c r="B129" s="391" t="str">
        <f>'A) Base RI'!B130</f>
        <v>St-Saphorin (Lavaux)</v>
      </c>
      <c r="C129" s="404">
        <v>1</v>
      </c>
      <c r="D129" s="377">
        <f>'B) D RI'!AR130</f>
        <v>378</v>
      </c>
      <c r="E129" s="378">
        <f>'B) D RI'!S130</f>
        <v>60</v>
      </c>
      <c r="F129" s="18">
        <f>'B) D RI'!R130</f>
        <v>1221345.3099999998</v>
      </c>
      <c r="G129" s="18">
        <f>'B) D RI'!U130</f>
        <v>20355.755166666662</v>
      </c>
      <c r="H129" s="73">
        <f>'B) D RI'!T130</f>
        <v>1136013.5599999998</v>
      </c>
      <c r="I129" s="18">
        <f t="shared" si="9"/>
        <v>37867.118666666662</v>
      </c>
      <c r="J129" s="18">
        <f t="shared" si="10"/>
        <v>32464.816776579271</v>
      </c>
      <c r="K129" s="18">
        <f t="shared" si="6"/>
        <v>0</v>
      </c>
      <c r="L129" s="18">
        <f t="shared" si="11"/>
        <v>32464.816776579271</v>
      </c>
      <c r="M129" s="18">
        <f>'D) Ecrêtage'!N128</f>
        <v>20355.755166666662</v>
      </c>
      <c r="N129" s="18">
        <f t="shared" si="7"/>
        <v>27477.615510033098</v>
      </c>
      <c r="O129" s="98">
        <f t="shared" si="8"/>
        <v>27477.615510033098</v>
      </c>
      <c r="P129" s="379"/>
      <c r="Q129" s="380"/>
      <c r="R129" s="379"/>
      <c r="T129" s="376"/>
      <c r="U129" s="381"/>
      <c r="V129" s="381"/>
      <c r="W129" s="382"/>
      <c r="X129" s="376"/>
      <c r="Y129" s="376"/>
      <c r="Z129" s="383"/>
    </row>
    <row r="130" spans="1:26" s="375" customFormat="1" x14ac:dyDescent="0.25">
      <c r="A130" s="391">
        <f>'A) Base RI'!A131</f>
        <v>5611</v>
      </c>
      <c r="B130" s="391" t="str">
        <f>'A) Base RI'!B131</f>
        <v>Savigny</v>
      </c>
      <c r="C130" s="404">
        <v>1</v>
      </c>
      <c r="D130" s="377">
        <f>'B) D RI'!AR131</f>
        <v>3304</v>
      </c>
      <c r="E130" s="378">
        <f>'B) D RI'!S131</f>
        <v>67</v>
      </c>
      <c r="F130" s="18">
        <f>'B) D RI'!R131</f>
        <v>8954484.0699999984</v>
      </c>
      <c r="G130" s="18">
        <f>'B) D RI'!U131</f>
        <v>133649.01597014922</v>
      </c>
      <c r="H130" s="73">
        <f>'B) D RI'!T131</f>
        <v>8352283.4699999988</v>
      </c>
      <c r="I130" s="18">
        <f t="shared" si="9"/>
        <v>249321.89462686563</v>
      </c>
      <c r="J130" s="18">
        <f t="shared" si="10"/>
        <v>283766.54663972993</v>
      </c>
      <c r="K130" s="18">
        <f t="shared" si="6"/>
        <v>0</v>
      </c>
      <c r="L130" s="18">
        <f t="shared" si="11"/>
        <v>283766.54663972993</v>
      </c>
      <c r="M130" s="18">
        <f>'D) Ecrêtage'!N129</f>
        <v>133649.01597014922</v>
      </c>
      <c r="N130" s="18">
        <f t="shared" si="7"/>
        <v>180408.7465217532</v>
      </c>
      <c r="O130" s="98">
        <f t="shared" si="8"/>
        <v>180408.7465217532</v>
      </c>
      <c r="P130" s="379"/>
      <c r="Q130" s="380"/>
      <c r="R130" s="379"/>
      <c r="T130" s="376"/>
      <c r="U130" s="381"/>
      <c r="V130" s="381"/>
      <c r="W130" s="382"/>
      <c r="X130" s="376"/>
      <c r="Y130" s="376"/>
      <c r="Z130" s="383"/>
    </row>
    <row r="131" spans="1:26" s="375" customFormat="1" x14ac:dyDescent="0.25">
      <c r="A131" s="391">
        <f>'A) Base RI'!A132</f>
        <v>5613</v>
      </c>
      <c r="B131" s="391" t="str">
        <f>'A) Base RI'!B132</f>
        <v>Bourg-en-Lavaux</v>
      </c>
      <c r="C131" s="404">
        <v>1</v>
      </c>
      <c r="D131" s="377">
        <f>'B) D RI'!AR132</f>
        <v>5184</v>
      </c>
      <c r="E131" s="378">
        <f>'B) D RI'!S132</f>
        <v>61</v>
      </c>
      <c r="F131" s="18">
        <f>'B) D RI'!R132</f>
        <v>19469465.626666665</v>
      </c>
      <c r="G131" s="18">
        <f>'B) D RI'!U132</f>
        <v>319171.56765027321</v>
      </c>
      <c r="H131" s="73">
        <f>'B) D RI'!T132</f>
        <v>18302321.359999999</v>
      </c>
      <c r="I131" s="18">
        <f t="shared" si="9"/>
        <v>600076.11016393441</v>
      </c>
      <c r="J131" s="18">
        <f t="shared" si="10"/>
        <v>445231.77293594432</v>
      </c>
      <c r="K131" s="18">
        <f t="shared" si="6"/>
        <v>0</v>
      </c>
      <c r="L131" s="18">
        <f t="shared" si="11"/>
        <v>445231.77293594432</v>
      </c>
      <c r="M131" s="18">
        <f>'D) Ecrêtage'!N130</f>
        <v>307312.25466076838</v>
      </c>
      <c r="N131" s="18">
        <f t="shared" si="7"/>
        <v>414831.47669793596</v>
      </c>
      <c r="O131" s="98">
        <f t="shared" si="8"/>
        <v>414831.47669793596</v>
      </c>
      <c r="P131" s="379"/>
      <c r="Q131" s="380"/>
      <c r="R131" s="379"/>
      <c r="T131" s="376"/>
      <c r="U131" s="381"/>
      <c r="V131" s="381"/>
      <c r="W131" s="382"/>
      <c r="X131" s="376"/>
      <c r="Y131" s="376"/>
      <c r="Z131" s="383"/>
    </row>
    <row r="132" spans="1:26" s="375" customFormat="1" x14ac:dyDescent="0.25">
      <c r="A132" s="391">
        <f>'A) Base RI'!A133</f>
        <v>5621</v>
      </c>
      <c r="B132" s="391" t="str">
        <f>'A) Base RI'!B133</f>
        <v>Aclens</v>
      </c>
      <c r="C132" s="404">
        <v>0</v>
      </c>
      <c r="D132" s="377">
        <f>'B) D RI'!AR133</f>
        <v>538</v>
      </c>
      <c r="E132" s="378">
        <f>'B) D RI'!S133</f>
        <v>62</v>
      </c>
      <c r="F132" s="18">
        <f>'B) D RI'!R133</f>
        <v>2526332.2727272734</v>
      </c>
      <c r="G132" s="18">
        <f>'B) D RI'!U133</f>
        <v>40747.294721407634</v>
      </c>
      <c r="H132" s="73">
        <f>'B) D RI'!T133</f>
        <v>2244637.5000000005</v>
      </c>
      <c r="I132" s="18">
        <f t="shared" si="9"/>
        <v>72407.661290322591</v>
      </c>
      <c r="J132" s="18">
        <f t="shared" si="10"/>
        <v>46206.538163491132</v>
      </c>
      <c r="K132" s="18">
        <f t="shared" si="6"/>
        <v>46206.538163491132</v>
      </c>
      <c r="L132" s="18">
        <f t="shared" si="11"/>
        <v>0</v>
      </c>
      <c r="M132" s="18">
        <f>'D) Ecrêtage'!N131</f>
        <v>36410.510833032451</v>
      </c>
      <c r="N132" s="18">
        <f t="shared" si="7"/>
        <v>49149.442455088851</v>
      </c>
      <c r="O132" s="98">
        <f t="shared" si="8"/>
        <v>95355.980618579983</v>
      </c>
      <c r="P132" s="379"/>
      <c r="Q132" s="380"/>
      <c r="R132" s="379"/>
      <c r="T132" s="376"/>
      <c r="U132" s="381"/>
      <c r="V132" s="381"/>
      <c r="W132" s="382"/>
      <c r="X132" s="376"/>
      <c r="Y132" s="376"/>
      <c r="Z132" s="383"/>
    </row>
    <row r="133" spans="1:26" s="375" customFormat="1" x14ac:dyDescent="0.25">
      <c r="A133" s="391">
        <f>'A) Base RI'!A134</f>
        <v>5622</v>
      </c>
      <c r="B133" s="391" t="str">
        <f>'A) Base RI'!B134</f>
        <v>Bremblens</v>
      </c>
      <c r="C133" s="404">
        <v>0</v>
      </c>
      <c r="D133" s="377">
        <f>'B) D RI'!AR134</f>
        <v>495</v>
      </c>
      <c r="E133" s="378">
        <f>'B) D RI'!S134</f>
        <v>66</v>
      </c>
      <c r="F133" s="18">
        <f>'B) D RI'!R134</f>
        <v>1703149.86</v>
      </c>
      <c r="G133" s="18">
        <f>'B) D RI'!U134</f>
        <v>25805.300909090911</v>
      </c>
      <c r="H133" s="73">
        <f>'B) D RI'!T134</f>
        <v>1575205.86</v>
      </c>
      <c r="I133" s="18">
        <f t="shared" si="9"/>
        <v>47733.51090909091</v>
      </c>
      <c r="J133" s="18">
        <f t="shared" si="10"/>
        <v>42513.450540758568</v>
      </c>
      <c r="K133" s="18">
        <f t="shared" si="6"/>
        <v>42513.450540758568</v>
      </c>
      <c r="L133" s="18">
        <f t="shared" si="11"/>
        <v>0</v>
      </c>
      <c r="M133" s="18">
        <f>'D) Ecrêtage'!N132</f>
        <v>25805.300909090911</v>
      </c>
      <c r="N133" s="18">
        <f t="shared" si="7"/>
        <v>34833.791755455684</v>
      </c>
      <c r="O133" s="98">
        <f t="shared" si="8"/>
        <v>77347.242296214245</v>
      </c>
      <c r="P133" s="379"/>
      <c r="Q133" s="380"/>
      <c r="R133" s="379"/>
      <c r="T133" s="376"/>
      <c r="U133" s="381"/>
      <c r="V133" s="381"/>
      <c r="W133" s="382"/>
      <c r="X133" s="376"/>
      <c r="Y133" s="376"/>
      <c r="Z133" s="383"/>
    </row>
    <row r="134" spans="1:26" s="375" customFormat="1" x14ac:dyDescent="0.25">
      <c r="A134" s="391">
        <f>'A) Base RI'!A135</f>
        <v>5623</v>
      </c>
      <c r="B134" s="391" t="str">
        <f>'A) Base RI'!B135</f>
        <v>Buchillon</v>
      </c>
      <c r="C134" s="404">
        <v>1</v>
      </c>
      <c r="D134" s="377">
        <f>'B) D RI'!AR135</f>
        <v>616</v>
      </c>
      <c r="E134" s="378">
        <f>'B) D RI'!S135</f>
        <v>53</v>
      </c>
      <c r="F134" s="18">
        <f>'B) D RI'!R135</f>
        <v>4860929.3100000005</v>
      </c>
      <c r="G134" s="18">
        <f>'B) D RI'!U135</f>
        <v>91715.647358490576</v>
      </c>
      <c r="H134" s="73">
        <f>'B) D RI'!T135</f>
        <v>4576267.8100000005</v>
      </c>
      <c r="I134" s="18">
        <f t="shared" si="9"/>
        <v>172689.35132075474</v>
      </c>
      <c r="J134" s="18">
        <f t="shared" si="10"/>
        <v>52905.627339610663</v>
      </c>
      <c r="K134" s="18">
        <f t="shared" ref="K134:K197" si="12">IF(C134=1,0,IF(J134&gt;I134,I134,J134))</f>
        <v>0</v>
      </c>
      <c r="L134" s="18">
        <f t="shared" si="11"/>
        <v>52905.627339610663</v>
      </c>
      <c r="M134" s="18">
        <f>'D) Ecrêtage'!N133</f>
        <v>61850.611171951925</v>
      </c>
      <c r="N134" s="18">
        <f t="shared" ref="N134:N197" si="13">+$N$5*M134</f>
        <v>83490.261055333467</v>
      </c>
      <c r="O134" s="98">
        <f t="shared" ref="O134:O197" si="14">+N134+K134</f>
        <v>83490.261055333467</v>
      </c>
      <c r="P134" s="379"/>
      <c r="Q134" s="380"/>
      <c r="R134" s="379"/>
      <c r="T134" s="376"/>
      <c r="U134" s="381"/>
      <c r="V134" s="381"/>
      <c r="W134" s="382"/>
      <c r="X134" s="376"/>
      <c r="Y134" s="376"/>
      <c r="Z134" s="383"/>
    </row>
    <row r="135" spans="1:26" s="375" customFormat="1" x14ac:dyDescent="0.25">
      <c r="A135" s="391">
        <f>'A) Base RI'!A136</f>
        <v>5624</v>
      </c>
      <c r="B135" s="391" t="str">
        <f>'A) Base RI'!B136</f>
        <v>Bussigny</v>
      </c>
      <c r="C135" s="404">
        <v>1</v>
      </c>
      <c r="D135" s="377">
        <f>'B) D RI'!AR136</f>
        <v>8208</v>
      </c>
      <c r="E135" s="378">
        <f>'B) D RI'!S136</f>
        <v>62</v>
      </c>
      <c r="F135" s="18">
        <f>'B) D RI'!R136</f>
        <v>22111208.16</v>
      </c>
      <c r="G135" s="18">
        <f>'B) D RI'!U136</f>
        <v>356632.38967741939</v>
      </c>
      <c r="H135" s="73">
        <f>'B) D RI'!T136</f>
        <v>20187031.559999999</v>
      </c>
      <c r="I135" s="18">
        <f t="shared" ref="I135:I198" si="15">+H135/E135*$I$5</f>
        <v>651194.56645161286</v>
      </c>
      <c r="J135" s="18">
        <f t="shared" ref="J135:J198" si="16">+$I$324/$D$324*D135</f>
        <v>704950.30714857846</v>
      </c>
      <c r="K135" s="18">
        <f t="shared" si="12"/>
        <v>0</v>
      </c>
      <c r="L135" s="18">
        <f t="shared" ref="L135:L198" si="17">+J135-K135</f>
        <v>704950.30714857846</v>
      </c>
      <c r="M135" s="18">
        <f>'D) Ecrêtage'!N134</f>
        <v>356632.38967741939</v>
      </c>
      <c r="N135" s="18">
        <f t="shared" si="13"/>
        <v>481407.22865577281</v>
      </c>
      <c r="O135" s="98">
        <f t="shared" si="14"/>
        <v>481407.22865577281</v>
      </c>
      <c r="P135" s="379"/>
      <c r="Q135" s="380"/>
      <c r="R135" s="379"/>
      <c r="T135" s="376"/>
      <c r="U135" s="381"/>
      <c r="V135" s="381"/>
      <c r="W135" s="382"/>
      <c r="X135" s="376"/>
      <c r="Y135" s="376"/>
      <c r="Z135" s="383"/>
    </row>
    <row r="136" spans="1:26" s="375" customFormat="1" x14ac:dyDescent="0.25">
      <c r="A136" s="391">
        <f>'A) Base RI'!A137</f>
        <v>5625</v>
      </c>
      <c r="B136" s="391" t="str">
        <f>'A) Base RI'!B137</f>
        <v>Bussy-Chardonney</v>
      </c>
      <c r="C136" s="404">
        <v>0</v>
      </c>
      <c r="D136" s="377">
        <f>'B) D RI'!AR137</f>
        <v>388</v>
      </c>
      <c r="E136" s="378">
        <f>'B) D RI'!S137</f>
        <v>72</v>
      </c>
      <c r="F136" s="18">
        <f>'B) D RI'!R137</f>
        <v>998653.67333333357</v>
      </c>
      <c r="G136" s="18">
        <f>'B) D RI'!U137</f>
        <v>13870.18990740741</v>
      </c>
      <c r="H136" s="73">
        <f>'B) D RI'!T137</f>
        <v>906565.0900000002</v>
      </c>
      <c r="I136" s="18">
        <f t="shared" si="15"/>
        <v>25182.363611111115</v>
      </c>
      <c r="J136" s="18">
        <f t="shared" si="16"/>
        <v>33323.674363261263</v>
      </c>
      <c r="K136" s="18">
        <f t="shared" si="12"/>
        <v>25182.363611111115</v>
      </c>
      <c r="L136" s="18">
        <f t="shared" si="17"/>
        <v>8141.3107521501479</v>
      </c>
      <c r="M136" s="18">
        <f>'D) Ecrêtage'!N135</f>
        <v>13870.18990740741</v>
      </c>
      <c r="N136" s="18">
        <f t="shared" si="13"/>
        <v>18722.947992171805</v>
      </c>
      <c r="O136" s="98">
        <f t="shared" si="14"/>
        <v>43905.31160328292</v>
      </c>
      <c r="P136" s="379"/>
      <c r="Q136" s="380"/>
      <c r="R136" s="379"/>
      <c r="T136" s="376"/>
      <c r="U136" s="381"/>
      <c r="V136" s="381"/>
      <c r="W136" s="382"/>
      <c r="X136" s="376"/>
      <c r="Y136" s="376"/>
      <c r="Z136" s="383"/>
    </row>
    <row r="137" spans="1:26" s="375" customFormat="1" x14ac:dyDescent="0.25">
      <c r="A137" s="391">
        <f>'A) Base RI'!A138</f>
        <v>5627</v>
      </c>
      <c r="B137" s="391" t="str">
        <f>'A) Base RI'!B138</f>
        <v>Chavannes-près-Renens</v>
      </c>
      <c r="C137" s="404">
        <v>1</v>
      </c>
      <c r="D137" s="377">
        <f>'B) D RI'!AR138</f>
        <v>7169</v>
      </c>
      <c r="E137" s="378">
        <f>'B) D RI'!S138</f>
        <v>79</v>
      </c>
      <c r="F137" s="18">
        <f>'B) D RI'!R138</f>
        <v>13484457.843333334</v>
      </c>
      <c r="G137" s="18">
        <f>'B) D RI'!U138</f>
        <v>170689.33978902953</v>
      </c>
      <c r="H137" s="73">
        <f>'B) D RI'!T138</f>
        <v>12533960.310000001</v>
      </c>
      <c r="I137" s="18">
        <f t="shared" si="15"/>
        <v>317315.45088607597</v>
      </c>
      <c r="J137" s="18">
        <f t="shared" si="16"/>
        <v>615715.00389231963</v>
      </c>
      <c r="K137" s="18">
        <f t="shared" si="12"/>
        <v>0</v>
      </c>
      <c r="L137" s="18">
        <f t="shared" si="17"/>
        <v>615715.00389231963</v>
      </c>
      <c r="M137" s="18">
        <f>'D) Ecrêtage'!N136</f>
        <v>170689.33978902953</v>
      </c>
      <c r="N137" s="18">
        <f t="shared" si="13"/>
        <v>230408.35439328861</v>
      </c>
      <c r="O137" s="98">
        <f t="shared" si="14"/>
        <v>230408.35439328861</v>
      </c>
      <c r="P137" s="379"/>
      <c r="Q137" s="380"/>
      <c r="R137" s="379"/>
      <c r="T137" s="376"/>
      <c r="U137" s="381"/>
      <c r="V137" s="381"/>
      <c r="W137" s="382"/>
      <c r="X137" s="376"/>
      <c r="Y137" s="376"/>
      <c r="Z137" s="383"/>
    </row>
    <row r="138" spans="1:26" s="375" customFormat="1" x14ac:dyDescent="0.25">
      <c r="A138" s="391">
        <f>'A) Base RI'!A139</f>
        <v>5628</v>
      </c>
      <c r="B138" s="391" t="str">
        <f>'A) Base RI'!B139</f>
        <v>Chigny</v>
      </c>
      <c r="C138" s="404">
        <v>0</v>
      </c>
      <c r="D138" s="377">
        <f>'B) D RI'!AR139</f>
        <v>330</v>
      </c>
      <c r="E138" s="378">
        <f>'B) D RI'!S139</f>
        <v>62</v>
      </c>
      <c r="F138" s="18">
        <f>'B) D RI'!R139</f>
        <v>1189297.7174999996</v>
      </c>
      <c r="G138" s="18">
        <f>'B) D RI'!U139</f>
        <v>19182.221249999991</v>
      </c>
      <c r="H138" s="73">
        <f>'B) D RI'!T139</f>
        <v>1108283.5299999996</v>
      </c>
      <c r="I138" s="18">
        <f t="shared" si="15"/>
        <v>35751.08161290321</v>
      </c>
      <c r="J138" s="18">
        <f t="shared" si="16"/>
        <v>28342.300360505713</v>
      </c>
      <c r="K138" s="18">
        <f t="shared" si="12"/>
        <v>28342.300360505713</v>
      </c>
      <c r="L138" s="18">
        <f t="shared" si="17"/>
        <v>0</v>
      </c>
      <c r="M138" s="18">
        <f>'D) Ecrêtage'!N137</f>
        <v>18836.036906773894</v>
      </c>
      <c r="N138" s="18">
        <f t="shared" si="13"/>
        <v>25426.193998671497</v>
      </c>
      <c r="O138" s="98">
        <f t="shared" si="14"/>
        <v>53768.49435917721</v>
      </c>
      <c r="P138" s="379"/>
      <c r="Q138" s="380"/>
      <c r="R138" s="379"/>
      <c r="T138" s="376"/>
      <c r="U138" s="381"/>
      <c r="V138" s="381"/>
      <c r="W138" s="382"/>
      <c r="X138" s="376"/>
      <c r="Y138" s="376"/>
      <c r="Z138" s="383"/>
    </row>
    <row r="139" spans="1:26" s="375" customFormat="1" x14ac:dyDescent="0.25">
      <c r="A139" s="391">
        <f>'A) Base RI'!A140</f>
        <v>5629</v>
      </c>
      <c r="B139" s="391" t="str">
        <f>'A) Base RI'!B140</f>
        <v>Clarmont</v>
      </c>
      <c r="C139" s="404">
        <v>0</v>
      </c>
      <c r="D139" s="377">
        <f>'B) D RI'!AR140</f>
        <v>155</v>
      </c>
      <c r="E139" s="378">
        <f>'B) D RI'!S140</f>
        <v>75</v>
      </c>
      <c r="F139" s="18">
        <f>'B) D RI'!R140</f>
        <v>584649.8899999999</v>
      </c>
      <c r="G139" s="18">
        <f>'B) D RI'!U140</f>
        <v>7795.3318666666655</v>
      </c>
      <c r="H139" s="73">
        <f>'B) D RI'!T140</f>
        <v>556279.28999999992</v>
      </c>
      <c r="I139" s="18">
        <f t="shared" si="15"/>
        <v>14834.114399999999</v>
      </c>
      <c r="J139" s="18">
        <f t="shared" si="16"/>
        <v>13312.292593570864</v>
      </c>
      <c r="K139" s="18">
        <f t="shared" si="12"/>
        <v>13312.292593570864</v>
      </c>
      <c r="L139" s="18">
        <f t="shared" si="17"/>
        <v>0</v>
      </c>
      <c r="M139" s="18">
        <f>'D) Ecrêtage'!N138</f>
        <v>7795.3318666666655</v>
      </c>
      <c r="N139" s="18">
        <f t="shared" si="13"/>
        <v>10522.681671674423</v>
      </c>
      <c r="O139" s="98">
        <f t="shared" si="14"/>
        <v>23834.974265245288</v>
      </c>
      <c r="P139" s="379"/>
      <c r="Q139" s="380"/>
      <c r="R139" s="379"/>
      <c r="T139" s="376"/>
      <c r="U139" s="381"/>
      <c r="V139" s="381"/>
      <c r="W139" s="382"/>
      <c r="X139" s="376"/>
      <c r="Y139" s="376"/>
      <c r="Z139" s="383"/>
    </row>
    <row r="140" spans="1:26" s="375" customFormat="1" x14ac:dyDescent="0.25">
      <c r="A140" s="391">
        <f>'A) Base RI'!A141</f>
        <v>5631</v>
      </c>
      <c r="B140" s="391" t="str">
        <f>'A) Base RI'!B141</f>
        <v>Denens</v>
      </c>
      <c r="C140" s="404">
        <v>0</v>
      </c>
      <c r="D140" s="377">
        <f>'B) D RI'!AR141</f>
        <v>699</v>
      </c>
      <c r="E140" s="378">
        <f>'B) D RI'!S141</f>
        <v>68</v>
      </c>
      <c r="F140" s="18">
        <f>'B) D RI'!R141</f>
        <v>2403837.5700000003</v>
      </c>
      <c r="G140" s="18">
        <f>'B) D RI'!U141</f>
        <v>35350.552500000005</v>
      </c>
      <c r="H140" s="73">
        <f>'B) D RI'!T141</f>
        <v>2242787.2700000005</v>
      </c>
      <c r="I140" s="18">
        <f t="shared" si="15"/>
        <v>65964.331470588251</v>
      </c>
      <c r="J140" s="18">
        <f t="shared" si="16"/>
        <v>60034.145309071195</v>
      </c>
      <c r="K140" s="18">
        <f t="shared" si="12"/>
        <v>60034.145309071195</v>
      </c>
      <c r="L140" s="18">
        <f t="shared" si="17"/>
        <v>0</v>
      </c>
      <c r="M140" s="18">
        <f>'D) Ecrêtage'!N139</f>
        <v>35350.552500000005</v>
      </c>
      <c r="N140" s="18">
        <f t="shared" si="13"/>
        <v>47718.636901904822</v>
      </c>
      <c r="O140" s="98">
        <f t="shared" si="14"/>
        <v>107752.78221097602</v>
      </c>
      <c r="P140" s="379"/>
      <c r="Q140" s="380"/>
      <c r="R140" s="379"/>
      <c r="T140" s="376"/>
      <c r="U140" s="381"/>
      <c r="V140" s="381"/>
      <c r="W140" s="382"/>
      <c r="X140" s="376"/>
      <c r="Y140" s="376"/>
      <c r="Z140" s="383"/>
    </row>
    <row r="141" spans="1:26" s="375" customFormat="1" x14ac:dyDescent="0.25">
      <c r="A141" s="391">
        <f>'A) Base RI'!A142</f>
        <v>5632</v>
      </c>
      <c r="B141" s="391" t="str">
        <f>'A) Base RI'!B142</f>
        <v>Denges</v>
      </c>
      <c r="C141" s="404">
        <v>0</v>
      </c>
      <c r="D141" s="377">
        <f>'B) D RI'!AR142</f>
        <v>1612</v>
      </c>
      <c r="E141" s="378">
        <f>'B) D RI'!S142</f>
        <v>62</v>
      </c>
      <c r="F141" s="18">
        <f>'B) D RI'!R142</f>
        <v>3819034.5449999999</v>
      </c>
      <c r="G141" s="18">
        <f>'B) D RI'!U142</f>
        <v>61597.331370967739</v>
      </c>
      <c r="H141" s="73">
        <f>'B) D RI'!T142</f>
        <v>3478848.92</v>
      </c>
      <c r="I141" s="18">
        <f t="shared" si="15"/>
        <v>112220.93290322581</v>
      </c>
      <c r="J141" s="18">
        <f t="shared" si="16"/>
        <v>138447.84297313701</v>
      </c>
      <c r="K141" s="18">
        <f t="shared" si="12"/>
        <v>112220.93290322581</v>
      </c>
      <c r="L141" s="18">
        <f t="shared" si="17"/>
        <v>26226.910069911202</v>
      </c>
      <c r="M141" s="18">
        <f>'D) Ecrêtage'!N140</f>
        <v>61597.331370967739</v>
      </c>
      <c r="N141" s="18">
        <f t="shared" si="13"/>
        <v>83148.366346396433</v>
      </c>
      <c r="O141" s="98">
        <f t="shared" si="14"/>
        <v>195369.29924962224</v>
      </c>
      <c r="P141" s="379"/>
      <c r="Q141" s="380"/>
      <c r="R141" s="379"/>
      <c r="T141" s="376"/>
      <c r="U141" s="381"/>
      <c r="V141" s="381"/>
      <c r="W141" s="382"/>
      <c r="X141" s="376"/>
      <c r="Y141" s="376"/>
      <c r="Z141" s="383"/>
    </row>
    <row r="142" spans="1:26" s="375" customFormat="1" x14ac:dyDescent="0.25">
      <c r="A142" s="391">
        <f>'A) Base RI'!A143</f>
        <v>5633</v>
      </c>
      <c r="B142" s="391" t="str">
        <f>'A) Base RI'!B143</f>
        <v>Echandens</v>
      </c>
      <c r="C142" s="404">
        <v>0</v>
      </c>
      <c r="D142" s="377">
        <f>'B) D RI'!AR143</f>
        <v>2405</v>
      </c>
      <c r="E142" s="378">
        <f>'B) D RI'!S143</f>
        <v>62</v>
      </c>
      <c r="F142" s="18">
        <f>'B) D RI'!R143</f>
        <v>7743747.3999999985</v>
      </c>
      <c r="G142" s="18">
        <f>'B) D RI'!U143</f>
        <v>124899.1516129032</v>
      </c>
      <c r="H142" s="73">
        <f>'B) D RI'!T143</f>
        <v>7221861.2999999989</v>
      </c>
      <c r="I142" s="18">
        <f t="shared" si="15"/>
        <v>232963.26774193544</v>
      </c>
      <c r="J142" s="18">
        <f t="shared" si="16"/>
        <v>206555.2495970189</v>
      </c>
      <c r="K142" s="18">
        <f t="shared" si="12"/>
        <v>206555.2495970189</v>
      </c>
      <c r="L142" s="18">
        <f t="shared" si="17"/>
        <v>0</v>
      </c>
      <c r="M142" s="18">
        <f>'D) Ecrêtage'!N141</f>
        <v>124899.1516129032</v>
      </c>
      <c r="N142" s="18">
        <f t="shared" si="13"/>
        <v>168597.5704388803</v>
      </c>
      <c r="O142" s="98">
        <f t="shared" si="14"/>
        <v>375152.82003589917</v>
      </c>
      <c r="P142" s="379"/>
      <c r="Q142" s="380"/>
      <c r="R142" s="379"/>
      <c r="T142" s="376"/>
      <c r="U142" s="381"/>
      <c r="V142" s="381"/>
      <c r="W142" s="382"/>
      <c r="X142" s="376"/>
      <c r="Y142" s="376"/>
      <c r="Z142" s="383"/>
    </row>
    <row r="143" spans="1:26" s="375" customFormat="1" x14ac:dyDescent="0.25">
      <c r="A143" s="391">
        <f>'A) Base RI'!A144</f>
        <v>5634</v>
      </c>
      <c r="B143" s="391" t="str">
        <f>'A) Base RI'!B144</f>
        <v>Echichens</v>
      </c>
      <c r="C143" s="404">
        <v>0</v>
      </c>
      <c r="D143" s="377">
        <f>'B) D RI'!AR144</f>
        <v>2570</v>
      </c>
      <c r="E143" s="378">
        <f>'B) D RI'!S144</f>
        <v>68</v>
      </c>
      <c r="F143" s="18">
        <f>'B) D RI'!R144</f>
        <v>8755510.7599999998</v>
      </c>
      <c r="G143" s="18">
        <f>'B) D RI'!U144</f>
        <v>128757.51117647058</v>
      </c>
      <c r="H143" s="73">
        <f>'B) D RI'!T144</f>
        <v>8279581.3599999994</v>
      </c>
      <c r="I143" s="18">
        <f t="shared" si="15"/>
        <v>243517.09882352941</v>
      </c>
      <c r="J143" s="18">
        <f t="shared" si="16"/>
        <v>220726.39977727176</v>
      </c>
      <c r="K143" s="18">
        <f t="shared" si="12"/>
        <v>220726.39977727176</v>
      </c>
      <c r="L143" s="18">
        <f t="shared" si="17"/>
        <v>0</v>
      </c>
      <c r="M143" s="18">
        <f>'D) Ecrêtage'!N142</f>
        <v>128757.51117647058</v>
      </c>
      <c r="N143" s="18">
        <f t="shared" si="13"/>
        <v>173805.85280026248</v>
      </c>
      <c r="O143" s="98">
        <f t="shared" si="14"/>
        <v>394532.25257753424</v>
      </c>
      <c r="P143" s="379"/>
      <c r="Q143" s="380"/>
      <c r="R143" s="379"/>
      <c r="T143" s="376"/>
      <c r="U143" s="381"/>
      <c r="V143" s="381"/>
      <c r="W143" s="382"/>
      <c r="X143" s="376"/>
      <c r="Y143" s="376"/>
      <c r="Z143" s="383"/>
    </row>
    <row r="144" spans="1:26" s="375" customFormat="1" x14ac:dyDescent="0.25">
      <c r="A144" s="391">
        <f>'A) Base RI'!A145</f>
        <v>5635</v>
      </c>
      <c r="B144" s="391" t="str">
        <f>'A) Base RI'!B145</f>
        <v>Ecublens</v>
      </c>
      <c r="C144" s="404">
        <v>1</v>
      </c>
      <c r="D144" s="377">
        <f>'B) D RI'!AR145</f>
        <v>12181</v>
      </c>
      <c r="E144" s="378">
        <f>'B) D RI'!S145</f>
        <v>62</v>
      </c>
      <c r="F144" s="18">
        <f>'B) D RI'!R145</f>
        <v>28329911.294210527</v>
      </c>
      <c r="G144" s="18">
        <f>'B) D RI'!U145</f>
        <v>456934.05313242786</v>
      </c>
      <c r="H144" s="73">
        <f>'B) D RI'!T145</f>
        <v>26211465.609999999</v>
      </c>
      <c r="I144" s="18">
        <f t="shared" si="15"/>
        <v>845531.14870967739</v>
      </c>
      <c r="J144" s="18">
        <f t="shared" si="16"/>
        <v>1046174.4263373336</v>
      </c>
      <c r="K144" s="18">
        <f t="shared" si="12"/>
        <v>0</v>
      </c>
      <c r="L144" s="18">
        <f t="shared" si="17"/>
        <v>1046174.4263373336</v>
      </c>
      <c r="M144" s="18">
        <f>'D) Ecrêtage'!N143</f>
        <v>456934.05313242786</v>
      </c>
      <c r="N144" s="18">
        <f t="shared" si="13"/>
        <v>616801.39707977709</v>
      </c>
      <c r="O144" s="98">
        <f t="shared" si="14"/>
        <v>616801.39707977709</v>
      </c>
      <c r="P144" s="379"/>
      <c r="Q144" s="380"/>
      <c r="R144" s="379"/>
      <c r="T144" s="376"/>
      <c r="U144" s="381"/>
      <c r="V144" s="381"/>
      <c r="W144" s="382"/>
      <c r="X144" s="376"/>
      <c r="Y144" s="376"/>
      <c r="Z144" s="383"/>
    </row>
    <row r="145" spans="1:26" s="375" customFormat="1" x14ac:dyDescent="0.25">
      <c r="A145" s="391">
        <f>'A) Base RI'!A146</f>
        <v>5636</v>
      </c>
      <c r="B145" s="391" t="str">
        <f>'A) Base RI'!B146</f>
        <v>Etoy</v>
      </c>
      <c r="C145" s="404">
        <v>0</v>
      </c>
      <c r="D145" s="377">
        <f>'B) D RI'!AR146</f>
        <v>2890</v>
      </c>
      <c r="E145" s="378">
        <f>'B) D RI'!S146</f>
        <v>61</v>
      </c>
      <c r="F145" s="18">
        <f>'B) D RI'!R146</f>
        <v>8648046.870000001</v>
      </c>
      <c r="G145" s="18">
        <f>'B) D RI'!U146</f>
        <v>141771.26016393444</v>
      </c>
      <c r="H145" s="73">
        <f>'B) D RI'!T146</f>
        <v>7724039.3700000001</v>
      </c>
      <c r="I145" s="18">
        <f t="shared" si="15"/>
        <v>253247.1924590164</v>
      </c>
      <c r="J145" s="18">
        <f t="shared" si="16"/>
        <v>248209.8425510955</v>
      </c>
      <c r="K145" s="18">
        <f t="shared" si="12"/>
        <v>248209.8425510955</v>
      </c>
      <c r="L145" s="18">
        <f t="shared" si="17"/>
        <v>0</v>
      </c>
      <c r="M145" s="18">
        <f>'D) Ecrêtage'!N144</f>
        <v>141771.26016393444</v>
      </c>
      <c r="N145" s="18">
        <f t="shared" si="13"/>
        <v>191372.71721250381</v>
      </c>
      <c r="O145" s="98">
        <f t="shared" si="14"/>
        <v>439582.5597635993</v>
      </c>
      <c r="P145" s="379"/>
      <c r="Q145" s="380"/>
      <c r="R145" s="379"/>
      <c r="T145" s="376"/>
      <c r="U145" s="381"/>
      <c r="V145" s="381"/>
      <c r="W145" s="382"/>
      <c r="X145" s="376"/>
      <c r="Y145" s="376"/>
      <c r="Z145" s="383"/>
    </row>
    <row r="146" spans="1:26" s="375" customFormat="1" x14ac:dyDescent="0.25">
      <c r="A146" s="391">
        <f>'A) Base RI'!A147</f>
        <v>5637</v>
      </c>
      <c r="B146" s="391" t="str">
        <f>'A) Base RI'!B147</f>
        <v>Lavigny</v>
      </c>
      <c r="C146" s="404">
        <v>0</v>
      </c>
      <c r="D146" s="377">
        <f>'B) D RI'!AR147</f>
        <v>930</v>
      </c>
      <c r="E146" s="378">
        <f>'B) D RI'!S147</f>
        <v>74.5</v>
      </c>
      <c r="F146" s="18">
        <f>'B) D RI'!R147</f>
        <v>2257793.186666667</v>
      </c>
      <c r="G146" s="18">
        <f>'B) D RI'!U147</f>
        <v>30305.948814317679</v>
      </c>
      <c r="H146" s="73">
        <f>'B) D RI'!T147</f>
        <v>2091634.1200000003</v>
      </c>
      <c r="I146" s="18">
        <f t="shared" si="15"/>
        <v>56151.251543624174</v>
      </c>
      <c r="J146" s="18">
        <f t="shared" si="16"/>
        <v>79873.755561425191</v>
      </c>
      <c r="K146" s="18">
        <f t="shared" si="12"/>
        <v>56151.251543624174</v>
      </c>
      <c r="L146" s="18">
        <f t="shared" si="17"/>
        <v>23722.504017801017</v>
      </c>
      <c r="M146" s="18">
        <f>'D) Ecrêtage'!N145</f>
        <v>30305.948814317679</v>
      </c>
      <c r="N146" s="18">
        <f t="shared" si="13"/>
        <v>40909.07963710434</v>
      </c>
      <c r="O146" s="98">
        <f t="shared" si="14"/>
        <v>97060.331180728506</v>
      </c>
      <c r="P146" s="379"/>
      <c r="Q146" s="380"/>
      <c r="R146" s="379"/>
      <c r="T146" s="376"/>
      <c r="U146" s="381"/>
      <c r="V146" s="381"/>
      <c r="W146" s="382"/>
      <c r="X146" s="376"/>
      <c r="Y146" s="376"/>
      <c r="Z146" s="383"/>
    </row>
    <row r="147" spans="1:26" s="375" customFormat="1" x14ac:dyDescent="0.25">
      <c r="A147" s="391">
        <f>'A) Base RI'!A148</f>
        <v>5638</v>
      </c>
      <c r="B147" s="391" t="str">
        <f>'A) Base RI'!B148</f>
        <v>Lonay</v>
      </c>
      <c r="C147" s="404">
        <v>0</v>
      </c>
      <c r="D147" s="377">
        <f>'B) D RI'!AR148</f>
        <v>2508</v>
      </c>
      <c r="E147" s="378">
        <f>'B) D RI'!S148</f>
        <v>55</v>
      </c>
      <c r="F147" s="18">
        <f>'B) D RI'!R148</f>
        <v>7252092.1999999993</v>
      </c>
      <c r="G147" s="18">
        <f>'B) D RI'!U148</f>
        <v>131856.2218181818</v>
      </c>
      <c r="H147" s="73">
        <f>'B) D RI'!T148</f>
        <v>6628247.0499999989</v>
      </c>
      <c r="I147" s="18">
        <f t="shared" si="15"/>
        <v>241027.16545454541</v>
      </c>
      <c r="J147" s="18">
        <f t="shared" si="16"/>
        <v>215401.48273984343</v>
      </c>
      <c r="K147" s="18">
        <f t="shared" si="12"/>
        <v>215401.48273984343</v>
      </c>
      <c r="L147" s="18">
        <f t="shared" si="17"/>
        <v>0</v>
      </c>
      <c r="M147" s="18">
        <f>'D) Ecrêtage'!N146</f>
        <v>131856.2218181818</v>
      </c>
      <c r="N147" s="18">
        <f t="shared" si="13"/>
        <v>177988.70815947888</v>
      </c>
      <c r="O147" s="98">
        <f t="shared" si="14"/>
        <v>393390.19089932228</v>
      </c>
      <c r="P147" s="379"/>
      <c r="Q147" s="380"/>
      <c r="R147" s="379"/>
      <c r="T147" s="376"/>
      <c r="U147" s="381"/>
      <c r="V147" s="381"/>
      <c r="W147" s="382"/>
      <c r="X147" s="376"/>
      <c r="Y147" s="376"/>
      <c r="Z147" s="383"/>
    </row>
    <row r="148" spans="1:26" s="375" customFormat="1" x14ac:dyDescent="0.25">
      <c r="A148" s="391">
        <f>'A) Base RI'!A149</f>
        <v>5639</v>
      </c>
      <c r="B148" s="391" t="str">
        <f>'A) Base RI'!B149</f>
        <v>Lully</v>
      </c>
      <c r="C148" s="404">
        <v>0</v>
      </c>
      <c r="D148" s="377">
        <f>'B) D RI'!AR149</f>
        <v>764</v>
      </c>
      <c r="E148" s="378">
        <f>'B) D RI'!S149</f>
        <v>61</v>
      </c>
      <c r="F148" s="18">
        <f>'B) D RI'!R149</f>
        <v>2560965.15</v>
      </c>
      <c r="G148" s="18">
        <f>'B) D RI'!U149</f>
        <v>41983.035245901636</v>
      </c>
      <c r="H148" s="73">
        <f>'B) D RI'!T149</f>
        <v>2388857.79</v>
      </c>
      <c r="I148" s="18">
        <f t="shared" si="15"/>
        <v>78323.2062295082</v>
      </c>
      <c r="J148" s="18">
        <f t="shared" si="16"/>
        <v>65616.719622504141</v>
      </c>
      <c r="K148" s="18">
        <f t="shared" si="12"/>
        <v>65616.719622504141</v>
      </c>
      <c r="L148" s="18">
        <f t="shared" si="17"/>
        <v>0</v>
      </c>
      <c r="M148" s="18">
        <f>'D) Ecrêtage'!N147</f>
        <v>41983.035245901636</v>
      </c>
      <c r="N148" s="18">
        <f t="shared" si="13"/>
        <v>56671.623871764161</v>
      </c>
      <c r="O148" s="98">
        <f t="shared" si="14"/>
        <v>122288.34349426831</v>
      </c>
      <c r="P148" s="379"/>
      <c r="Q148" s="380"/>
      <c r="R148" s="379"/>
      <c r="T148" s="376"/>
      <c r="U148" s="381"/>
      <c r="V148" s="381"/>
      <c r="W148" s="382"/>
      <c r="X148" s="376"/>
      <c r="Y148" s="376"/>
      <c r="Z148" s="383"/>
    </row>
    <row r="149" spans="1:26" s="375" customFormat="1" x14ac:dyDescent="0.25">
      <c r="A149" s="391">
        <f>'A) Base RI'!A150</f>
        <v>5640</v>
      </c>
      <c r="B149" s="391" t="str">
        <f>'A) Base RI'!B150</f>
        <v>Lussy-sur-Morges</v>
      </c>
      <c r="C149" s="404">
        <v>1</v>
      </c>
      <c r="D149" s="377">
        <f>'B) D RI'!AR150</f>
        <v>653</v>
      </c>
      <c r="E149" s="378">
        <f>'B) D RI'!S150</f>
        <v>66</v>
      </c>
      <c r="F149" s="18">
        <f>'B) D RI'!R150</f>
        <v>3348458.25</v>
      </c>
      <c r="G149" s="18">
        <f>'B) D RI'!U150</f>
        <v>50734.215909090912</v>
      </c>
      <c r="H149" s="73">
        <f>'B) D RI'!T150</f>
        <v>3172734.6</v>
      </c>
      <c r="I149" s="18">
        <f t="shared" si="15"/>
        <v>96143.472727272732</v>
      </c>
      <c r="J149" s="18">
        <f t="shared" si="16"/>
        <v>56083.400410334034</v>
      </c>
      <c r="K149" s="18">
        <f t="shared" si="12"/>
        <v>0</v>
      </c>
      <c r="L149" s="18">
        <f t="shared" si="17"/>
        <v>56083.400410334034</v>
      </c>
      <c r="M149" s="18">
        <f>'D) Ecrêtage'!N148</f>
        <v>44883.005418618071</v>
      </c>
      <c r="N149" s="18">
        <f t="shared" si="13"/>
        <v>60586.205509440399</v>
      </c>
      <c r="O149" s="98">
        <f t="shared" si="14"/>
        <v>60586.205509440399</v>
      </c>
      <c r="P149" s="379"/>
      <c r="Q149" s="380"/>
      <c r="R149" s="379"/>
      <c r="T149" s="376"/>
      <c r="U149" s="381"/>
      <c r="V149" s="381"/>
      <c r="W149" s="382"/>
      <c r="X149" s="376"/>
      <c r="Y149" s="376"/>
      <c r="Z149" s="383"/>
    </row>
    <row r="150" spans="1:26" s="375" customFormat="1" x14ac:dyDescent="0.25">
      <c r="A150" s="391">
        <f>'A) Base RI'!A151</f>
        <v>5642</v>
      </c>
      <c r="B150" s="391" t="str">
        <f>'A) Base RI'!B151</f>
        <v>Morges</v>
      </c>
      <c r="C150" s="404">
        <v>1</v>
      </c>
      <c r="D150" s="377">
        <f>'B) D RI'!AR151</f>
        <v>15401</v>
      </c>
      <c r="E150" s="378">
        <f>'B) D RI'!S151</f>
        <v>68.5</v>
      </c>
      <c r="F150" s="18">
        <f>'B) D RI'!R151</f>
        <v>49481901.340000004</v>
      </c>
      <c r="G150" s="18">
        <f>'B) D RI'!U151</f>
        <v>722363.52321167884</v>
      </c>
      <c r="H150" s="73">
        <f>'B) D RI'!T151</f>
        <v>46364284.990000002</v>
      </c>
      <c r="I150" s="18">
        <f t="shared" si="15"/>
        <v>1353701.7515328468</v>
      </c>
      <c r="J150" s="18">
        <f t="shared" si="16"/>
        <v>1322726.5692489347</v>
      </c>
      <c r="K150" s="18">
        <f t="shared" si="12"/>
        <v>0</v>
      </c>
      <c r="L150" s="18">
        <f t="shared" si="17"/>
        <v>1322726.5692489347</v>
      </c>
      <c r="M150" s="18">
        <f>'D) Ecrêtage'!N149</f>
        <v>722363.52321167884</v>
      </c>
      <c r="N150" s="18">
        <f t="shared" si="13"/>
        <v>975096.57523227658</v>
      </c>
      <c r="O150" s="98">
        <f t="shared" si="14"/>
        <v>975096.57523227658</v>
      </c>
      <c r="P150" s="379"/>
      <c r="Q150" s="380"/>
      <c r="R150" s="379"/>
      <c r="T150" s="376"/>
      <c r="U150" s="381"/>
      <c r="V150" s="381"/>
      <c r="W150" s="382"/>
      <c r="X150" s="376"/>
      <c r="Y150" s="376"/>
      <c r="Z150" s="383"/>
    </row>
    <row r="151" spans="1:26" s="375" customFormat="1" x14ac:dyDescent="0.25">
      <c r="A151" s="391">
        <f>'A) Base RI'!A152</f>
        <v>5643</v>
      </c>
      <c r="B151" s="391" t="str">
        <f>'A) Base RI'!B152</f>
        <v>Préverenges</v>
      </c>
      <c r="C151" s="404">
        <v>1</v>
      </c>
      <c r="D151" s="377">
        <f>'B) D RI'!AR152</f>
        <v>5184</v>
      </c>
      <c r="E151" s="378">
        <f>'B) D RI'!S152</f>
        <v>64</v>
      </c>
      <c r="F151" s="18">
        <f>'B) D RI'!R152</f>
        <v>17018215.370000001</v>
      </c>
      <c r="G151" s="18">
        <f>'B) D RI'!U152</f>
        <v>265909.61515625002</v>
      </c>
      <c r="H151" s="73">
        <f>'B) D RI'!T152</f>
        <v>15942905.57</v>
      </c>
      <c r="I151" s="18">
        <f t="shared" si="15"/>
        <v>498215.79906250001</v>
      </c>
      <c r="J151" s="18">
        <f t="shared" si="16"/>
        <v>445231.77293594432</v>
      </c>
      <c r="K151" s="18">
        <f t="shared" si="12"/>
        <v>0</v>
      </c>
      <c r="L151" s="18">
        <f t="shared" si="17"/>
        <v>445231.77293594432</v>
      </c>
      <c r="M151" s="18">
        <f>'D) Ecrêtage'!N150</f>
        <v>265909.61515625002</v>
      </c>
      <c r="N151" s="18">
        <f t="shared" si="13"/>
        <v>358943.31140556687</v>
      </c>
      <c r="O151" s="98">
        <f t="shared" si="14"/>
        <v>358943.31140556687</v>
      </c>
      <c r="P151" s="379"/>
      <c r="Q151" s="380"/>
      <c r="R151" s="379"/>
      <c r="T151" s="376"/>
      <c r="U151" s="381"/>
      <c r="V151" s="381"/>
      <c r="W151" s="382"/>
      <c r="X151" s="376"/>
      <c r="Y151" s="376"/>
      <c r="Z151" s="383"/>
    </row>
    <row r="152" spans="1:26" s="375" customFormat="1" x14ac:dyDescent="0.25">
      <c r="A152" s="391">
        <f>'A) Base RI'!A153</f>
        <v>5644</v>
      </c>
      <c r="B152" s="391" t="str">
        <f>'A) Base RI'!B153</f>
        <v>Reverolle</v>
      </c>
      <c r="C152" s="404">
        <v>0</v>
      </c>
      <c r="D152" s="377">
        <f>'B) D RI'!AR153</f>
        <v>356</v>
      </c>
      <c r="E152" s="378">
        <f>'B) D RI'!S153</f>
        <v>78</v>
      </c>
      <c r="F152" s="18">
        <f>'B) D RI'!R153</f>
        <v>1160527.2800000003</v>
      </c>
      <c r="G152" s="18">
        <f>'B) D RI'!U153</f>
        <v>14878.554871794875</v>
      </c>
      <c r="H152" s="73">
        <f>'B) D RI'!T153</f>
        <v>1101869.4300000002</v>
      </c>
      <c r="I152" s="18">
        <f t="shared" si="15"/>
        <v>28253.062307692311</v>
      </c>
      <c r="J152" s="18">
        <f t="shared" si="16"/>
        <v>30575.33008587889</v>
      </c>
      <c r="K152" s="18">
        <f t="shared" si="12"/>
        <v>28253.062307692311</v>
      </c>
      <c r="L152" s="18">
        <f t="shared" si="17"/>
        <v>2322.2677781865787</v>
      </c>
      <c r="M152" s="18">
        <f>'D) Ecrêtage'!N151</f>
        <v>14878.554871794875</v>
      </c>
      <c r="N152" s="18">
        <f t="shared" si="13"/>
        <v>20084.109224381897</v>
      </c>
      <c r="O152" s="98">
        <f t="shared" si="14"/>
        <v>48337.171532074208</v>
      </c>
      <c r="P152" s="379"/>
      <c r="Q152" s="380"/>
      <c r="R152" s="379"/>
      <c r="T152" s="376"/>
      <c r="U152" s="381"/>
      <c r="V152" s="381"/>
      <c r="W152" s="382"/>
      <c r="X152" s="376"/>
      <c r="Y152" s="376"/>
      <c r="Z152" s="383"/>
    </row>
    <row r="153" spans="1:26" s="375" customFormat="1" x14ac:dyDescent="0.25">
      <c r="A153" s="391">
        <f>'A) Base RI'!A154</f>
        <v>5645</v>
      </c>
      <c r="B153" s="391" t="str">
        <f>'A) Base RI'!B154</f>
        <v>Romanel-sur-Morges</v>
      </c>
      <c r="C153" s="404">
        <v>0</v>
      </c>
      <c r="D153" s="377">
        <f>'B) D RI'!AR154</f>
        <v>435</v>
      </c>
      <c r="E153" s="378">
        <f>'B) D RI'!S154</f>
        <v>56</v>
      </c>
      <c r="F153" s="18">
        <f>'B) D RI'!R154</f>
        <v>1402900.0675000001</v>
      </c>
      <c r="G153" s="18">
        <f>'B) D RI'!U154</f>
        <v>25051.786919642858</v>
      </c>
      <c r="H153" s="73">
        <f>'B) D RI'!T154</f>
        <v>1260494.3800000001</v>
      </c>
      <c r="I153" s="18">
        <f t="shared" si="15"/>
        <v>45017.656428571434</v>
      </c>
      <c r="J153" s="18">
        <f t="shared" si="16"/>
        <v>37360.305020666623</v>
      </c>
      <c r="K153" s="18">
        <f t="shared" si="12"/>
        <v>37360.305020666623</v>
      </c>
      <c r="L153" s="18">
        <f t="shared" si="17"/>
        <v>0</v>
      </c>
      <c r="M153" s="18">
        <f>'D) Ecrêtage'!N152</f>
        <v>24679.645623864293</v>
      </c>
      <c r="N153" s="18">
        <f t="shared" si="13"/>
        <v>33314.303882318796</v>
      </c>
      <c r="O153" s="98">
        <f t="shared" si="14"/>
        <v>70674.608902985419</v>
      </c>
      <c r="P153" s="379"/>
      <c r="Q153" s="380"/>
      <c r="R153" s="379"/>
      <c r="T153" s="376"/>
      <c r="U153" s="381"/>
      <c r="V153" s="381"/>
      <c r="W153" s="382"/>
      <c r="X153" s="376"/>
      <c r="Y153" s="376"/>
      <c r="Z153" s="383"/>
    </row>
    <row r="154" spans="1:26" s="375" customFormat="1" x14ac:dyDescent="0.25">
      <c r="A154" s="391">
        <f>'A) Base RI'!A155</f>
        <v>5646</v>
      </c>
      <c r="B154" s="391" t="str">
        <f>'A) Base RI'!B155</f>
        <v>Saint-Prex</v>
      </c>
      <c r="C154" s="404">
        <v>1</v>
      </c>
      <c r="D154" s="377">
        <f>'B) D RI'!AR155</f>
        <v>5447</v>
      </c>
      <c r="E154" s="378">
        <f>'B) D RI'!S155</f>
        <v>55</v>
      </c>
      <c r="F154" s="18">
        <f>'B) D RI'!R155</f>
        <v>20653949.389999997</v>
      </c>
      <c r="G154" s="18">
        <f>'B) D RI'!U155</f>
        <v>375526.35254545452</v>
      </c>
      <c r="H154" s="73">
        <f>'B) D RI'!T155</f>
        <v>19162581.439999998</v>
      </c>
      <c r="I154" s="18">
        <f t="shared" si="15"/>
        <v>696821.14327272715</v>
      </c>
      <c r="J154" s="18">
        <f t="shared" si="16"/>
        <v>467819.72746568068</v>
      </c>
      <c r="K154" s="18">
        <f t="shared" si="12"/>
        <v>0</v>
      </c>
      <c r="L154" s="18">
        <f t="shared" si="17"/>
        <v>467819.72746568068</v>
      </c>
      <c r="M154" s="18">
        <f>'D) Ecrêtage'!N153</f>
        <v>348606.97222302243</v>
      </c>
      <c r="N154" s="18">
        <f t="shared" si="13"/>
        <v>470573.96143901354</v>
      </c>
      <c r="O154" s="98">
        <f t="shared" si="14"/>
        <v>470573.96143901354</v>
      </c>
      <c r="P154" s="379"/>
      <c r="Q154" s="380"/>
      <c r="R154" s="379"/>
      <c r="T154" s="376"/>
      <c r="U154" s="381"/>
      <c r="V154" s="381"/>
      <c r="W154" s="382"/>
      <c r="X154" s="376"/>
      <c r="Y154" s="376"/>
      <c r="Z154" s="383"/>
    </row>
    <row r="155" spans="1:26" s="375" customFormat="1" x14ac:dyDescent="0.25">
      <c r="A155" s="391">
        <f>'A) Base RI'!A156</f>
        <v>5648</v>
      </c>
      <c r="B155" s="391" t="str">
        <f>'A) Base RI'!B156</f>
        <v>Saint-Sulpice</v>
      </c>
      <c r="C155" s="404">
        <v>1</v>
      </c>
      <c r="D155" s="377">
        <f>'B) D RI'!AR156</f>
        <v>3463</v>
      </c>
      <c r="E155" s="378">
        <f>'B) D RI'!S156</f>
        <v>55</v>
      </c>
      <c r="F155" s="18">
        <f>'B) D RI'!R156</f>
        <v>15951990.232499998</v>
      </c>
      <c r="G155" s="18">
        <f>'B) D RI'!U156</f>
        <v>290036.18604545452</v>
      </c>
      <c r="H155" s="73">
        <f>'B) D RI'!T156</f>
        <v>14949820.419999998</v>
      </c>
      <c r="I155" s="18">
        <f t="shared" si="15"/>
        <v>543629.83345454535</v>
      </c>
      <c r="J155" s="18">
        <f t="shared" si="16"/>
        <v>297422.38226797362</v>
      </c>
      <c r="K155" s="18">
        <f t="shared" si="12"/>
        <v>0</v>
      </c>
      <c r="L155" s="18">
        <f t="shared" si="17"/>
        <v>297422.38226797362</v>
      </c>
      <c r="M155" s="18">
        <f>'D) Ecrêtage'!N154</f>
        <v>249354.37864273257</v>
      </c>
      <c r="N155" s="18">
        <f t="shared" si="13"/>
        <v>336595.90056909702</v>
      </c>
      <c r="O155" s="98">
        <f t="shared" si="14"/>
        <v>336595.90056909702</v>
      </c>
      <c r="P155" s="379"/>
      <c r="Q155" s="380"/>
      <c r="R155" s="379"/>
      <c r="T155" s="376"/>
      <c r="U155" s="381"/>
      <c r="V155" s="381"/>
      <c r="W155" s="382"/>
      <c r="X155" s="376"/>
      <c r="Y155" s="376"/>
      <c r="Z155" s="383"/>
    </row>
    <row r="156" spans="1:26" s="375" customFormat="1" x14ac:dyDescent="0.25">
      <c r="A156" s="391">
        <f>'A) Base RI'!A157</f>
        <v>5649</v>
      </c>
      <c r="B156" s="391" t="str">
        <f>'A) Base RI'!B157</f>
        <v>Tolochenaz</v>
      </c>
      <c r="C156" s="404">
        <v>1</v>
      </c>
      <c r="D156" s="377">
        <f>'B) D RI'!AR157</f>
        <v>1812</v>
      </c>
      <c r="E156" s="378">
        <f>'B) D RI'!S157</f>
        <v>65</v>
      </c>
      <c r="F156" s="18">
        <f>'B) D RI'!R157</f>
        <v>6708107.1399999997</v>
      </c>
      <c r="G156" s="18">
        <f>'B) D RI'!U157</f>
        <v>103201.6483076923</v>
      </c>
      <c r="H156" s="73">
        <f>'B) D RI'!T157</f>
        <v>6156593.1399999997</v>
      </c>
      <c r="I156" s="18">
        <f t="shared" si="15"/>
        <v>189433.63507692306</v>
      </c>
      <c r="J156" s="18">
        <f t="shared" si="16"/>
        <v>155624.99470677684</v>
      </c>
      <c r="K156" s="18">
        <f t="shared" si="12"/>
        <v>0</v>
      </c>
      <c r="L156" s="18">
        <f t="shared" si="17"/>
        <v>155624.99470677684</v>
      </c>
      <c r="M156" s="18">
        <f>'D) Ecrêtage'!N155</f>
        <v>102066.20805593611</v>
      </c>
      <c r="N156" s="18">
        <f t="shared" si="13"/>
        <v>137776.07357552578</v>
      </c>
      <c r="O156" s="98">
        <f t="shared" si="14"/>
        <v>137776.07357552578</v>
      </c>
      <c r="P156" s="379"/>
      <c r="Q156" s="380"/>
      <c r="R156" s="379"/>
      <c r="T156" s="376"/>
      <c r="U156" s="381"/>
      <c r="V156" s="381"/>
      <c r="W156" s="382"/>
      <c r="X156" s="376"/>
      <c r="Y156" s="376"/>
      <c r="Z156" s="383"/>
    </row>
    <row r="157" spans="1:26" s="375" customFormat="1" x14ac:dyDescent="0.25">
      <c r="A157" s="391">
        <f>'A) Base RI'!A158</f>
        <v>5650</v>
      </c>
      <c r="B157" s="391" t="str">
        <f>'A) Base RI'!B158</f>
        <v>Vaux-sur-Morges</v>
      </c>
      <c r="C157" s="404">
        <v>0</v>
      </c>
      <c r="D157" s="377">
        <f>'B) D RI'!AR158</f>
        <v>196</v>
      </c>
      <c r="E157" s="378">
        <f>'B) D RI'!S158</f>
        <v>39</v>
      </c>
      <c r="F157" s="18">
        <f>'B) D RI'!R158</f>
        <v>6131692.6999999993</v>
      </c>
      <c r="G157" s="18">
        <f>'B) D RI'!U158</f>
        <v>157222.88974358974</v>
      </c>
      <c r="H157" s="73">
        <f>'B) D RI'!T158</f>
        <v>6090251.6599999992</v>
      </c>
      <c r="I157" s="18">
        <f t="shared" si="15"/>
        <v>312320.59794871788</v>
      </c>
      <c r="J157" s="18">
        <f t="shared" si="16"/>
        <v>16833.608698967029</v>
      </c>
      <c r="K157" s="18">
        <f t="shared" si="12"/>
        <v>16833.608698967029</v>
      </c>
      <c r="L157" s="18">
        <f t="shared" si="17"/>
        <v>0</v>
      </c>
      <c r="M157" s="18">
        <f>'D) Ecrêtage'!N156</f>
        <v>63213.556944204865</v>
      </c>
      <c r="N157" s="18">
        <f t="shared" si="13"/>
        <v>85330.060148236589</v>
      </c>
      <c r="O157" s="98">
        <f t="shared" si="14"/>
        <v>102163.66884720362</v>
      </c>
      <c r="P157" s="379"/>
      <c r="Q157" s="380"/>
      <c r="R157" s="379"/>
      <c r="T157" s="376"/>
      <c r="U157" s="381"/>
      <c r="V157" s="381"/>
      <c r="W157" s="382"/>
      <c r="X157" s="376"/>
      <c r="Y157" s="376"/>
      <c r="Z157" s="383"/>
    </row>
    <row r="158" spans="1:26" s="375" customFormat="1" x14ac:dyDescent="0.25">
      <c r="A158" s="391">
        <f>'A) Base RI'!A159</f>
        <v>5651</v>
      </c>
      <c r="B158" s="391" t="str">
        <f>'A) Base RI'!B159</f>
        <v>Villars-Sainte-Croix</v>
      </c>
      <c r="C158" s="404">
        <v>1</v>
      </c>
      <c r="D158" s="377">
        <f>'B) D RI'!AR159</f>
        <v>673</v>
      </c>
      <c r="E158" s="378">
        <f>'B) D RI'!S159</f>
        <v>59</v>
      </c>
      <c r="F158" s="18">
        <f>'B) D RI'!R159</f>
        <v>2814889.99</v>
      </c>
      <c r="G158" s="18">
        <f>'B) D RI'!U159</f>
        <v>47709.999830508481</v>
      </c>
      <c r="H158" s="73">
        <f>'B) D RI'!T159</f>
        <v>2613122.4900000002</v>
      </c>
      <c r="I158" s="18">
        <f t="shared" si="15"/>
        <v>88580.42338983051</v>
      </c>
      <c r="J158" s="18">
        <f t="shared" si="16"/>
        <v>57801.115583698018</v>
      </c>
      <c r="K158" s="18">
        <f t="shared" si="12"/>
        <v>0</v>
      </c>
      <c r="L158" s="18">
        <f t="shared" si="17"/>
        <v>57801.115583698018</v>
      </c>
      <c r="M158" s="18">
        <f>'D) Ecrêtage'!N157</f>
        <v>43785.503891702981</v>
      </c>
      <c r="N158" s="18">
        <f t="shared" si="13"/>
        <v>59104.721539362494</v>
      </c>
      <c r="O158" s="98">
        <f t="shared" si="14"/>
        <v>59104.721539362494</v>
      </c>
      <c r="P158" s="379"/>
      <c r="Q158" s="380"/>
      <c r="R158" s="379"/>
      <c r="T158" s="376"/>
      <c r="U158" s="381"/>
      <c r="V158" s="381"/>
      <c r="W158" s="382"/>
      <c r="X158" s="376"/>
      <c r="Y158" s="376"/>
      <c r="Z158" s="383"/>
    </row>
    <row r="159" spans="1:26" s="375" customFormat="1" x14ac:dyDescent="0.25">
      <c r="A159" s="391">
        <f>'A) Base RI'!A160</f>
        <v>5652</v>
      </c>
      <c r="B159" s="391" t="str">
        <f>'A) Base RI'!B160</f>
        <v>Villars-sous-Yens</v>
      </c>
      <c r="C159" s="404">
        <v>0</v>
      </c>
      <c r="D159" s="377">
        <f>'B) D RI'!AR160</f>
        <v>570</v>
      </c>
      <c r="E159" s="378">
        <f>'B) D RI'!S160</f>
        <v>76</v>
      </c>
      <c r="F159" s="18">
        <f>'B) D RI'!R160</f>
        <v>1856425.0266666664</v>
      </c>
      <c r="G159" s="18">
        <f>'B) D RI'!U160</f>
        <v>24426.645087719295</v>
      </c>
      <c r="H159" s="73">
        <f>'B) D RI'!T160</f>
        <v>1762356.1099999996</v>
      </c>
      <c r="I159" s="18">
        <f t="shared" si="15"/>
        <v>46377.79236842104</v>
      </c>
      <c r="J159" s="18">
        <f t="shared" si="16"/>
        <v>48954.882440873502</v>
      </c>
      <c r="K159" s="18">
        <f t="shared" si="12"/>
        <v>46377.79236842104</v>
      </c>
      <c r="L159" s="18">
        <f t="shared" si="17"/>
        <v>2577.0900724524618</v>
      </c>
      <c r="M159" s="18">
        <f>'D) Ecrêtage'!N158</f>
        <v>24426.645087719295</v>
      </c>
      <c r="N159" s="18">
        <f t="shared" si="13"/>
        <v>32972.78614450436</v>
      </c>
      <c r="O159" s="98">
        <f t="shared" si="14"/>
        <v>79350.578512925393</v>
      </c>
      <c r="P159" s="379"/>
      <c r="Q159" s="380"/>
      <c r="R159" s="379"/>
      <c r="T159" s="376"/>
      <c r="U159" s="381"/>
      <c r="V159" s="381"/>
      <c r="W159" s="382"/>
      <c r="X159" s="376"/>
      <c r="Y159" s="376"/>
      <c r="Z159" s="383"/>
    </row>
    <row r="160" spans="1:26" s="375" customFormat="1" x14ac:dyDescent="0.25">
      <c r="A160" s="391">
        <f>'A) Base RI'!A161</f>
        <v>5653</v>
      </c>
      <c r="B160" s="391" t="str">
        <f>'A) Base RI'!B161</f>
        <v>Vufflens-le-Château</v>
      </c>
      <c r="C160" s="404">
        <v>0</v>
      </c>
      <c r="D160" s="377">
        <f>'B) D RI'!AR161</f>
        <v>825</v>
      </c>
      <c r="E160" s="378">
        <f>'B) D RI'!S161</f>
        <v>55</v>
      </c>
      <c r="F160" s="18">
        <f>'B) D RI'!R161</f>
        <v>2981367.3074999996</v>
      </c>
      <c r="G160" s="18">
        <f>'B) D RI'!U161</f>
        <v>54206.67831818181</v>
      </c>
      <c r="H160" s="73">
        <f>'B) D RI'!T161</f>
        <v>2766422.3699999996</v>
      </c>
      <c r="I160" s="18">
        <f t="shared" si="15"/>
        <v>100597.17709090908</v>
      </c>
      <c r="J160" s="18">
        <f t="shared" si="16"/>
        <v>70855.750901264284</v>
      </c>
      <c r="K160" s="18">
        <f t="shared" si="12"/>
        <v>70855.750901264284</v>
      </c>
      <c r="L160" s="18">
        <f t="shared" si="17"/>
        <v>0</v>
      </c>
      <c r="M160" s="18">
        <f>'D) Ecrêtage'!N159</f>
        <v>51090.812390571104</v>
      </c>
      <c r="N160" s="18">
        <f t="shared" si="13"/>
        <v>68965.93555331284</v>
      </c>
      <c r="O160" s="98">
        <f t="shared" si="14"/>
        <v>139821.68645457714</v>
      </c>
      <c r="P160" s="379"/>
      <c r="Q160" s="380"/>
      <c r="R160" s="379"/>
      <c r="T160" s="376"/>
      <c r="U160" s="381"/>
      <c r="V160" s="381"/>
      <c r="W160" s="382"/>
      <c r="X160" s="376"/>
      <c r="Y160" s="376"/>
      <c r="Z160" s="383"/>
    </row>
    <row r="161" spans="1:26" s="375" customFormat="1" x14ac:dyDescent="0.25">
      <c r="A161" s="391">
        <f>'A) Base RI'!A162</f>
        <v>5654</v>
      </c>
      <c r="B161" s="391" t="str">
        <f>'A) Base RI'!B162</f>
        <v>Vullierens</v>
      </c>
      <c r="C161" s="404">
        <v>0</v>
      </c>
      <c r="D161" s="377">
        <f>'B) D RI'!AR162</f>
        <v>457</v>
      </c>
      <c r="E161" s="378">
        <f>'B) D RI'!S162</f>
        <v>76</v>
      </c>
      <c r="F161" s="18">
        <f>'B) D RI'!R162</f>
        <v>1205427.76</v>
      </c>
      <c r="G161" s="18">
        <f>'B) D RI'!U162</f>
        <v>15860.891578947369</v>
      </c>
      <c r="H161" s="73">
        <f>'B) D RI'!T162</f>
        <v>1125187.71</v>
      </c>
      <c r="I161" s="18">
        <f t="shared" si="15"/>
        <v>29610.202894736842</v>
      </c>
      <c r="J161" s="18">
        <f t="shared" si="16"/>
        <v>39249.791711367005</v>
      </c>
      <c r="K161" s="18">
        <f t="shared" si="12"/>
        <v>29610.202894736842</v>
      </c>
      <c r="L161" s="18">
        <f t="shared" si="17"/>
        <v>9639.5888166301629</v>
      </c>
      <c r="M161" s="18">
        <f>'D) Ecrêtage'!N160</f>
        <v>15860.891578947369</v>
      </c>
      <c r="N161" s="18">
        <f t="shared" si="13"/>
        <v>21410.135702865442</v>
      </c>
      <c r="O161" s="98">
        <f t="shared" si="14"/>
        <v>51020.338597602284</v>
      </c>
      <c r="P161" s="379"/>
      <c r="Q161" s="380"/>
      <c r="R161" s="379"/>
      <c r="T161" s="376"/>
      <c r="U161" s="381"/>
      <c r="V161" s="381"/>
      <c r="W161" s="382"/>
      <c r="X161" s="376"/>
      <c r="Y161" s="376"/>
      <c r="Z161" s="383"/>
    </row>
    <row r="162" spans="1:26" s="375" customFormat="1" x14ac:dyDescent="0.25">
      <c r="A162" s="391">
        <f>'A) Base RI'!A163</f>
        <v>5655</v>
      </c>
      <c r="B162" s="391" t="str">
        <f>'A) Base RI'!B163</f>
        <v>Yens</v>
      </c>
      <c r="C162" s="404">
        <v>0</v>
      </c>
      <c r="D162" s="377">
        <f>'B) D RI'!AR163</f>
        <v>1327</v>
      </c>
      <c r="E162" s="378">
        <f>'B) D RI'!S163</f>
        <v>73</v>
      </c>
      <c r="F162" s="18">
        <f>'B) D RI'!R163</f>
        <v>5348705.79</v>
      </c>
      <c r="G162" s="18">
        <f>'B) D RI'!U163</f>
        <v>73269.942328767123</v>
      </c>
      <c r="H162" s="73">
        <f>'B) D RI'!T163</f>
        <v>5060766.79</v>
      </c>
      <c r="I162" s="18">
        <f t="shared" si="15"/>
        <v>138651.14493150686</v>
      </c>
      <c r="J162" s="18">
        <f t="shared" si="16"/>
        <v>113970.40175270024</v>
      </c>
      <c r="K162" s="18">
        <f t="shared" si="12"/>
        <v>113970.40175270024</v>
      </c>
      <c r="L162" s="18">
        <f t="shared" si="17"/>
        <v>0</v>
      </c>
      <c r="M162" s="18">
        <f>'D) Ecrêtage'!N161</f>
        <v>73269.563430074471</v>
      </c>
      <c r="N162" s="18">
        <f t="shared" si="13"/>
        <v>98904.357811120688</v>
      </c>
      <c r="O162" s="98">
        <f t="shared" si="14"/>
        <v>212874.75956382093</v>
      </c>
      <c r="P162" s="379"/>
      <c r="Q162" s="380"/>
      <c r="R162" s="379"/>
      <c r="T162" s="376"/>
      <c r="U162" s="381"/>
      <c r="V162" s="381"/>
      <c r="W162" s="382"/>
      <c r="X162" s="376"/>
      <c r="Y162" s="376"/>
      <c r="Z162" s="383"/>
    </row>
    <row r="163" spans="1:26" s="375" customFormat="1" x14ac:dyDescent="0.25">
      <c r="A163" s="391">
        <f>'A) Base RI'!A164</f>
        <v>5661</v>
      </c>
      <c r="B163" s="391" t="str">
        <f>'A) Base RI'!B164</f>
        <v>Boulens</v>
      </c>
      <c r="C163" s="404">
        <v>0</v>
      </c>
      <c r="D163" s="377">
        <f>'B) D RI'!AR164</f>
        <v>313</v>
      </c>
      <c r="E163" s="378">
        <f>'B) D RI'!S164</f>
        <v>79</v>
      </c>
      <c r="F163" s="18">
        <f>'B) D RI'!R164</f>
        <v>545245.21000000008</v>
      </c>
      <c r="G163" s="18">
        <f>'B) D RI'!U164</f>
        <v>6901.8381012658238</v>
      </c>
      <c r="H163" s="73">
        <f>'B) D RI'!T164</f>
        <v>505684.91000000003</v>
      </c>
      <c r="I163" s="18">
        <f t="shared" si="15"/>
        <v>12802.149620253165</v>
      </c>
      <c r="J163" s="18">
        <f t="shared" si="16"/>
        <v>26882.242463146329</v>
      </c>
      <c r="K163" s="18">
        <f t="shared" si="12"/>
        <v>12802.149620253165</v>
      </c>
      <c r="L163" s="18">
        <f t="shared" si="17"/>
        <v>14080.092842893164</v>
      </c>
      <c r="M163" s="18">
        <f>'D) Ecrêtage'!N162</f>
        <v>6901.8381012658238</v>
      </c>
      <c r="N163" s="18">
        <f t="shared" si="13"/>
        <v>9316.5815812931341</v>
      </c>
      <c r="O163" s="98">
        <f t="shared" si="14"/>
        <v>22118.731201546299</v>
      </c>
      <c r="P163" s="379"/>
      <c r="Q163" s="380"/>
      <c r="R163" s="379"/>
      <c r="T163" s="376"/>
      <c r="U163" s="381"/>
      <c r="V163" s="381"/>
      <c r="W163" s="382"/>
      <c r="X163" s="376"/>
      <c r="Y163" s="376"/>
      <c r="Z163" s="383"/>
    </row>
    <row r="164" spans="1:26" s="375" customFormat="1" x14ac:dyDescent="0.25">
      <c r="A164" s="391">
        <f>'A) Base RI'!A165</f>
        <v>5662</v>
      </c>
      <c r="B164" s="391" t="str">
        <f>'A) Base RI'!B165</f>
        <v>Brenles</v>
      </c>
      <c r="C164" s="404">
        <v>0</v>
      </c>
      <c r="D164" s="377">
        <f>'B) D RI'!AR165</f>
        <v>144</v>
      </c>
      <c r="E164" s="378">
        <f>'B) D RI'!S165</f>
        <v>78</v>
      </c>
      <c r="F164" s="18">
        <f>'B) D RI'!R165</f>
        <v>314437.25777777779</v>
      </c>
      <c r="G164" s="18">
        <f>'B) D RI'!U165</f>
        <v>4031.2468945868945</v>
      </c>
      <c r="H164" s="73">
        <f>'B) D RI'!T165</f>
        <v>296301.98000000004</v>
      </c>
      <c r="I164" s="18">
        <f t="shared" si="15"/>
        <v>7597.4866666666676</v>
      </c>
      <c r="J164" s="18">
        <f t="shared" si="16"/>
        <v>12367.549248220676</v>
      </c>
      <c r="K164" s="18">
        <f t="shared" si="12"/>
        <v>7597.4866666666676</v>
      </c>
      <c r="L164" s="18">
        <f t="shared" si="17"/>
        <v>4770.0625815540079</v>
      </c>
      <c r="M164" s="18">
        <f>'D) Ecrêtage'!N163</f>
        <v>4031.2468945868945</v>
      </c>
      <c r="N164" s="18">
        <f t="shared" si="13"/>
        <v>5441.6577173644846</v>
      </c>
      <c r="O164" s="98">
        <f t="shared" si="14"/>
        <v>13039.144384031151</v>
      </c>
      <c r="P164" s="379"/>
      <c r="Q164" s="380"/>
      <c r="R164" s="379"/>
      <c r="T164" s="376"/>
      <c r="U164" s="381"/>
      <c r="V164" s="381"/>
      <c r="W164" s="382"/>
      <c r="X164" s="376"/>
      <c r="Y164" s="376"/>
      <c r="Z164" s="383"/>
    </row>
    <row r="165" spans="1:26" s="375" customFormat="1" x14ac:dyDescent="0.25">
      <c r="A165" s="391">
        <f>'A) Base RI'!A166</f>
        <v>5663</v>
      </c>
      <c r="B165" s="391" t="str">
        <f>'A) Base RI'!B166</f>
        <v>Bussy-sur-Moudon</v>
      </c>
      <c r="C165" s="404">
        <v>0</v>
      </c>
      <c r="D165" s="377">
        <f>'B) D RI'!AR166</f>
        <v>197</v>
      </c>
      <c r="E165" s="378">
        <f>'B) D RI'!S166</f>
        <v>80</v>
      </c>
      <c r="F165" s="18">
        <f>'B) D RI'!R166</f>
        <v>413769.72</v>
      </c>
      <c r="G165" s="18">
        <f>'B) D RI'!U166</f>
        <v>5172.1214999999993</v>
      </c>
      <c r="H165" s="73">
        <f>'B) D RI'!T166</f>
        <v>386708.92</v>
      </c>
      <c r="I165" s="18">
        <f t="shared" si="15"/>
        <v>9667.723</v>
      </c>
      <c r="J165" s="18">
        <f t="shared" si="16"/>
        <v>16919.494457635228</v>
      </c>
      <c r="K165" s="18">
        <f t="shared" si="12"/>
        <v>9667.723</v>
      </c>
      <c r="L165" s="18">
        <f t="shared" si="17"/>
        <v>7251.7714576352282</v>
      </c>
      <c r="M165" s="18">
        <f>'D) Ecrêtage'!N164</f>
        <v>5172.1214999999993</v>
      </c>
      <c r="N165" s="18">
        <f t="shared" si="13"/>
        <v>6981.6896884719199</v>
      </c>
      <c r="O165" s="98">
        <f t="shared" si="14"/>
        <v>16649.412688471919</v>
      </c>
      <c r="P165" s="379"/>
      <c r="Q165" s="380"/>
      <c r="R165" s="379"/>
      <c r="T165" s="376"/>
      <c r="U165" s="381"/>
      <c r="V165" s="381"/>
      <c r="W165" s="382"/>
      <c r="X165" s="376"/>
      <c r="Y165" s="376"/>
      <c r="Z165" s="383"/>
    </row>
    <row r="166" spans="1:26" s="375" customFormat="1" x14ac:dyDescent="0.25">
      <c r="A166" s="391">
        <f>'A) Base RI'!A167</f>
        <v>5665</v>
      </c>
      <c r="B166" s="391" t="str">
        <f>'A) Base RI'!B167</f>
        <v>Chavannes-sur-Moudon</v>
      </c>
      <c r="C166" s="404">
        <v>0</v>
      </c>
      <c r="D166" s="377">
        <f>'B) D RI'!AR167</f>
        <v>233</v>
      </c>
      <c r="E166" s="378">
        <f>'B) D RI'!S167</f>
        <v>72</v>
      </c>
      <c r="F166" s="18">
        <f>'B) D RI'!R167</f>
        <v>267013.96999999997</v>
      </c>
      <c r="G166" s="18">
        <f>'B) D RI'!U167</f>
        <v>3708.5273611111106</v>
      </c>
      <c r="H166" s="73">
        <f>'B) D RI'!T167</f>
        <v>244814.66999999998</v>
      </c>
      <c r="I166" s="18">
        <f t="shared" si="15"/>
        <v>6800.4074999999993</v>
      </c>
      <c r="J166" s="18">
        <f t="shared" si="16"/>
        <v>20011.381769690397</v>
      </c>
      <c r="K166" s="18">
        <f t="shared" si="12"/>
        <v>6800.4074999999993</v>
      </c>
      <c r="L166" s="18">
        <f t="shared" si="17"/>
        <v>13210.974269690398</v>
      </c>
      <c r="M166" s="18">
        <f>'D) Ecrêtage'!N165</f>
        <v>3708.5273611111106</v>
      </c>
      <c r="N166" s="18">
        <f t="shared" si="13"/>
        <v>5006.0284230533689</v>
      </c>
      <c r="O166" s="98">
        <f t="shared" si="14"/>
        <v>11806.435923053368</v>
      </c>
      <c r="P166" s="379"/>
      <c r="Q166" s="380"/>
      <c r="R166" s="379"/>
      <c r="T166" s="376"/>
      <c r="U166" s="381"/>
      <c r="V166" s="381"/>
      <c r="W166" s="382"/>
      <c r="X166" s="376"/>
      <c r="Y166" s="376"/>
      <c r="Z166" s="383"/>
    </row>
    <row r="167" spans="1:26" s="375" customFormat="1" x14ac:dyDescent="0.25">
      <c r="A167" s="391">
        <f>'A) Base RI'!A168</f>
        <v>5666</v>
      </c>
      <c r="B167" s="391" t="str">
        <f>'A) Base RI'!B168</f>
        <v>Chesalles-sur-Moudon</v>
      </c>
      <c r="C167" s="404">
        <v>0</v>
      </c>
      <c r="D167" s="377">
        <f>'B) D RI'!AR168</f>
        <v>160</v>
      </c>
      <c r="E167" s="378">
        <f>'B) D RI'!S168</f>
        <v>75</v>
      </c>
      <c r="F167" s="18">
        <f>'B) D RI'!R168</f>
        <v>279842.39</v>
      </c>
      <c r="G167" s="18">
        <f>'B) D RI'!U168</f>
        <v>3731.231866666667</v>
      </c>
      <c r="H167" s="73">
        <f>'B) D RI'!T168</f>
        <v>258739.73</v>
      </c>
      <c r="I167" s="18">
        <f t="shared" si="15"/>
        <v>6899.7261333333336</v>
      </c>
      <c r="J167" s="18">
        <f t="shared" si="16"/>
        <v>13741.72138691186</v>
      </c>
      <c r="K167" s="18">
        <f t="shared" si="12"/>
        <v>6899.7261333333336</v>
      </c>
      <c r="L167" s="18">
        <f t="shared" si="17"/>
        <v>6841.9952535785269</v>
      </c>
      <c r="M167" s="18">
        <f>'D) Ecrêtage'!N166</f>
        <v>3731.231866666667</v>
      </c>
      <c r="N167" s="18">
        <f t="shared" si="13"/>
        <v>5036.6765453604494</v>
      </c>
      <c r="O167" s="98">
        <f t="shared" si="14"/>
        <v>11936.402678693783</v>
      </c>
      <c r="P167" s="379"/>
      <c r="Q167" s="380"/>
      <c r="R167" s="379"/>
      <c r="T167" s="376"/>
      <c r="U167" s="381"/>
      <c r="V167" s="381"/>
      <c r="W167" s="382"/>
      <c r="X167" s="376"/>
      <c r="Y167" s="376"/>
      <c r="Z167" s="383"/>
    </row>
    <row r="168" spans="1:26" s="375" customFormat="1" x14ac:dyDescent="0.25">
      <c r="A168" s="391">
        <f>'A) Base RI'!A169</f>
        <v>5668</v>
      </c>
      <c r="B168" s="391" t="str">
        <f>'A) Base RI'!B169</f>
        <v>Cremin</v>
      </c>
      <c r="C168" s="404">
        <v>0</v>
      </c>
      <c r="D168" s="377">
        <f>'B) D RI'!AR169</f>
        <v>51</v>
      </c>
      <c r="E168" s="378">
        <f>'B) D RI'!S169</f>
        <v>77</v>
      </c>
      <c r="F168" s="18">
        <f>'B) D RI'!R169</f>
        <v>78608.81</v>
      </c>
      <c r="G168" s="18">
        <f>'B) D RI'!U169</f>
        <v>1020.8936363636363</v>
      </c>
      <c r="H168" s="73">
        <f>'B) D RI'!T169</f>
        <v>72857.259999999995</v>
      </c>
      <c r="I168" s="18">
        <f t="shared" si="15"/>
        <v>1892.3963636363635</v>
      </c>
      <c r="J168" s="18">
        <f t="shared" si="16"/>
        <v>4380.1736920781559</v>
      </c>
      <c r="K168" s="18">
        <f t="shared" si="12"/>
        <v>1892.3963636363635</v>
      </c>
      <c r="L168" s="18">
        <f t="shared" si="17"/>
        <v>2487.7773284417926</v>
      </c>
      <c r="M168" s="18">
        <f>'D) Ecrêtage'!N167</f>
        <v>1020.8936363636363</v>
      </c>
      <c r="N168" s="18">
        <f t="shared" si="13"/>
        <v>1378.0733059009929</v>
      </c>
      <c r="O168" s="98">
        <f t="shared" si="14"/>
        <v>3270.4696695373564</v>
      </c>
      <c r="P168" s="379"/>
      <c r="Q168" s="380"/>
      <c r="R168" s="379"/>
      <c r="T168" s="376"/>
      <c r="U168" s="381"/>
      <c r="V168" s="381"/>
      <c r="W168" s="382"/>
      <c r="X168" s="376"/>
      <c r="Y168" s="376"/>
      <c r="Z168" s="383"/>
    </row>
    <row r="169" spans="1:26" s="375" customFormat="1" x14ac:dyDescent="0.25">
      <c r="A169" s="391">
        <f>'A) Base RI'!A170</f>
        <v>5669</v>
      </c>
      <c r="B169" s="391" t="str">
        <f>'A) Base RI'!B170</f>
        <v>Curtilles</v>
      </c>
      <c r="C169" s="404">
        <v>0</v>
      </c>
      <c r="D169" s="377">
        <f>'B) D RI'!AR170</f>
        <v>306</v>
      </c>
      <c r="E169" s="378">
        <f>'B) D RI'!S170</f>
        <v>72</v>
      </c>
      <c r="F169" s="18">
        <f>'B) D RI'!R170</f>
        <v>583183.01000000013</v>
      </c>
      <c r="G169" s="18">
        <f>'B) D RI'!U170</f>
        <v>8099.7640277777791</v>
      </c>
      <c r="H169" s="73">
        <f>'B) D RI'!T170</f>
        <v>541864.41000000015</v>
      </c>
      <c r="I169" s="18">
        <f t="shared" si="15"/>
        <v>15051.789166666671</v>
      </c>
      <c r="J169" s="18">
        <f t="shared" si="16"/>
        <v>26281.042152468934</v>
      </c>
      <c r="K169" s="18">
        <f t="shared" si="12"/>
        <v>15051.789166666671</v>
      </c>
      <c r="L169" s="18">
        <f t="shared" si="17"/>
        <v>11229.252985802263</v>
      </c>
      <c r="M169" s="18">
        <f>'D) Ecrêtage'!N168</f>
        <v>8099.7640277777791</v>
      </c>
      <c r="N169" s="18">
        <f t="shared" si="13"/>
        <v>10933.625397584321</v>
      </c>
      <c r="O169" s="98">
        <f t="shared" si="14"/>
        <v>25985.41456425099</v>
      </c>
      <c r="P169" s="379"/>
      <c r="Q169" s="380"/>
      <c r="R169" s="379"/>
      <c r="T169" s="376"/>
      <c r="U169" s="381"/>
      <c r="V169" s="381"/>
      <c r="W169" s="382"/>
      <c r="X169" s="376"/>
      <c r="Y169" s="376"/>
      <c r="Z169" s="383"/>
    </row>
    <row r="170" spans="1:26" s="375" customFormat="1" x14ac:dyDescent="0.25">
      <c r="A170" s="391">
        <f>'A) Base RI'!A171</f>
        <v>5671</v>
      </c>
      <c r="B170" s="391" t="str">
        <f>'A) Base RI'!B171</f>
        <v>Dompierre</v>
      </c>
      <c r="C170" s="404">
        <v>0</v>
      </c>
      <c r="D170" s="377">
        <f>'B) D RI'!AR171</f>
        <v>247</v>
      </c>
      <c r="E170" s="378">
        <f>'B) D RI'!S171</f>
        <v>80</v>
      </c>
      <c r="F170" s="18">
        <f>'B) D RI'!R171</f>
        <v>470607.85000000003</v>
      </c>
      <c r="G170" s="18">
        <f>'B) D RI'!U171</f>
        <v>5882.5981250000004</v>
      </c>
      <c r="H170" s="73">
        <f>'B) D RI'!T171</f>
        <v>437687.15</v>
      </c>
      <c r="I170" s="18">
        <f t="shared" si="15"/>
        <v>10942.178750000001</v>
      </c>
      <c r="J170" s="18">
        <f t="shared" si="16"/>
        <v>21213.782391045184</v>
      </c>
      <c r="K170" s="18">
        <f t="shared" si="12"/>
        <v>10942.178750000001</v>
      </c>
      <c r="L170" s="18">
        <f t="shared" si="17"/>
        <v>10271.603641045183</v>
      </c>
      <c r="M170" s="18">
        <f>'D) Ecrêtage'!N169</f>
        <v>5882.5981250000004</v>
      </c>
      <c r="N170" s="18">
        <f t="shared" si="13"/>
        <v>7940.7405009214799</v>
      </c>
      <c r="O170" s="98">
        <f t="shared" si="14"/>
        <v>18882.919250921481</v>
      </c>
      <c r="P170" s="379"/>
      <c r="Q170" s="380"/>
      <c r="R170" s="379"/>
      <c r="T170" s="376"/>
      <c r="U170" s="381"/>
      <c r="V170" s="381"/>
      <c r="W170" s="382"/>
      <c r="X170" s="376"/>
      <c r="Y170" s="376"/>
      <c r="Z170" s="383"/>
    </row>
    <row r="171" spans="1:26" s="375" customFormat="1" x14ac:dyDescent="0.25">
      <c r="A171" s="391">
        <f>'A) Base RI'!A172</f>
        <v>5672</v>
      </c>
      <c r="B171" s="391" t="str">
        <f>'A) Base RI'!B172</f>
        <v>Forel-sur-Lucens</v>
      </c>
      <c r="C171" s="404">
        <v>0</v>
      </c>
      <c r="D171" s="377">
        <f>'B) D RI'!AR172</f>
        <v>153</v>
      </c>
      <c r="E171" s="378">
        <f>'B) D RI'!S172</f>
        <v>75</v>
      </c>
      <c r="F171" s="18">
        <f>'B) D RI'!R172</f>
        <v>289449.45750000002</v>
      </c>
      <c r="G171" s="18">
        <f>'B) D RI'!U172</f>
        <v>3859.3261000000002</v>
      </c>
      <c r="H171" s="73">
        <f>'B) D RI'!T172</f>
        <v>274057.77</v>
      </c>
      <c r="I171" s="18">
        <f t="shared" si="15"/>
        <v>7308.2072000000007</v>
      </c>
      <c r="J171" s="18">
        <f t="shared" si="16"/>
        <v>13140.521076234467</v>
      </c>
      <c r="K171" s="18">
        <f t="shared" si="12"/>
        <v>7308.2072000000007</v>
      </c>
      <c r="L171" s="18">
        <f t="shared" si="17"/>
        <v>5832.3138762344661</v>
      </c>
      <c r="M171" s="18">
        <f>'D) Ecrêtage'!N170</f>
        <v>3859.3261000000002</v>
      </c>
      <c r="N171" s="18">
        <f t="shared" si="13"/>
        <v>5209.5870595500419</v>
      </c>
      <c r="O171" s="98">
        <f t="shared" si="14"/>
        <v>12517.794259550043</v>
      </c>
      <c r="P171" s="379"/>
      <c r="Q171" s="380"/>
      <c r="R171" s="379"/>
      <c r="T171" s="376"/>
      <c r="U171" s="381"/>
      <c r="V171" s="381"/>
      <c r="W171" s="382"/>
      <c r="X171" s="376"/>
      <c r="Y171" s="376"/>
      <c r="Z171" s="383"/>
    </row>
    <row r="172" spans="1:26" s="375" customFormat="1" x14ac:dyDescent="0.25">
      <c r="A172" s="391">
        <f>'A) Base RI'!A173</f>
        <v>5673</v>
      </c>
      <c r="B172" s="391" t="str">
        <f>'A) Base RI'!B173</f>
        <v>Hermenches</v>
      </c>
      <c r="C172" s="404">
        <v>0</v>
      </c>
      <c r="D172" s="377">
        <f>'B) D RI'!AR173</f>
        <v>376</v>
      </c>
      <c r="E172" s="378">
        <f>'B) D RI'!S173</f>
        <v>71</v>
      </c>
      <c r="F172" s="18">
        <f>'B) D RI'!R173</f>
        <v>680474.92666666664</v>
      </c>
      <c r="G172" s="18">
        <f>'B) D RI'!U173</f>
        <v>9584.1538967136148</v>
      </c>
      <c r="H172" s="73">
        <f>'B) D RI'!T173</f>
        <v>637395.26</v>
      </c>
      <c r="I172" s="18">
        <f t="shared" si="15"/>
        <v>17954.796056338029</v>
      </c>
      <c r="J172" s="18">
        <f t="shared" si="16"/>
        <v>32293.045259242874</v>
      </c>
      <c r="K172" s="18">
        <f t="shared" si="12"/>
        <v>17954.796056338029</v>
      </c>
      <c r="L172" s="18">
        <f t="shared" si="17"/>
        <v>14338.249202904844</v>
      </c>
      <c r="M172" s="18">
        <f>'D) Ecrêtage'!N171</f>
        <v>9584.1538967136148</v>
      </c>
      <c r="N172" s="18">
        <f t="shared" si="13"/>
        <v>12937.358187237756</v>
      </c>
      <c r="O172" s="98">
        <f t="shared" si="14"/>
        <v>30892.154243575787</v>
      </c>
      <c r="P172" s="379"/>
      <c r="Q172" s="380"/>
      <c r="R172" s="379"/>
      <c r="T172" s="376"/>
      <c r="U172" s="381"/>
      <c r="V172" s="381"/>
      <c r="W172" s="382"/>
      <c r="X172" s="376"/>
      <c r="Y172" s="376"/>
      <c r="Z172" s="383"/>
    </row>
    <row r="173" spans="1:26" s="375" customFormat="1" x14ac:dyDescent="0.25">
      <c r="A173" s="391">
        <f>'A) Base RI'!A174</f>
        <v>5674</v>
      </c>
      <c r="B173" s="391" t="str">
        <f>'A) Base RI'!B174</f>
        <v>Lovatens</v>
      </c>
      <c r="C173" s="404">
        <v>0</v>
      </c>
      <c r="D173" s="377">
        <f>'B) D RI'!AR174</f>
        <v>140</v>
      </c>
      <c r="E173" s="378">
        <f>'B) D RI'!S174</f>
        <v>71</v>
      </c>
      <c r="F173" s="18">
        <f>'B) D RI'!R174</f>
        <v>409106.32428571419</v>
      </c>
      <c r="G173" s="18">
        <f>'B) D RI'!U174</f>
        <v>5762.0609054325942</v>
      </c>
      <c r="H173" s="73">
        <f>'B) D RI'!T174</f>
        <v>392307.60999999993</v>
      </c>
      <c r="I173" s="18">
        <f t="shared" si="15"/>
        <v>11050.918591549294</v>
      </c>
      <c r="J173" s="18">
        <f t="shared" si="16"/>
        <v>12024.006213547878</v>
      </c>
      <c r="K173" s="18">
        <f t="shared" si="12"/>
        <v>11050.918591549294</v>
      </c>
      <c r="L173" s="18">
        <f t="shared" si="17"/>
        <v>973.08762199858393</v>
      </c>
      <c r="M173" s="18">
        <f>'D) Ecrêtage'!N172</f>
        <v>5762.0609054325942</v>
      </c>
      <c r="N173" s="18">
        <f t="shared" si="13"/>
        <v>7778.0309700392618</v>
      </c>
      <c r="O173" s="98">
        <f t="shared" si="14"/>
        <v>18828.949561588557</v>
      </c>
      <c r="P173" s="379"/>
      <c r="Q173" s="380"/>
      <c r="R173" s="379"/>
      <c r="T173" s="376"/>
      <c r="U173" s="381"/>
      <c r="V173" s="381"/>
      <c r="W173" s="382"/>
      <c r="X173" s="376"/>
      <c r="Y173" s="376"/>
      <c r="Z173" s="383"/>
    </row>
    <row r="174" spans="1:26" s="375" customFormat="1" x14ac:dyDescent="0.25">
      <c r="A174" s="391">
        <f>'A) Base RI'!A175</f>
        <v>5675</v>
      </c>
      <c r="B174" s="391" t="str">
        <f>'A) Base RI'!B175</f>
        <v>Lucens</v>
      </c>
      <c r="C174" s="404">
        <v>0</v>
      </c>
      <c r="D174" s="377">
        <f>'B) D RI'!AR175</f>
        <v>3262</v>
      </c>
      <c r="E174" s="378">
        <f>'B) D RI'!S175</f>
        <v>66</v>
      </c>
      <c r="F174" s="18">
        <f>'B) D RI'!R175</f>
        <v>5195901.8481818186</v>
      </c>
      <c r="G174" s="18">
        <f>'B) D RI'!U175</f>
        <v>78725.785578512397</v>
      </c>
      <c r="H174" s="73">
        <f>'B) D RI'!T175</f>
        <v>4703464.03</v>
      </c>
      <c r="I174" s="18">
        <f t="shared" si="15"/>
        <v>142529.21303030304</v>
      </c>
      <c r="J174" s="18">
        <f t="shared" si="16"/>
        <v>280159.34477566555</v>
      </c>
      <c r="K174" s="18">
        <f t="shared" si="12"/>
        <v>142529.21303030304</v>
      </c>
      <c r="L174" s="18">
        <f t="shared" si="17"/>
        <v>137630.13174536251</v>
      </c>
      <c r="M174" s="18">
        <f>'D) Ecrêtage'!N173</f>
        <v>78725.785578512397</v>
      </c>
      <c r="N174" s="18">
        <f t="shared" si="13"/>
        <v>106269.54633419796</v>
      </c>
      <c r="O174" s="98">
        <f t="shared" si="14"/>
        <v>248798.75936450099</v>
      </c>
      <c r="P174" s="379"/>
      <c r="Q174" s="380"/>
      <c r="R174" s="379"/>
      <c r="T174" s="376"/>
      <c r="U174" s="381"/>
      <c r="V174" s="381"/>
      <c r="W174" s="382"/>
      <c r="X174" s="376"/>
      <c r="Y174" s="376"/>
      <c r="Z174" s="383"/>
    </row>
    <row r="175" spans="1:26" s="375" customFormat="1" x14ac:dyDescent="0.25">
      <c r="A175" s="391">
        <f>'A) Base RI'!A176</f>
        <v>5678</v>
      </c>
      <c r="B175" s="391" t="str">
        <f>'A) Base RI'!B176</f>
        <v>Moudon</v>
      </c>
      <c r="C175" s="404">
        <v>0</v>
      </c>
      <c r="D175" s="377">
        <f>'B) D RI'!AR176</f>
        <v>5656</v>
      </c>
      <c r="E175" s="378">
        <f>'B) D RI'!S176</f>
        <v>75</v>
      </c>
      <c r="F175" s="18">
        <f>'B) D RI'!R176</f>
        <v>8929518.5299999993</v>
      </c>
      <c r="G175" s="18">
        <f>'B) D RI'!U176</f>
        <v>119060.24706666666</v>
      </c>
      <c r="H175" s="73">
        <f>'B) D RI'!T176</f>
        <v>8155798.4799999995</v>
      </c>
      <c r="I175" s="18">
        <f t="shared" si="15"/>
        <v>217487.95946666665</v>
      </c>
      <c r="J175" s="18">
        <f t="shared" si="16"/>
        <v>485769.85102733428</v>
      </c>
      <c r="K175" s="18">
        <f t="shared" si="12"/>
        <v>217487.95946666665</v>
      </c>
      <c r="L175" s="18">
        <f t="shared" si="17"/>
        <v>268281.89156066766</v>
      </c>
      <c r="M175" s="18">
        <f>'D) Ecrêtage'!N174</f>
        <v>119060.24706666666</v>
      </c>
      <c r="N175" s="18">
        <f t="shared" si="13"/>
        <v>160715.81057256021</v>
      </c>
      <c r="O175" s="98">
        <f t="shared" si="14"/>
        <v>378203.77003922686</v>
      </c>
      <c r="P175" s="379"/>
      <c r="Q175" s="380"/>
      <c r="R175" s="379"/>
      <c r="T175" s="376"/>
      <c r="U175" s="381"/>
      <c r="V175" s="381"/>
      <c r="W175" s="382"/>
      <c r="X175" s="376"/>
      <c r="Y175" s="376"/>
      <c r="Z175" s="383"/>
    </row>
    <row r="176" spans="1:26" s="375" customFormat="1" x14ac:dyDescent="0.25">
      <c r="A176" s="391">
        <f>'A) Base RI'!A177</f>
        <v>5680</v>
      </c>
      <c r="B176" s="391" t="str">
        <f>'A) Base RI'!B177</f>
        <v>Ogens</v>
      </c>
      <c r="C176" s="404">
        <v>0</v>
      </c>
      <c r="D176" s="377">
        <f>'B) D RI'!AR177</f>
        <v>261</v>
      </c>
      <c r="E176" s="378">
        <f>'B) D RI'!S177</f>
        <v>78</v>
      </c>
      <c r="F176" s="18">
        <f>'B) D RI'!R177</f>
        <v>512318.61000000004</v>
      </c>
      <c r="G176" s="18">
        <f>'B) D RI'!U177</f>
        <v>6568.1873076923084</v>
      </c>
      <c r="H176" s="73">
        <f>'B) D RI'!T177</f>
        <v>476005.61000000004</v>
      </c>
      <c r="I176" s="18">
        <f t="shared" si="15"/>
        <v>12205.272051282052</v>
      </c>
      <c r="J176" s="18">
        <f t="shared" si="16"/>
        <v>22416.183012399972</v>
      </c>
      <c r="K176" s="18">
        <f t="shared" si="12"/>
        <v>12205.272051282052</v>
      </c>
      <c r="L176" s="18">
        <f t="shared" si="17"/>
        <v>10210.910961117919</v>
      </c>
      <c r="M176" s="18">
        <f>'D) Ecrêtage'!N175</f>
        <v>6568.1873076923084</v>
      </c>
      <c r="N176" s="18">
        <f t="shared" si="13"/>
        <v>8866.1965110578967</v>
      </c>
      <c r="O176" s="98">
        <f t="shared" si="14"/>
        <v>21071.468562339949</v>
      </c>
      <c r="P176" s="379"/>
      <c r="Q176" s="380"/>
      <c r="R176" s="379"/>
      <c r="T176" s="376"/>
      <c r="U176" s="381"/>
      <c r="V176" s="381"/>
      <c r="W176" s="382"/>
      <c r="X176" s="376"/>
      <c r="Y176" s="376"/>
      <c r="Z176" s="383"/>
    </row>
    <row r="177" spans="1:26" s="375" customFormat="1" x14ac:dyDescent="0.25">
      <c r="A177" s="391">
        <f>'A) Base RI'!A178</f>
        <v>5683</v>
      </c>
      <c r="B177" s="391" t="str">
        <f>'A) Base RI'!B178</f>
        <v>Prévonloup</v>
      </c>
      <c r="C177" s="404">
        <v>0</v>
      </c>
      <c r="D177" s="377">
        <f>'B) D RI'!AR178</f>
        <v>173</v>
      </c>
      <c r="E177" s="378">
        <f>'B) D RI'!S178</f>
        <v>74</v>
      </c>
      <c r="F177" s="18">
        <f>'B) D RI'!R178</f>
        <v>278276.85000000003</v>
      </c>
      <c r="G177" s="18">
        <f>'B) D RI'!U178</f>
        <v>3760.4979729729735</v>
      </c>
      <c r="H177" s="73">
        <f>'B) D RI'!T178</f>
        <v>262056.30000000005</v>
      </c>
      <c r="I177" s="18">
        <f t="shared" si="15"/>
        <v>7082.6027027027039</v>
      </c>
      <c r="J177" s="18">
        <f t="shared" si="16"/>
        <v>14858.236249598449</v>
      </c>
      <c r="K177" s="18">
        <f t="shared" si="12"/>
        <v>7082.6027027027039</v>
      </c>
      <c r="L177" s="18">
        <f t="shared" si="17"/>
        <v>7775.633546895745</v>
      </c>
      <c r="M177" s="18">
        <f>'D) Ecrêtage'!N176</f>
        <v>3760.4979729729735</v>
      </c>
      <c r="N177" s="18">
        <f t="shared" si="13"/>
        <v>5076.1819731854648</v>
      </c>
      <c r="O177" s="98">
        <f t="shared" si="14"/>
        <v>12158.784675888168</v>
      </c>
      <c r="P177" s="379"/>
      <c r="Q177" s="380"/>
      <c r="R177" s="379"/>
      <c r="T177" s="376"/>
      <c r="U177" s="381"/>
      <c r="V177" s="381"/>
      <c r="W177" s="382"/>
      <c r="X177" s="376"/>
      <c r="Y177" s="376"/>
      <c r="Z177" s="383"/>
    </row>
    <row r="178" spans="1:26" s="375" customFormat="1" x14ac:dyDescent="0.25">
      <c r="A178" s="391">
        <f>'A) Base RI'!A179</f>
        <v>5684</v>
      </c>
      <c r="B178" s="391" t="str">
        <f>'A) Base RI'!B179</f>
        <v>Rossenges</v>
      </c>
      <c r="C178" s="404">
        <v>0</v>
      </c>
      <c r="D178" s="377">
        <f>'B) D RI'!AR179</f>
        <v>63</v>
      </c>
      <c r="E178" s="378">
        <f>'B) D RI'!S179</f>
        <v>60</v>
      </c>
      <c r="F178" s="18">
        <f>'B) D RI'!R179</f>
        <v>75438.205000000002</v>
      </c>
      <c r="G178" s="18">
        <f>'B) D RI'!U179</f>
        <v>1257.3034166666666</v>
      </c>
      <c r="H178" s="73">
        <f>'B) D RI'!T179</f>
        <v>67770.83</v>
      </c>
      <c r="I178" s="18">
        <f t="shared" si="15"/>
        <v>2259.0276666666668</v>
      </c>
      <c r="J178" s="18">
        <f t="shared" si="16"/>
        <v>5410.8027960965455</v>
      </c>
      <c r="K178" s="18">
        <f t="shared" si="12"/>
        <v>2259.0276666666668</v>
      </c>
      <c r="L178" s="18">
        <f t="shared" si="17"/>
        <v>3151.7751294298787</v>
      </c>
      <c r="M178" s="18">
        <f>'D) Ecrêtage'!N177</f>
        <v>1257.3034166666666</v>
      </c>
      <c r="N178" s="18">
        <f t="shared" si="13"/>
        <v>1697.1956864165277</v>
      </c>
      <c r="O178" s="98">
        <f t="shared" si="14"/>
        <v>3956.2233530831945</v>
      </c>
      <c r="P178" s="379"/>
      <c r="Q178" s="380"/>
      <c r="R178" s="379"/>
      <c r="T178" s="376"/>
      <c r="U178" s="381"/>
      <c r="V178" s="381"/>
      <c r="W178" s="382"/>
      <c r="X178" s="376"/>
      <c r="Y178" s="376"/>
      <c r="Z178" s="383"/>
    </row>
    <row r="179" spans="1:26" s="375" customFormat="1" x14ac:dyDescent="0.25">
      <c r="A179" s="391">
        <f>'A) Base RI'!A180</f>
        <v>5686</v>
      </c>
      <c r="B179" s="391" t="str">
        <f>'A) Base RI'!B180</f>
        <v>Sarzens</v>
      </c>
      <c r="C179" s="404">
        <v>0</v>
      </c>
      <c r="D179" s="377">
        <f>'B) D RI'!AR180</f>
        <v>87</v>
      </c>
      <c r="E179" s="378">
        <f>'B) D RI'!S180</f>
        <v>76</v>
      </c>
      <c r="F179" s="18">
        <f>'B) D RI'!R180</f>
        <v>116410.78000000001</v>
      </c>
      <c r="G179" s="18">
        <f>'B) D RI'!U180</f>
        <v>1531.7207894736844</v>
      </c>
      <c r="H179" s="73">
        <f>'B) D RI'!T180</f>
        <v>107421.73000000001</v>
      </c>
      <c r="I179" s="18">
        <f t="shared" si="15"/>
        <v>2826.8876315789475</v>
      </c>
      <c r="J179" s="18">
        <f t="shared" si="16"/>
        <v>7472.0610041333248</v>
      </c>
      <c r="K179" s="18">
        <f t="shared" si="12"/>
        <v>2826.8876315789475</v>
      </c>
      <c r="L179" s="18">
        <f t="shared" si="17"/>
        <v>4645.1733725543772</v>
      </c>
      <c r="M179" s="18">
        <f>'D) Ecrêtage'!N178</f>
        <v>1531.7207894736844</v>
      </c>
      <c r="N179" s="18">
        <f t="shared" si="13"/>
        <v>2067.6233614168755</v>
      </c>
      <c r="O179" s="98">
        <f t="shared" si="14"/>
        <v>4894.5109929958235</v>
      </c>
      <c r="P179" s="379"/>
      <c r="Q179" s="380"/>
      <c r="R179" s="379"/>
      <c r="T179" s="376"/>
      <c r="U179" s="381"/>
      <c r="V179" s="381"/>
      <c r="W179" s="382"/>
      <c r="X179" s="376"/>
      <c r="Y179" s="376"/>
      <c r="Z179" s="383"/>
    </row>
    <row r="180" spans="1:26" s="375" customFormat="1" x14ac:dyDescent="0.25">
      <c r="A180" s="391">
        <f>'A) Base RI'!A181</f>
        <v>5688</v>
      </c>
      <c r="B180" s="391" t="str">
        <f>'A) Base RI'!B181</f>
        <v>Syens</v>
      </c>
      <c r="C180" s="404">
        <v>0</v>
      </c>
      <c r="D180" s="377">
        <f>'B) D RI'!AR181</f>
        <v>126</v>
      </c>
      <c r="E180" s="378">
        <f>'B) D RI'!S181</f>
        <v>75.599999999999994</v>
      </c>
      <c r="F180" s="18">
        <f>'B) D RI'!R181</f>
        <v>347972.36000000004</v>
      </c>
      <c r="G180" s="18">
        <f>'B) D RI'!U181</f>
        <v>4602.8089947089957</v>
      </c>
      <c r="H180" s="73">
        <f>'B) D RI'!T181</f>
        <v>328822.96000000002</v>
      </c>
      <c r="I180" s="18">
        <f t="shared" si="15"/>
        <v>8699.0201058201073</v>
      </c>
      <c r="J180" s="18">
        <f t="shared" si="16"/>
        <v>10821.605592193091</v>
      </c>
      <c r="K180" s="18">
        <f t="shared" si="12"/>
        <v>8699.0201058201073</v>
      </c>
      <c r="L180" s="18">
        <f t="shared" si="17"/>
        <v>2122.5854863729837</v>
      </c>
      <c r="M180" s="18">
        <f>'D) Ecrêtage'!N179</f>
        <v>4602.8089947089957</v>
      </c>
      <c r="N180" s="18">
        <f t="shared" si="13"/>
        <v>6213.1920327791222</v>
      </c>
      <c r="O180" s="98">
        <f t="shared" si="14"/>
        <v>14912.212138599229</v>
      </c>
      <c r="P180" s="379"/>
      <c r="Q180" s="380"/>
      <c r="R180" s="379"/>
      <c r="T180" s="376"/>
      <c r="U180" s="381"/>
      <c r="V180" s="381"/>
      <c r="W180" s="382"/>
      <c r="X180" s="376"/>
      <c r="Y180" s="376"/>
      <c r="Z180" s="383"/>
    </row>
    <row r="181" spans="1:26" s="375" customFormat="1" x14ac:dyDescent="0.25">
      <c r="A181" s="391">
        <f>'A) Base RI'!A182</f>
        <v>5690</v>
      </c>
      <c r="B181" s="391" t="str">
        <f>'A) Base RI'!B182</f>
        <v>Villars-le-Comte</v>
      </c>
      <c r="C181" s="404">
        <v>0</v>
      </c>
      <c r="D181" s="377">
        <f>'B) D RI'!AR182</f>
        <v>153</v>
      </c>
      <c r="E181" s="378">
        <f>'B) D RI'!S182</f>
        <v>76</v>
      </c>
      <c r="F181" s="18">
        <f>'B) D RI'!R182</f>
        <v>238873.57</v>
      </c>
      <c r="G181" s="18">
        <f>'B) D RI'!U182</f>
        <v>3143.0732894736843</v>
      </c>
      <c r="H181" s="73">
        <f>'B) D RI'!T182</f>
        <v>219682.87</v>
      </c>
      <c r="I181" s="18">
        <f t="shared" si="15"/>
        <v>5781.1281578947364</v>
      </c>
      <c r="J181" s="18">
        <f t="shared" si="16"/>
        <v>13140.521076234467</v>
      </c>
      <c r="K181" s="18">
        <f t="shared" si="12"/>
        <v>5781.1281578947364</v>
      </c>
      <c r="L181" s="18">
        <f t="shared" si="17"/>
        <v>7359.3929183397304</v>
      </c>
      <c r="M181" s="18">
        <f>'D) Ecrêtage'!N180</f>
        <v>3143.0732894736843</v>
      </c>
      <c r="N181" s="18">
        <f t="shared" si="13"/>
        <v>4242.7391497338067</v>
      </c>
      <c r="O181" s="98">
        <f t="shared" si="14"/>
        <v>10023.867307628543</v>
      </c>
      <c r="P181" s="379"/>
      <c r="Q181" s="380"/>
      <c r="R181" s="379"/>
      <c r="T181" s="376"/>
      <c r="U181" s="381"/>
      <c r="V181" s="381"/>
      <c r="W181" s="382"/>
      <c r="X181" s="376"/>
      <c r="Y181" s="376"/>
      <c r="Z181" s="383"/>
    </row>
    <row r="182" spans="1:26" s="375" customFormat="1" x14ac:dyDescent="0.25">
      <c r="A182" s="391">
        <f>'A) Base RI'!A183</f>
        <v>5692</v>
      </c>
      <c r="B182" s="391" t="str">
        <f>'A) Base RI'!B183</f>
        <v>Vucherens</v>
      </c>
      <c r="C182" s="404">
        <v>0</v>
      </c>
      <c r="D182" s="377">
        <f>'B) D RI'!AR183</f>
        <v>532</v>
      </c>
      <c r="E182" s="378">
        <f>'B) D RI'!S183</f>
        <v>79</v>
      </c>
      <c r="F182" s="18">
        <f>'B) D RI'!R183</f>
        <v>1263396.6399999999</v>
      </c>
      <c r="G182" s="18">
        <f>'B) D RI'!U183</f>
        <v>15992.362531645569</v>
      </c>
      <c r="H182" s="73">
        <f>'B) D RI'!T183</f>
        <v>1183934.49</v>
      </c>
      <c r="I182" s="18">
        <f t="shared" si="15"/>
        <v>29973.025063291137</v>
      </c>
      <c r="J182" s="18">
        <f t="shared" si="16"/>
        <v>45691.223611481939</v>
      </c>
      <c r="K182" s="18">
        <f t="shared" si="12"/>
        <v>29973.025063291137</v>
      </c>
      <c r="L182" s="18">
        <f t="shared" si="17"/>
        <v>15718.198548190801</v>
      </c>
      <c r="M182" s="18">
        <f>'D) Ecrêtage'!N181</f>
        <v>15992.362531645569</v>
      </c>
      <c r="N182" s="18">
        <f t="shared" si="13"/>
        <v>21587.604347943987</v>
      </c>
      <c r="O182" s="98">
        <f t="shared" si="14"/>
        <v>51560.629411235124</v>
      </c>
      <c r="P182" s="379"/>
      <c r="Q182" s="380"/>
      <c r="R182" s="379"/>
      <c r="T182" s="376"/>
      <c r="U182" s="381"/>
      <c r="V182" s="381"/>
      <c r="W182" s="382"/>
      <c r="X182" s="376"/>
      <c r="Y182" s="376"/>
      <c r="Z182" s="383"/>
    </row>
    <row r="183" spans="1:26" s="375" customFormat="1" x14ac:dyDescent="0.25">
      <c r="A183" s="391">
        <f>'A) Base RI'!A184</f>
        <v>5693</v>
      </c>
      <c r="B183" s="391" t="str">
        <f>'A) Base RI'!B184</f>
        <v>Montanaire</v>
      </c>
      <c r="C183" s="404">
        <v>0</v>
      </c>
      <c r="D183" s="377">
        <f>'B) D RI'!AR184</f>
        <v>2436</v>
      </c>
      <c r="E183" s="378">
        <f>'B) D RI'!S184</f>
        <v>72</v>
      </c>
      <c r="F183" s="18">
        <f>'B) D RI'!R184</f>
        <v>4253295.07</v>
      </c>
      <c r="G183" s="18">
        <f>'B) D RI'!U184</f>
        <v>59073.542638888895</v>
      </c>
      <c r="H183" s="73">
        <f>'B) D RI'!T184</f>
        <v>3954779.6200000006</v>
      </c>
      <c r="I183" s="18">
        <f t="shared" si="15"/>
        <v>109854.98944444447</v>
      </c>
      <c r="J183" s="18">
        <f t="shared" si="16"/>
        <v>209217.70811573308</v>
      </c>
      <c r="K183" s="18">
        <f t="shared" si="12"/>
        <v>109854.98944444447</v>
      </c>
      <c r="L183" s="18">
        <f t="shared" si="17"/>
        <v>99362.718671288618</v>
      </c>
      <c r="M183" s="18">
        <f>'D) Ecrêtage'!N182</f>
        <v>59073.542638888895</v>
      </c>
      <c r="N183" s="18">
        <f t="shared" si="13"/>
        <v>79741.580607384603</v>
      </c>
      <c r="O183" s="98">
        <f t="shared" si="14"/>
        <v>189596.57005182907</v>
      </c>
      <c r="P183" s="379"/>
      <c r="Q183" s="380"/>
      <c r="R183" s="379"/>
      <c r="T183" s="376"/>
      <c r="U183" s="381"/>
      <c r="V183" s="381"/>
      <c r="W183" s="382"/>
      <c r="X183" s="376"/>
      <c r="Y183" s="376"/>
      <c r="Z183" s="383"/>
    </row>
    <row r="184" spans="1:26" s="375" customFormat="1" x14ac:dyDescent="0.25">
      <c r="A184" s="391">
        <f>'A) Base RI'!A185</f>
        <v>5701</v>
      </c>
      <c r="B184" s="391" t="str">
        <f>'A) Base RI'!B185</f>
        <v>Arnex-sur-Nyon</v>
      </c>
      <c r="C184" s="404">
        <v>0</v>
      </c>
      <c r="D184" s="377">
        <f>'B) D RI'!AR185</f>
        <v>190</v>
      </c>
      <c r="E184" s="378">
        <f>'B) D RI'!S185</f>
        <v>63</v>
      </c>
      <c r="F184" s="18">
        <f>'B) D RI'!R185</f>
        <v>908746.60999999987</v>
      </c>
      <c r="G184" s="18">
        <f>'B) D RI'!U185</f>
        <v>14424.549365079363</v>
      </c>
      <c r="H184" s="73">
        <f>'B) D RI'!T185</f>
        <v>845833.20999999985</v>
      </c>
      <c r="I184" s="18">
        <f t="shared" si="15"/>
        <v>26851.847936507933</v>
      </c>
      <c r="J184" s="18">
        <f t="shared" si="16"/>
        <v>16318.294146957835</v>
      </c>
      <c r="K184" s="18">
        <f t="shared" si="12"/>
        <v>16318.294146957835</v>
      </c>
      <c r="L184" s="18">
        <f t="shared" si="17"/>
        <v>0</v>
      </c>
      <c r="M184" s="18">
        <f>'D) Ecrêtage'!N183</f>
        <v>12877.220634577323</v>
      </c>
      <c r="N184" s="18">
        <f t="shared" si="13"/>
        <v>17382.568936287815</v>
      </c>
      <c r="O184" s="98">
        <f t="shared" si="14"/>
        <v>33700.863083245647</v>
      </c>
      <c r="P184" s="379"/>
      <c r="Q184" s="380"/>
      <c r="R184" s="379"/>
      <c r="T184" s="376"/>
      <c r="U184" s="381"/>
      <c r="V184" s="381"/>
      <c r="W184" s="382"/>
      <c r="X184" s="376"/>
      <c r="Y184" s="376"/>
      <c r="Z184" s="383"/>
    </row>
    <row r="185" spans="1:26" s="375" customFormat="1" x14ac:dyDescent="0.25">
      <c r="A185" s="391">
        <f>'A) Base RI'!A186</f>
        <v>5702</v>
      </c>
      <c r="B185" s="391" t="str">
        <f>'A) Base RI'!B186</f>
        <v>Arzier-Le Muids</v>
      </c>
      <c r="C185" s="404">
        <v>0</v>
      </c>
      <c r="D185" s="377">
        <f>'B) D RI'!AR186</f>
        <v>2442</v>
      </c>
      <c r="E185" s="378">
        <f>'B) D RI'!S186</f>
        <v>64</v>
      </c>
      <c r="F185" s="18">
        <f>'B) D RI'!R186</f>
        <v>7930438.9333333336</v>
      </c>
      <c r="G185" s="18">
        <f>'B) D RI'!U186</f>
        <v>123913.10833333334</v>
      </c>
      <c r="H185" s="73">
        <f>'B) D RI'!T186</f>
        <v>7355014.9000000004</v>
      </c>
      <c r="I185" s="18">
        <f t="shared" si="15"/>
        <v>229844.21562500001</v>
      </c>
      <c r="J185" s="18">
        <f t="shared" si="16"/>
        <v>209733.02266774228</v>
      </c>
      <c r="K185" s="18">
        <f t="shared" si="12"/>
        <v>209733.02266774228</v>
      </c>
      <c r="L185" s="18">
        <f t="shared" si="17"/>
        <v>0</v>
      </c>
      <c r="M185" s="18">
        <f>'D) Ecrêtage'!N184</f>
        <v>123913.10833333334</v>
      </c>
      <c r="N185" s="18">
        <f t="shared" si="13"/>
        <v>167266.54057089289</v>
      </c>
      <c r="O185" s="98">
        <f t="shared" si="14"/>
        <v>376999.56323863519</v>
      </c>
      <c r="P185" s="379"/>
      <c r="Q185" s="380"/>
      <c r="R185" s="379"/>
      <c r="T185" s="376"/>
      <c r="U185" s="381"/>
      <c r="V185" s="381"/>
      <c r="W185" s="382"/>
      <c r="X185" s="376"/>
      <c r="Y185" s="376"/>
      <c r="Z185" s="383"/>
    </row>
    <row r="186" spans="1:26" s="375" customFormat="1" x14ac:dyDescent="0.25">
      <c r="A186" s="391">
        <f>'A) Base RI'!A187</f>
        <v>5703</v>
      </c>
      <c r="B186" s="391" t="str">
        <f>'A) Base RI'!B187</f>
        <v>Bassins</v>
      </c>
      <c r="C186" s="404">
        <v>0</v>
      </c>
      <c r="D186" s="377">
        <f>'B) D RI'!AR187</f>
        <v>1318</v>
      </c>
      <c r="E186" s="378">
        <f>'B) D RI'!S187</f>
        <v>70</v>
      </c>
      <c r="F186" s="18">
        <f>'B) D RI'!R187</f>
        <v>3687653.11</v>
      </c>
      <c r="G186" s="18">
        <f>'B) D RI'!U187</f>
        <v>52680.758714285716</v>
      </c>
      <c r="H186" s="73">
        <f>'B) D RI'!T187</f>
        <v>3424338.21</v>
      </c>
      <c r="I186" s="18">
        <f t="shared" si="15"/>
        <v>97838.234571428577</v>
      </c>
      <c r="J186" s="18">
        <f t="shared" si="16"/>
        <v>113197.42992468645</v>
      </c>
      <c r="K186" s="18">
        <f t="shared" si="12"/>
        <v>97838.234571428577</v>
      </c>
      <c r="L186" s="18">
        <f t="shared" si="17"/>
        <v>15359.195353257877</v>
      </c>
      <c r="M186" s="18">
        <f>'D) Ecrêtage'!N185</f>
        <v>52680.758714285716</v>
      </c>
      <c r="N186" s="18">
        <f t="shared" si="13"/>
        <v>71112.155794562423</v>
      </c>
      <c r="O186" s="98">
        <f t="shared" si="14"/>
        <v>168950.39036599098</v>
      </c>
      <c r="P186" s="379"/>
      <c r="Q186" s="380"/>
      <c r="R186" s="379"/>
      <c r="T186" s="376"/>
      <c r="U186" s="381"/>
      <c r="V186" s="381"/>
      <c r="W186" s="382"/>
      <c r="X186" s="376"/>
      <c r="Y186" s="376"/>
      <c r="Z186" s="383"/>
    </row>
    <row r="187" spans="1:26" s="375" customFormat="1" x14ac:dyDescent="0.25">
      <c r="A187" s="391">
        <f>'A) Base RI'!A188</f>
        <v>5704</v>
      </c>
      <c r="B187" s="391" t="str">
        <f>'A) Base RI'!B188</f>
        <v>Begnins</v>
      </c>
      <c r="C187" s="404">
        <v>0</v>
      </c>
      <c r="D187" s="377">
        <f>'B) D RI'!AR188</f>
        <v>1698</v>
      </c>
      <c r="E187" s="378">
        <f>'B) D RI'!S188</f>
        <v>67</v>
      </c>
      <c r="F187" s="18">
        <f>'B) D RI'!R188</f>
        <v>6605069.7866666671</v>
      </c>
      <c r="G187" s="18">
        <f>'B) D RI'!U188</f>
        <v>98583.13114427861</v>
      </c>
      <c r="H187" s="73">
        <f>'B) D RI'!T188</f>
        <v>6211770.0200000005</v>
      </c>
      <c r="I187" s="18">
        <f t="shared" si="15"/>
        <v>185425.97074626866</v>
      </c>
      <c r="J187" s="18">
        <f t="shared" si="16"/>
        <v>145834.01821860211</v>
      </c>
      <c r="K187" s="18">
        <f t="shared" si="12"/>
        <v>145834.01821860211</v>
      </c>
      <c r="L187" s="18">
        <f t="shared" si="17"/>
        <v>0</v>
      </c>
      <c r="M187" s="18">
        <f>'D) Ecrêtage'!N186</f>
        <v>96844.377238102184</v>
      </c>
      <c r="N187" s="18">
        <f t="shared" si="13"/>
        <v>130727.28278903401</v>
      </c>
      <c r="O187" s="98">
        <f t="shared" si="14"/>
        <v>276561.30100763612</v>
      </c>
      <c r="P187" s="379"/>
      <c r="Q187" s="380"/>
      <c r="R187" s="379"/>
      <c r="T187" s="376"/>
      <c r="U187" s="381"/>
      <c r="V187" s="381"/>
      <c r="W187" s="382"/>
      <c r="X187" s="376"/>
      <c r="Y187" s="376"/>
      <c r="Z187" s="383"/>
    </row>
    <row r="188" spans="1:26" s="375" customFormat="1" x14ac:dyDescent="0.25">
      <c r="A188" s="391">
        <f>'A) Base RI'!A189</f>
        <v>5705</v>
      </c>
      <c r="B188" s="391" t="str">
        <f>'A) Base RI'!B189</f>
        <v>Bogis-Bossey</v>
      </c>
      <c r="C188" s="404">
        <v>0</v>
      </c>
      <c r="D188" s="377">
        <f>'B) D RI'!AR189</f>
        <v>830</v>
      </c>
      <c r="E188" s="378">
        <f>'B) D RI'!S189</f>
        <v>64</v>
      </c>
      <c r="F188" s="18">
        <f>'B) D RI'!R189</f>
        <v>2781936.5100000002</v>
      </c>
      <c r="G188" s="18">
        <f>'B) D RI'!U189</f>
        <v>43467.757968750004</v>
      </c>
      <c r="H188" s="73">
        <f>'B) D RI'!T189</f>
        <v>2581677.1100000003</v>
      </c>
      <c r="I188" s="18">
        <f t="shared" si="15"/>
        <v>80677.40968750001</v>
      </c>
      <c r="J188" s="18">
        <f t="shared" si="16"/>
        <v>71285.179694605278</v>
      </c>
      <c r="K188" s="18">
        <f t="shared" si="12"/>
        <v>71285.179694605278</v>
      </c>
      <c r="L188" s="18">
        <f t="shared" si="17"/>
        <v>0</v>
      </c>
      <c r="M188" s="18">
        <f>'D) Ecrêtage'!N187</f>
        <v>43467.757968750004</v>
      </c>
      <c r="N188" s="18">
        <f t="shared" si="13"/>
        <v>58675.805970802321</v>
      </c>
      <c r="O188" s="98">
        <f t="shared" si="14"/>
        <v>129960.9856654076</v>
      </c>
      <c r="P188" s="379"/>
      <c r="Q188" s="380"/>
      <c r="R188" s="379"/>
      <c r="T188" s="376"/>
      <c r="U188" s="381"/>
      <c r="V188" s="381"/>
      <c r="W188" s="382"/>
      <c r="X188" s="376"/>
      <c r="Y188" s="376"/>
      <c r="Z188" s="383"/>
    </row>
    <row r="189" spans="1:26" s="375" customFormat="1" x14ac:dyDescent="0.25">
      <c r="A189" s="391">
        <f>'A) Base RI'!A190</f>
        <v>5706</v>
      </c>
      <c r="B189" s="391" t="str">
        <f>'A) Base RI'!B190</f>
        <v>Borex</v>
      </c>
      <c r="C189" s="404">
        <v>0</v>
      </c>
      <c r="D189" s="377">
        <f>'B) D RI'!AR190</f>
        <v>919</v>
      </c>
      <c r="E189" s="378">
        <f>'B) D RI'!S190</f>
        <v>57</v>
      </c>
      <c r="F189" s="18">
        <f>'B) D RI'!R190</f>
        <v>5297490.0099999988</v>
      </c>
      <c r="G189" s="18">
        <f>'B) D RI'!U190</f>
        <v>92938.421228070161</v>
      </c>
      <c r="H189" s="73">
        <f>'B) D RI'!T190</f>
        <v>5078458.9099999992</v>
      </c>
      <c r="I189" s="18">
        <f t="shared" si="15"/>
        <v>178191.54070175436</v>
      </c>
      <c r="J189" s="18">
        <f t="shared" si="16"/>
        <v>78929.012216075003</v>
      </c>
      <c r="K189" s="18">
        <f t="shared" si="12"/>
        <v>78929.012216075003</v>
      </c>
      <c r="L189" s="18">
        <f t="shared" si="17"/>
        <v>0</v>
      </c>
      <c r="M189" s="18">
        <f>'D) Ecrêtage'!N188</f>
        <v>73959.517893209413</v>
      </c>
      <c r="N189" s="18">
        <f t="shared" si="13"/>
        <v>99835.706380713338</v>
      </c>
      <c r="O189" s="98">
        <f t="shared" si="14"/>
        <v>178764.71859678836</v>
      </c>
      <c r="P189" s="379"/>
      <c r="Q189" s="380"/>
      <c r="R189" s="379"/>
      <c r="T189" s="376"/>
      <c r="U189" s="381"/>
      <c r="V189" s="381"/>
      <c r="W189" s="382"/>
      <c r="X189" s="376"/>
      <c r="Y189" s="376"/>
      <c r="Z189" s="383"/>
    </row>
    <row r="190" spans="1:26" s="375" customFormat="1" x14ac:dyDescent="0.25">
      <c r="A190" s="391">
        <f>'A) Base RI'!A191</f>
        <v>5707</v>
      </c>
      <c r="B190" s="391" t="str">
        <f>'A) Base RI'!B191</f>
        <v>Chavannes-de-Bogis</v>
      </c>
      <c r="C190" s="404">
        <v>0</v>
      </c>
      <c r="D190" s="377">
        <f>'B) D RI'!AR191</f>
        <v>1125</v>
      </c>
      <c r="E190" s="378">
        <f>'B) D RI'!S191</f>
        <v>59</v>
      </c>
      <c r="F190" s="18">
        <f>'B) D RI'!R191</f>
        <v>5781996.6666666679</v>
      </c>
      <c r="G190" s="18">
        <f>'B) D RI'!U191</f>
        <v>97999.943502824884</v>
      </c>
      <c r="H190" s="73">
        <f>'B) D RI'!T191</f>
        <v>5314728.8000000007</v>
      </c>
      <c r="I190" s="18">
        <f t="shared" si="15"/>
        <v>180160.29830508478</v>
      </c>
      <c r="J190" s="18">
        <f t="shared" si="16"/>
        <v>96621.478501724021</v>
      </c>
      <c r="K190" s="18">
        <f t="shared" si="12"/>
        <v>96621.478501724021</v>
      </c>
      <c r="L190" s="18">
        <f t="shared" si="17"/>
        <v>0</v>
      </c>
      <c r="M190" s="18">
        <f>'D) Ecrêtage'!N189</f>
        <v>83046.071989492659</v>
      </c>
      <c r="N190" s="18">
        <f t="shared" si="13"/>
        <v>112101.36971398249</v>
      </c>
      <c r="O190" s="98">
        <f t="shared" si="14"/>
        <v>208722.84821570653</v>
      </c>
      <c r="P190" s="379"/>
      <c r="Q190" s="380"/>
      <c r="R190" s="379"/>
      <c r="T190" s="376"/>
      <c r="U190" s="381"/>
      <c r="V190" s="381"/>
      <c r="W190" s="382"/>
      <c r="X190" s="376"/>
      <c r="Y190" s="376"/>
      <c r="Z190" s="383"/>
    </row>
    <row r="191" spans="1:26" s="375" customFormat="1" x14ac:dyDescent="0.25">
      <c r="A191" s="391">
        <f>'A) Base RI'!A192</f>
        <v>5708</v>
      </c>
      <c r="B191" s="391" t="str">
        <f>'A) Base RI'!B192</f>
        <v>Chavannes-des-Bois</v>
      </c>
      <c r="C191" s="404">
        <v>0</v>
      </c>
      <c r="D191" s="377">
        <f>'B) D RI'!AR192</f>
        <v>797</v>
      </c>
      <c r="E191" s="378">
        <f>'B) D RI'!S192</f>
        <v>61</v>
      </c>
      <c r="F191" s="18">
        <f>'B) D RI'!R192</f>
        <v>3672164.7499999995</v>
      </c>
      <c r="G191" s="18">
        <f>'B) D RI'!U192</f>
        <v>60199.422131147534</v>
      </c>
      <c r="H191" s="73">
        <f>'B) D RI'!T192</f>
        <v>3432759.1499999994</v>
      </c>
      <c r="I191" s="18">
        <f t="shared" si="15"/>
        <v>112549.48032786883</v>
      </c>
      <c r="J191" s="18">
        <f t="shared" si="16"/>
        <v>68450.949658554702</v>
      </c>
      <c r="K191" s="18">
        <f t="shared" si="12"/>
        <v>68450.949658554702</v>
      </c>
      <c r="L191" s="18">
        <f t="shared" si="17"/>
        <v>0</v>
      </c>
      <c r="M191" s="18">
        <f>'D) Ecrêtage'!N190</f>
        <v>53850.357898268448</v>
      </c>
      <c r="N191" s="18">
        <f t="shared" si="13"/>
        <v>72690.962201654256</v>
      </c>
      <c r="O191" s="98">
        <f t="shared" si="14"/>
        <v>141141.91186020896</v>
      </c>
      <c r="P191" s="379"/>
      <c r="Q191" s="380"/>
      <c r="R191" s="379"/>
      <c r="T191" s="376"/>
      <c r="U191" s="381"/>
      <c r="V191" s="381"/>
      <c r="W191" s="382"/>
      <c r="X191" s="376"/>
      <c r="Y191" s="376"/>
      <c r="Z191" s="383"/>
    </row>
    <row r="192" spans="1:26" s="375" customFormat="1" x14ac:dyDescent="0.25">
      <c r="A192" s="391">
        <f>'A) Base RI'!A193</f>
        <v>5709</v>
      </c>
      <c r="B192" s="391" t="str">
        <f>'A) Base RI'!B193</f>
        <v>Chéserex</v>
      </c>
      <c r="C192" s="404">
        <v>0</v>
      </c>
      <c r="D192" s="377">
        <f>'B) D RI'!AR193</f>
        <v>1225</v>
      </c>
      <c r="E192" s="378">
        <f>'B) D RI'!S193</f>
        <v>52</v>
      </c>
      <c r="F192" s="18">
        <f>'B) D RI'!R193</f>
        <v>7590330.9500000002</v>
      </c>
      <c r="G192" s="18">
        <f>'B) D RI'!U193</f>
        <v>145967.90288461538</v>
      </c>
      <c r="H192" s="73">
        <f>'B) D RI'!T193</f>
        <v>7302186.75</v>
      </c>
      <c r="I192" s="18">
        <f t="shared" si="15"/>
        <v>280853.33653846156</v>
      </c>
      <c r="J192" s="18">
        <f t="shared" si="16"/>
        <v>105210.05436854393</v>
      </c>
      <c r="K192" s="18">
        <f t="shared" si="12"/>
        <v>105210.05436854393</v>
      </c>
      <c r="L192" s="18">
        <f t="shared" si="17"/>
        <v>0</v>
      </c>
      <c r="M192" s="18">
        <f>'D) Ecrêtage'!N191</f>
        <v>108302.70031303026</v>
      </c>
      <c r="N192" s="18">
        <f t="shared" si="13"/>
        <v>146194.52501437717</v>
      </c>
      <c r="O192" s="98">
        <f t="shared" si="14"/>
        <v>251404.5793829211</v>
      </c>
      <c r="P192" s="379"/>
      <c r="Q192" s="380"/>
      <c r="R192" s="379"/>
      <c r="T192" s="376"/>
      <c r="U192" s="381"/>
      <c r="V192" s="381"/>
      <c r="W192" s="382"/>
      <c r="X192" s="376"/>
      <c r="Y192" s="376"/>
      <c r="Z192" s="383"/>
    </row>
    <row r="193" spans="1:26" s="375" customFormat="1" x14ac:dyDescent="0.25">
      <c r="A193" s="391">
        <f>'A) Base RI'!A194</f>
        <v>5710</v>
      </c>
      <c r="B193" s="391" t="str">
        <f>'A) Base RI'!B194</f>
        <v>Coinsins</v>
      </c>
      <c r="C193" s="404">
        <v>0</v>
      </c>
      <c r="D193" s="377">
        <f>'B) D RI'!AR194</f>
        <v>427</v>
      </c>
      <c r="E193" s="378">
        <f>'B) D RI'!S194</f>
        <v>39</v>
      </c>
      <c r="F193" s="18">
        <f>'B) D RI'!R194</f>
        <v>3997262.3800000004</v>
      </c>
      <c r="G193" s="18">
        <f>'B) D RI'!U194</f>
        <v>102493.90717948719</v>
      </c>
      <c r="H193" s="73">
        <f>'B) D RI'!T194</f>
        <v>3885328.58</v>
      </c>
      <c r="I193" s="18">
        <f t="shared" si="15"/>
        <v>199247.6194871795</v>
      </c>
      <c r="J193" s="18">
        <f t="shared" si="16"/>
        <v>36673.218951321032</v>
      </c>
      <c r="K193" s="18">
        <f t="shared" si="12"/>
        <v>36673.218951321032</v>
      </c>
      <c r="L193" s="18">
        <f t="shared" si="17"/>
        <v>0</v>
      </c>
      <c r="M193" s="18">
        <f>'D) Ecrêtage'!N192</f>
        <v>56105.937023684404</v>
      </c>
      <c r="N193" s="18">
        <f t="shared" si="13"/>
        <v>75735.699940597362</v>
      </c>
      <c r="O193" s="98">
        <f t="shared" si="14"/>
        <v>112408.91889191839</v>
      </c>
      <c r="P193" s="379"/>
      <c r="Q193" s="380"/>
      <c r="R193" s="379"/>
      <c r="T193" s="376"/>
      <c r="U193" s="381"/>
      <c r="V193" s="381"/>
      <c r="W193" s="382"/>
      <c r="X193" s="376"/>
      <c r="Y193" s="376"/>
      <c r="Z193" s="383"/>
    </row>
    <row r="194" spans="1:26" s="375" customFormat="1" x14ac:dyDescent="0.25">
      <c r="A194" s="391">
        <f>'A) Base RI'!A195</f>
        <v>5711</v>
      </c>
      <c r="B194" s="391" t="str">
        <f>'A) Base RI'!B195</f>
        <v>Commugny</v>
      </c>
      <c r="C194" s="404">
        <v>0</v>
      </c>
      <c r="D194" s="377">
        <f>'B) D RI'!AR195</f>
        <v>2524</v>
      </c>
      <c r="E194" s="378">
        <f>'B) D RI'!S195</f>
        <v>58</v>
      </c>
      <c r="F194" s="18">
        <f>'B) D RI'!R195</f>
        <v>13685201.616153847</v>
      </c>
      <c r="G194" s="18">
        <f>'B) D RI'!U195</f>
        <v>235951.75200265253</v>
      </c>
      <c r="H194" s="73">
        <f>'B) D RI'!T195</f>
        <v>12923549.770000001</v>
      </c>
      <c r="I194" s="18">
        <f t="shared" si="15"/>
        <v>445639.64724137937</v>
      </c>
      <c r="J194" s="18">
        <f t="shared" si="16"/>
        <v>216775.65487853461</v>
      </c>
      <c r="K194" s="18">
        <f t="shared" si="12"/>
        <v>216775.65487853461</v>
      </c>
      <c r="L194" s="18">
        <f t="shared" si="17"/>
        <v>0</v>
      </c>
      <c r="M194" s="18">
        <f>'D) Ecrêtage'!N193</f>
        <v>194635.01689141191</v>
      </c>
      <c r="N194" s="18">
        <f t="shared" si="13"/>
        <v>262731.89646575949</v>
      </c>
      <c r="O194" s="98">
        <f t="shared" si="14"/>
        <v>479507.5513442941</v>
      </c>
      <c r="P194" s="379"/>
      <c r="Q194" s="380"/>
      <c r="R194" s="379"/>
      <c r="T194" s="376"/>
      <c r="U194" s="381"/>
      <c r="V194" s="381"/>
      <c r="W194" s="382"/>
      <c r="X194" s="376"/>
      <c r="Y194" s="376"/>
      <c r="Z194" s="383"/>
    </row>
    <row r="195" spans="1:26" s="375" customFormat="1" x14ac:dyDescent="0.25">
      <c r="A195" s="391">
        <f>'A) Base RI'!A196</f>
        <v>5712</v>
      </c>
      <c r="B195" s="391" t="str">
        <f>'A) Base RI'!B196</f>
        <v>Coppet</v>
      </c>
      <c r="C195" s="404">
        <v>0</v>
      </c>
      <c r="D195" s="377">
        <f>'B) D RI'!AR196</f>
        <v>2892</v>
      </c>
      <c r="E195" s="378">
        <f>'B) D RI'!S196</f>
        <v>53</v>
      </c>
      <c r="F195" s="18">
        <f>'B) D RI'!R196</f>
        <v>15509724.203333331</v>
      </c>
      <c r="G195" s="18">
        <f>'B) D RI'!U196</f>
        <v>292636.3057232704</v>
      </c>
      <c r="H195" s="73">
        <f>'B) D RI'!T196</f>
        <v>14497761.169999998</v>
      </c>
      <c r="I195" s="18">
        <f t="shared" si="15"/>
        <v>547085.32716981124</v>
      </c>
      <c r="J195" s="18">
        <f t="shared" si="16"/>
        <v>248381.6140684319</v>
      </c>
      <c r="K195" s="18">
        <f t="shared" si="12"/>
        <v>248381.6140684319</v>
      </c>
      <c r="L195" s="18">
        <f t="shared" si="17"/>
        <v>0</v>
      </c>
      <c r="M195" s="18">
        <f>'D) Ecrêtage'!N194</f>
        <v>232817.25798164154</v>
      </c>
      <c r="N195" s="18">
        <f t="shared" si="13"/>
        <v>314272.94377147435</v>
      </c>
      <c r="O195" s="98">
        <f t="shared" si="14"/>
        <v>562654.55783990631</v>
      </c>
      <c r="P195" s="379"/>
      <c r="Q195" s="380"/>
      <c r="R195" s="379"/>
      <c r="T195" s="376"/>
      <c r="U195" s="381"/>
      <c r="V195" s="381"/>
      <c r="W195" s="382"/>
      <c r="X195" s="376"/>
      <c r="Y195" s="376"/>
      <c r="Z195" s="383"/>
    </row>
    <row r="196" spans="1:26" s="375" customFormat="1" x14ac:dyDescent="0.25">
      <c r="A196" s="391">
        <f>'A) Base RI'!A197</f>
        <v>5713</v>
      </c>
      <c r="B196" s="391" t="str">
        <f>'A) Base RI'!B197</f>
        <v>Crans-près-Céligny</v>
      </c>
      <c r="C196" s="404">
        <v>1</v>
      </c>
      <c r="D196" s="377">
        <f>'B) D RI'!AR197</f>
        <v>2048</v>
      </c>
      <c r="E196" s="378">
        <f>'B) D RI'!S197</f>
        <v>53</v>
      </c>
      <c r="F196" s="18">
        <f>'B) D RI'!R197</f>
        <v>17806893.029999997</v>
      </c>
      <c r="G196" s="18">
        <f>'B) D RI'!U197</f>
        <v>335979.11377358483</v>
      </c>
      <c r="H196" s="73">
        <f>'B) D RI'!T197</f>
        <v>17133330.729999997</v>
      </c>
      <c r="I196" s="18">
        <f t="shared" si="15"/>
        <v>646540.7822641508</v>
      </c>
      <c r="J196" s="18">
        <f t="shared" si="16"/>
        <v>175894.03375247182</v>
      </c>
      <c r="K196" s="18">
        <f t="shared" si="12"/>
        <v>0</v>
      </c>
      <c r="L196" s="18">
        <f t="shared" si="17"/>
        <v>175894.03375247182</v>
      </c>
      <c r="M196" s="18">
        <f>'D) Ecrêtage'!N195</f>
        <v>216191.68457830031</v>
      </c>
      <c r="N196" s="18">
        <f t="shared" si="13"/>
        <v>291830.58730420261</v>
      </c>
      <c r="O196" s="98">
        <f t="shared" si="14"/>
        <v>291830.58730420261</v>
      </c>
      <c r="P196" s="379"/>
      <c r="Q196" s="380"/>
      <c r="R196" s="379"/>
      <c r="T196" s="376"/>
      <c r="U196" s="381"/>
      <c r="V196" s="381"/>
      <c r="W196" s="382"/>
      <c r="X196" s="376"/>
      <c r="Y196" s="376"/>
      <c r="Z196" s="383"/>
    </row>
    <row r="197" spans="1:26" s="375" customFormat="1" x14ac:dyDescent="0.25">
      <c r="A197" s="391">
        <f>'A) Base RI'!A198</f>
        <v>5714</v>
      </c>
      <c r="B197" s="391" t="str">
        <f>'A) Base RI'!B198</f>
        <v>Crassier</v>
      </c>
      <c r="C197" s="404">
        <v>0</v>
      </c>
      <c r="D197" s="377">
        <f>'B) D RI'!AR198</f>
        <v>1114</v>
      </c>
      <c r="E197" s="378">
        <f>'B) D RI'!S198</f>
        <v>64</v>
      </c>
      <c r="F197" s="18">
        <f>'B) D RI'!R198</f>
        <v>4121255.8099999991</v>
      </c>
      <c r="G197" s="18">
        <f>'B) D RI'!U198</f>
        <v>64394.622031249986</v>
      </c>
      <c r="H197" s="73">
        <f>'B) D RI'!T198</f>
        <v>3877514.6599999992</v>
      </c>
      <c r="I197" s="18">
        <f t="shared" si="15"/>
        <v>121172.33312499998</v>
      </c>
      <c r="J197" s="18">
        <f t="shared" si="16"/>
        <v>95676.735156373834</v>
      </c>
      <c r="K197" s="18">
        <f t="shared" si="12"/>
        <v>95676.735156373834</v>
      </c>
      <c r="L197" s="18">
        <f t="shared" si="17"/>
        <v>0</v>
      </c>
      <c r="M197" s="18">
        <f>'D) Ecrêtage'!N196</f>
        <v>63355.554014382178</v>
      </c>
      <c r="N197" s="18">
        <f t="shared" si="13"/>
        <v>85521.737679526253</v>
      </c>
      <c r="O197" s="98">
        <f t="shared" si="14"/>
        <v>181198.47283590009</v>
      </c>
      <c r="P197" s="379"/>
      <c r="Q197" s="380"/>
      <c r="R197" s="379"/>
      <c r="T197" s="376"/>
      <c r="U197" s="381"/>
      <c r="V197" s="381"/>
      <c r="W197" s="382"/>
      <c r="X197" s="376"/>
      <c r="Y197" s="376"/>
      <c r="Z197" s="383"/>
    </row>
    <row r="198" spans="1:26" s="375" customFormat="1" x14ac:dyDescent="0.25">
      <c r="A198" s="391">
        <f>'A) Base RI'!A199</f>
        <v>5715</v>
      </c>
      <c r="B198" s="391" t="str">
        <f>'A) Base RI'!B199</f>
        <v>Duillier</v>
      </c>
      <c r="C198" s="404">
        <v>0</v>
      </c>
      <c r="D198" s="377">
        <f>'B) D RI'!AR199</f>
        <v>1014</v>
      </c>
      <c r="E198" s="378">
        <f>'B) D RI'!S199</f>
        <v>66</v>
      </c>
      <c r="F198" s="18">
        <f>'B) D RI'!R199</f>
        <v>3988413.65</v>
      </c>
      <c r="G198" s="18">
        <f>'B) D RI'!U199</f>
        <v>60430.509848484849</v>
      </c>
      <c r="H198" s="73">
        <f>'B) D RI'!T199</f>
        <v>3758357.85</v>
      </c>
      <c r="I198" s="18">
        <f t="shared" si="15"/>
        <v>113889.63181818182</v>
      </c>
      <c r="J198" s="18">
        <f t="shared" si="16"/>
        <v>87088.159289553922</v>
      </c>
      <c r="K198" s="18">
        <f t="shared" ref="K198:K261" si="18">IF(C198=1,0,IF(J198&gt;I198,I198,J198))</f>
        <v>87088.159289553922</v>
      </c>
      <c r="L198" s="18">
        <f t="shared" si="17"/>
        <v>0</v>
      </c>
      <c r="M198" s="18">
        <f>'D) Ecrêtage'!N197</f>
        <v>58830.820609299182</v>
      </c>
      <c r="N198" s="18">
        <f t="shared" ref="N198:N261" si="19">+$N$5*M198</f>
        <v>79413.937513317403</v>
      </c>
      <c r="O198" s="98">
        <f t="shared" ref="O198:O261" si="20">+N198+K198</f>
        <v>166502.09680287133</v>
      </c>
      <c r="P198" s="379"/>
      <c r="Q198" s="380"/>
      <c r="R198" s="379"/>
      <c r="T198" s="376"/>
      <c r="U198" s="381"/>
      <c r="V198" s="381"/>
      <c r="W198" s="382"/>
      <c r="X198" s="376"/>
      <c r="Y198" s="376"/>
      <c r="Z198" s="383"/>
    </row>
    <row r="199" spans="1:26" s="375" customFormat="1" x14ac:dyDescent="0.25">
      <c r="A199" s="391">
        <f>'A) Base RI'!A200</f>
        <v>5716</v>
      </c>
      <c r="B199" s="391" t="str">
        <f>'A) Base RI'!B200</f>
        <v>Eysins</v>
      </c>
      <c r="C199" s="404">
        <v>0</v>
      </c>
      <c r="D199" s="377">
        <f>'B) D RI'!AR200</f>
        <v>1462</v>
      </c>
      <c r="E199" s="378">
        <f>'B) D RI'!S200</f>
        <v>61</v>
      </c>
      <c r="F199" s="18">
        <f>'B) D RI'!R200</f>
        <v>8393834.8300000001</v>
      </c>
      <c r="G199" s="18">
        <f>'B) D RI'!U200</f>
        <v>137603.84967213115</v>
      </c>
      <c r="H199" s="73">
        <f>'B) D RI'!T200</f>
        <v>7796649.2800000003</v>
      </c>
      <c r="I199" s="18">
        <f t="shared" ref="I199:I262" si="21">+H199/E199*$I$5</f>
        <v>255627.84524590164</v>
      </c>
      <c r="J199" s="18">
        <f t="shared" ref="J199:J262" si="22">+$I$324/$D$324*D199</f>
        <v>125564.97917290713</v>
      </c>
      <c r="K199" s="18">
        <f t="shared" si="18"/>
        <v>125564.97917290713</v>
      </c>
      <c r="L199" s="18">
        <f t="shared" ref="L199:L262" si="23">+J199-K199</f>
        <v>0</v>
      </c>
      <c r="M199" s="18">
        <f>'D) Ecrêtage'!N198</f>
        <v>113150.03286801104</v>
      </c>
      <c r="N199" s="18">
        <f t="shared" si="19"/>
        <v>152737.79197276235</v>
      </c>
      <c r="O199" s="98">
        <f t="shared" si="20"/>
        <v>278302.77114566951</v>
      </c>
      <c r="P199" s="379"/>
      <c r="Q199" s="380"/>
      <c r="R199" s="379"/>
      <c r="T199" s="376"/>
      <c r="U199" s="381"/>
      <c r="V199" s="381"/>
      <c r="W199" s="382"/>
      <c r="X199" s="376"/>
      <c r="Y199" s="376"/>
      <c r="Z199" s="383"/>
    </row>
    <row r="200" spans="1:26" s="375" customFormat="1" x14ac:dyDescent="0.25">
      <c r="A200" s="391">
        <f>'A) Base RI'!A201</f>
        <v>5717</v>
      </c>
      <c r="B200" s="391" t="str">
        <f>'A) Base RI'!B201</f>
        <v>Founex</v>
      </c>
      <c r="C200" s="404">
        <v>0</v>
      </c>
      <c r="D200" s="377">
        <f>'B) D RI'!AR201</f>
        <v>3276</v>
      </c>
      <c r="E200" s="378">
        <f>'B) D RI'!S201</f>
        <v>57</v>
      </c>
      <c r="F200" s="18">
        <f>'B) D RI'!R201</f>
        <v>18908511.170000002</v>
      </c>
      <c r="G200" s="18">
        <f>'B) D RI'!U201</f>
        <v>331728.2661403509</v>
      </c>
      <c r="H200" s="73">
        <f>'B) D RI'!T201</f>
        <v>17788694.470000003</v>
      </c>
      <c r="I200" s="18">
        <f t="shared" si="21"/>
        <v>624164.71824561409</v>
      </c>
      <c r="J200" s="18">
        <f t="shared" si="22"/>
        <v>281361.74539702036</v>
      </c>
      <c r="K200" s="18">
        <f t="shared" si="18"/>
        <v>281361.74539702036</v>
      </c>
      <c r="L200" s="18">
        <f t="shared" si="23"/>
        <v>0</v>
      </c>
      <c r="M200" s="18">
        <f>'D) Ecrêtage'!N199</f>
        <v>263834.45529888675</v>
      </c>
      <c r="N200" s="18">
        <f t="shared" si="19"/>
        <v>356142.11615559371</v>
      </c>
      <c r="O200" s="98">
        <f t="shared" si="20"/>
        <v>637503.86155261402</v>
      </c>
      <c r="P200" s="379"/>
      <c r="Q200" s="380"/>
      <c r="R200" s="379"/>
      <c r="T200" s="376"/>
      <c r="U200" s="381"/>
      <c r="V200" s="381"/>
      <c r="W200" s="382"/>
      <c r="X200" s="376"/>
      <c r="Y200" s="376"/>
      <c r="Z200" s="383"/>
    </row>
    <row r="201" spans="1:26" s="375" customFormat="1" x14ac:dyDescent="0.25">
      <c r="A201" s="391">
        <f>'A) Base RI'!A202</f>
        <v>5718</v>
      </c>
      <c r="B201" s="391" t="str">
        <f>'A) Base RI'!B202</f>
        <v>Genolier</v>
      </c>
      <c r="C201" s="404">
        <v>0</v>
      </c>
      <c r="D201" s="377">
        <f>'B) D RI'!AR202</f>
        <v>1875</v>
      </c>
      <c r="E201" s="378">
        <f>'B) D RI'!S202</f>
        <v>55</v>
      </c>
      <c r="F201" s="18">
        <f>'B) D RI'!R202</f>
        <v>9826279.6900000013</v>
      </c>
      <c r="G201" s="18">
        <f>'B) D RI'!U202</f>
        <v>178659.63072727274</v>
      </c>
      <c r="H201" s="73">
        <f>'B) D RI'!T202</f>
        <v>9238668.1900000013</v>
      </c>
      <c r="I201" s="18">
        <f t="shared" si="21"/>
        <v>335951.57054545457</v>
      </c>
      <c r="J201" s="18">
        <f t="shared" si="22"/>
        <v>161035.79750287338</v>
      </c>
      <c r="K201" s="18">
        <f t="shared" si="18"/>
        <v>161035.79750287338</v>
      </c>
      <c r="L201" s="18">
        <f t="shared" si="23"/>
        <v>0</v>
      </c>
      <c r="M201" s="18">
        <f>'D) Ecrêtage'!N200</f>
        <v>146074.76258704002</v>
      </c>
      <c r="N201" s="18">
        <f t="shared" si="19"/>
        <v>197181.88439693869</v>
      </c>
      <c r="O201" s="98">
        <f t="shared" si="20"/>
        <v>358217.68189981207</v>
      </c>
      <c r="P201" s="379"/>
      <c r="Q201" s="380"/>
      <c r="R201" s="379"/>
      <c r="T201" s="376"/>
      <c r="U201" s="381"/>
      <c r="V201" s="381"/>
      <c r="W201" s="382"/>
      <c r="X201" s="376"/>
      <c r="Y201" s="376"/>
      <c r="Z201" s="383"/>
    </row>
    <row r="202" spans="1:26" s="375" customFormat="1" x14ac:dyDescent="0.25">
      <c r="A202" s="391">
        <f>'A) Base RI'!A203</f>
        <v>5719</v>
      </c>
      <c r="B202" s="391" t="str">
        <f>'A) Base RI'!B203</f>
        <v>Gingins</v>
      </c>
      <c r="C202" s="404">
        <v>0</v>
      </c>
      <c r="D202" s="377">
        <f>'B) D RI'!AR203</f>
        <v>1217</v>
      </c>
      <c r="E202" s="378">
        <f>'B) D RI'!S203</f>
        <v>51</v>
      </c>
      <c r="F202" s="18">
        <f>'B) D RI'!R203</f>
        <v>4900861.3066666676</v>
      </c>
      <c r="G202" s="18">
        <f>'B) D RI'!U203</f>
        <v>96095.319738562102</v>
      </c>
      <c r="H202" s="73">
        <f>'B) D RI'!T203</f>
        <v>4554390.6400000006</v>
      </c>
      <c r="I202" s="18">
        <f t="shared" si="21"/>
        <v>178603.55450980394</v>
      </c>
      <c r="J202" s="18">
        <f t="shared" si="22"/>
        <v>104522.96829919834</v>
      </c>
      <c r="K202" s="18">
        <f t="shared" si="18"/>
        <v>104522.96829919834</v>
      </c>
      <c r="L202" s="18">
        <f t="shared" si="23"/>
        <v>0</v>
      </c>
      <c r="M202" s="18">
        <f>'D) Ecrêtage'!N201</f>
        <v>84481.2208721801</v>
      </c>
      <c r="N202" s="18">
        <f t="shared" si="19"/>
        <v>114038.6335921959</v>
      </c>
      <c r="O202" s="98">
        <f t="shared" si="20"/>
        <v>218561.60189139424</v>
      </c>
      <c r="P202" s="379"/>
      <c r="Q202" s="380"/>
      <c r="R202" s="379"/>
      <c r="T202" s="376"/>
      <c r="U202" s="381"/>
      <c r="V202" s="381"/>
      <c r="W202" s="382"/>
      <c r="X202" s="376"/>
      <c r="Y202" s="376"/>
      <c r="Z202" s="383"/>
    </row>
    <row r="203" spans="1:26" s="375" customFormat="1" x14ac:dyDescent="0.25">
      <c r="A203" s="391">
        <f>'A) Base RI'!A204</f>
        <v>5720</v>
      </c>
      <c r="B203" s="391" t="str">
        <f>'A) Base RI'!B204</f>
        <v>Givrins</v>
      </c>
      <c r="C203" s="404">
        <v>0</v>
      </c>
      <c r="D203" s="377">
        <f>'B) D RI'!AR204</f>
        <v>948</v>
      </c>
      <c r="E203" s="378">
        <f>'B) D RI'!S204</f>
        <v>61</v>
      </c>
      <c r="F203" s="18">
        <f>'B) D RI'!R204</f>
        <v>4567389.8555555558</v>
      </c>
      <c r="G203" s="18">
        <f>'B) D RI'!U204</f>
        <v>74875.243533697634</v>
      </c>
      <c r="H203" s="73">
        <f>'B) D RI'!T204</f>
        <v>4316336.3</v>
      </c>
      <c r="I203" s="18">
        <f t="shared" si="21"/>
        <v>141519.22295081968</v>
      </c>
      <c r="J203" s="18">
        <f t="shared" si="22"/>
        <v>81419.69921745277</v>
      </c>
      <c r="K203" s="18">
        <f t="shared" si="18"/>
        <v>81419.69921745277</v>
      </c>
      <c r="L203" s="18">
        <f t="shared" si="23"/>
        <v>0</v>
      </c>
      <c r="M203" s="18">
        <f>'D) Ecrêtage'!N202</f>
        <v>65818.893879817115</v>
      </c>
      <c r="N203" s="18">
        <f t="shared" si="19"/>
        <v>88846.925329837424</v>
      </c>
      <c r="O203" s="98">
        <f t="shared" si="20"/>
        <v>170266.62454729021</v>
      </c>
      <c r="P203" s="379"/>
      <c r="Q203" s="380"/>
      <c r="R203" s="379"/>
      <c r="T203" s="376"/>
      <c r="U203" s="381"/>
      <c r="V203" s="381"/>
      <c r="W203" s="382"/>
      <c r="X203" s="376"/>
      <c r="Y203" s="376"/>
      <c r="Z203" s="383"/>
    </row>
    <row r="204" spans="1:26" s="375" customFormat="1" x14ac:dyDescent="0.25">
      <c r="A204" s="391">
        <f>'A) Base RI'!A205</f>
        <v>5721</v>
      </c>
      <c r="B204" s="391" t="str">
        <f>'A) Base RI'!B205</f>
        <v>Gland</v>
      </c>
      <c r="C204" s="404">
        <v>0</v>
      </c>
      <c r="D204" s="377">
        <f>'B) D RI'!AR205</f>
        <v>12482</v>
      </c>
      <c r="E204" s="378">
        <f>'B) D RI'!S205</f>
        <v>62.5</v>
      </c>
      <c r="F204" s="18">
        <f>'B) D RI'!R205</f>
        <v>34073787.109999999</v>
      </c>
      <c r="G204" s="18">
        <f>'B) D RI'!U205</f>
        <v>545180.59375999996</v>
      </c>
      <c r="H204" s="73">
        <f>'B) D RI'!T205</f>
        <v>31604559.460000001</v>
      </c>
      <c r="I204" s="18">
        <f t="shared" si="21"/>
        <v>1011345.90272</v>
      </c>
      <c r="J204" s="18">
        <f t="shared" si="22"/>
        <v>1072026.0396964615</v>
      </c>
      <c r="K204" s="18">
        <f t="shared" si="18"/>
        <v>1011345.90272</v>
      </c>
      <c r="L204" s="18">
        <f t="shared" si="23"/>
        <v>60680.136976461508</v>
      </c>
      <c r="M204" s="18">
        <f>'D) Ecrêtage'!N203</f>
        <v>545180.59375999996</v>
      </c>
      <c r="N204" s="18">
        <f t="shared" si="19"/>
        <v>735922.72142276447</v>
      </c>
      <c r="O204" s="98">
        <f t="shared" si="20"/>
        <v>1747268.6241427646</v>
      </c>
      <c r="P204" s="379"/>
      <c r="Q204" s="380"/>
      <c r="R204" s="379"/>
      <c r="T204" s="376"/>
      <c r="U204" s="381"/>
      <c r="V204" s="381"/>
      <c r="W204" s="382"/>
      <c r="X204" s="376"/>
      <c r="Y204" s="376"/>
      <c r="Z204" s="383"/>
    </row>
    <row r="205" spans="1:26" s="375" customFormat="1" x14ac:dyDescent="0.25">
      <c r="A205" s="391">
        <f>'A) Base RI'!A206</f>
        <v>5722</v>
      </c>
      <c r="B205" s="391" t="str">
        <f>'A) Base RI'!B206</f>
        <v>Grens</v>
      </c>
      <c r="C205" s="404">
        <v>0</v>
      </c>
      <c r="D205" s="377">
        <f>'B) D RI'!AR206</f>
        <v>366</v>
      </c>
      <c r="E205" s="378">
        <f>'B) D RI'!S206</f>
        <v>57</v>
      </c>
      <c r="F205" s="18">
        <f>'B) D RI'!R206</f>
        <v>1024462.9199999999</v>
      </c>
      <c r="G205" s="18">
        <f>'B) D RI'!U206</f>
        <v>17973.033684210524</v>
      </c>
      <c r="H205" s="73">
        <f>'B) D RI'!T206</f>
        <v>956056.5199999999</v>
      </c>
      <c r="I205" s="18">
        <f t="shared" si="21"/>
        <v>33545.842807017543</v>
      </c>
      <c r="J205" s="18">
        <f t="shared" si="22"/>
        <v>31434.187672560882</v>
      </c>
      <c r="K205" s="18">
        <f t="shared" si="18"/>
        <v>31434.187672560882</v>
      </c>
      <c r="L205" s="18">
        <f t="shared" si="23"/>
        <v>0</v>
      </c>
      <c r="M205" s="18">
        <f>'D) Ecrêtage'!N204</f>
        <v>17973.033684210524</v>
      </c>
      <c r="N205" s="18">
        <f t="shared" si="19"/>
        <v>24261.252165791371</v>
      </c>
      <c r="O205" s="98">
        <f t="shared" si="20"/>
        <v>55695.439838352249</v>
      </c>
      <c r="P205" s="379"/>
      <c r="Q205" s="380"/>
      <c r="R205" s="379"/>
      <c r="T205" s="376"/>
      <c r="U205" s="381"/>
      <c r="V205" s="381"/>
      <c r="W205" s="382"/>
      <c r="X205" s="376"/>
      <c r="Y205" s="376"/>
      <c r="Z205" s="383"/>
    </row>
    <row r="206" spans="1:26" s="375" customFormat="1" x14ac:dyDescent="0.25">
      <c r="A206" s="391">
        <f>'A) Base RI'!A207</f>
        <v>5723</v>
      </c>
      <c r="B206" s="391" t="str">
        <f>'A) Base RI'!B207</f>
        <v>Mies</v>
      </c>
      <c r="C206" s="404">
        <v>0</v>
      </c>
      <c r="D206" s="377">
        <f>'B) D RI'!AR207</f>
        <v>1775</v>
      </c>
      <c r="E206" s="378">
        <f>'B) D RI'!S207</f>
        <v>52</v>
      </c>
      <c r="F206" s="18">
        <f>'B) D RI'!R207</f>
        <v>10123567.17</v>
      </c>
      <c r="G206" s="18">
        <f>'B) D RI'!U207</f>
        <v>194683.98403846152</v>
      </c>
      <c r="H206" s="73">
        <f>'B) D RI'!T207</f>
        <v>9435571.0199999996</v>
      </c>
      <c r="I206" s="18">
        <f t="shared" si="21"/>
        <v>362906.57769230765</v>
      </c>
      <c r="J206" s="18">
        <f t="shared" si="22"/>
        <v>152447.22163605347</v>
      </c>
      <c r="K206" s="18">
        <f t="shared" si="18"/>
        <v>152447.22163605347</v>
      </c>
      <c r="L206" s="18">
        <f t="shared" si="23"/>
        <v>0</v>
      </c>
      <c r="M206" s="18">
        <f>'D) Ecrêtage'!N205</f>
        <v>149527.37004038764</v>
      </c>
      <c r="N206" s="18">
        <f t="shared" si="19"/>
        <v>201842.4543111177</v>
      </c>
      <c r="O206" s="98">
        <f t="shared" si="20"/>
        <v>354289.67594717117</v>
      </c>
      <c r="P206" s="379"/>
      <c r="Q206" s="380"/>
      <c r="R206" s="379"/>
      <c r="T206" s="376"/>
      <c r="U206" s="381"/>
      <c r="V206" s="381"/>
      <c r="W206" s="382"/>
      <c r="X206" s="376"/>
      <c r="Y206" s="376"/>
      <c r="Z206" s="383"/>
    </row>
    <row r="207" spans="1:26" s="375" customFormat="1" x14ac:dyDescent="0.25">
      <c r="A207" s="391">
        <f>'A) Base RI'!A208</f>
        <v>5724</v>
      </c>
      <c r="B207" s="391" t="str">
        <f>'A) Base RI'!B208</f>
        <v>Nyon</v>
      </c>
      <c r="C207" s="404">
        <v>1</v>
      </c>
      <c r="D207" s="377">
        <f>'B) D RI'!AR208</f>
        <v>19632</v>
      </c>
      <c r="E207" s="378">
        <f>'B) D RI'!S208</f>
        <v>61</v>
      </c>
      <c r="F207" s="18">
        <f>'B) D RI'!R208</f>
        <v>77960953.631538451</v>
      </c>
      <c r="G207" s="18">
        <f>'B) D RI'!U208</f>
        <v>1278048.420189155</v>
      </c>
      <c r="H207" s="73">
        <f>'B) D RI'!T208</f>
        <v>73071223.669999987</v>
      </c>
      <c r="I207" s="18">
        <f t="shared" si="21"/>
        <v>2395777.825245901</v>
      </c>
      <c r="J207" s="18">
        <f t="shared" si="22"/>
        <v>1686109.2141740853</v>
      </c>
      <c r="K207" s="18">
        <f t="shared" si="18"/>
        <v>0</v>
      </c>
      <c r="L207" s="18">
        <f t="shared" si="23"/>
        <v>1686109.2141740853</v>
      </c>
      <c r="M207" s="18">
        <f>'D) Ecrêtage'!N206</f>
        <v>1208176.5686258627</v>
      </c>
      <c r="N207" s="18">
        <f t="shared" si="19"/>
        <v>1630880.8466755031</v>
      </c>
      <c r="O207" s="98">
        <f t="shared" si="20"/>
        <v>1630880.8466755031</v>
      </c>
      <c r="P207" s="379"/>
      <c r="Q207" s="380"/>
      <c r="R207" s="379"/>
      <c r="T207" s="376"/>
      <c r="U207" s="381"/>
      <c r="V207" s="381"/>
      <c r="W207" s="382"/>
      <c r="X207" s="376"/>
      <c r="Y207" s="376"/>
      <c r="Z207" s="383"/>
    </row>
    <row r="208" spans="1:26" s="375" customFormat="1" x14ac:dyDescent="0.25">
      <c r="A208" s="391">
        <f>'A) Base RI'!A209</f>
        <v>5725</v>
      </c>
      <c r="B208" s="391" t="str">
        <f>'A) Base RI'!B209</f>
        <v>Prangins</v>
      </c>
      <c r="C208" s="404">
        <v>1</v>
      </c>
      <c r="D208" s="377">
        <f>'B) D RI'!AR209</f>
        <v>3930</v>
      </c>
      <c r="E208" s="378">
        <f>'B) D RI'!S209</f>
        <v>56</v>
      </c>
      <c r="F208" s="18">
        <f>'B) D RI'!R209</f>
        <v>18530883.864285715</v>
      </c>
      <c r="G208" s="18">
        <f>'B) D RI'!U209</f>
        <v>330908.64043367346</v>
      </c>
      <c r="H208" s="73">
        <f>'B) D RI'!T209</f>
        <v>17469726.150000002</v>
      </c>
      <c r="I208" s="18">
        <f t="shared" si="21"/>
        <v>623918.79107142868</v>
      </c>
      <c r="J208" s="18">
        <f t="shared" si="22"/>
        <v>337531.0315660226</v>
      </c>
      <c r="K208" s="18">
        <f t="shared" si="18"/>
        <v>0</v>
      </c>
      <c r="L208" s="18">
        <f t="shared" si="23"/>
        <v>337531.0315660226</v>
      </c>
      <c r="M208" s="18">
        <f>'D) Ecrêtage'!N207</f>
        <v>283931.1838937492</v>
      </c>
      <c r="N208" s="18">
        <f t="shared" si="19"/>
        <v>383270.07956534153</v>
      </c>
      <c r="O208" s="98">
        <f t="shared" si="20"/>
        <v>383270.07956534153</v>
      </c>
      <c r="P208" s="379"/>
      <c r="Q208" s="380"/>
      <c r="R208" s="379"/>
      <c r="T208" s="376"/>
      <c r="U208" s="381"/>
      <c r="V208" s="381"/>
      <c r="W208" s="382"/>
      <c r="X208" s="376"/>
      <c r="Y208" s="376"/>
      <c r="Z208" s="383"/>
    </row>
    <row r="209" spans="1:26" s="375" customFormat="1" x14ac:dyDescent="0.25">
      <c r="A209" s="391">
        <f>'A) Base RI'!A210</f>
        <v>5726</v>
      </c>
      <c r="B209" s="391" t="str">
        <f>'A) Base RI'!B210</f>
        <v>La Rippe</v>
      </c>
      <c r="C209" s="404">
        <v>0</v>
      </c>
      <c r="D209" s="377">
        <f>'B) D RI'!AR210</f>
        <v>1057</v>
      </c>
      <c r="E209" s="378">
        <f>'B) D RI'!S210</f>
        <v>65</v>
      </c>
      <c r="F209" s="18">
        <f>'B) D RI'!R210</f>
        <v>3406485.9799999995</v>
      </c>
      <c r="G209" s="18">
        <f>'B) D RI'!U210</f>
        <v>52407.476615384607</v>
      </c>
      <c r="H209" s="73">
        <f>'B) D RI'!T210</f>
        <v>3180652.8799999994</v>
      </c>
      <c r="I209" s="18">
        <f t="shared" si="21"/>
        <v>97866.242461538437</v>
      </c>
      <c r="J209" s="18">
        <f t="shared" si="22"/>
        <v>90781.246912286486</v>
      </c>
      <c r="K209" s="18">
        <f t="shared" si="18"/>
        <v>90781.246912286486</v>
      </c>
      <c r="L209" s="18">
        <f t="shared" si="23"/>
        <v>0</v>
      </c>
      <c r="M209" s="18">
        <f>'D) Ecrêtage'!N208</f>
        <v>52407.476615384607</v>
      </c>
      <c r="N209" s="18">
        <f t="shared" si="19"/>
        <v>70743.260591319064</v>
      </c>
      <c r="O209" s="98">
        <f t="shared" si="20"/>
        <v>161524.50750360556</v>
      </c>
      <c r="P209" s="379"/>
      <c r="Q209" s="380"/>
      <c r="R209" s="379"/>
      <c r="T209" s="376"/>
      <c r="U209" s="381"/>
      <c r="V209" s="381"/>
      <c r="W209" s="382"/>
      <c r="X209" s="376"/>
      <c r="Y209" s="376"/>
      <c r="Z209" s="383"/>
    </row>
    <row r="210" spans="1:26" s="375" customFormat="1" x14ac:dyDescent="0.25">
      <c r="A210" s="391">
        <f>'A) Base RI'!A211</f>
        <v>5727</v>
      </c>
      <c r="B210" s="391" t="str">
        <f>'A) Base RI'!B211</f>
        <v>Saint-Cergue</v>
      </c>
      <c r="C210" s="404">
        <v>0</v>
      </c>
      <c r="D210" s="377">
        <f>'B) D RI'!AR211</f>
        <v>2340</v>
      </c>
      <c r="E210" s="378">
        <f>'B) D RI'!S211</f>
        <v>66</v>
      </c>
      <c r="F210" s="18">
        <f>'B) D RI'!R211</f>
        <v>5694657.7133333329</v>
      </c>
      <c r="G210" s="18">
        <f>'B) D RI'!U211</f>
        <v>86282.692626262622</v>
      </c>
      <c r="H210" s="73">
        <f>'B) D RI'!T211</f>
        <v>5270178.18</v>
      </c>
      <c r="I210" s="18">
        <f t="shared" si="21"/>
        <v>159702.36909090908</v>
      </c>
      <c r="J210" s="18">
        <f t="shared" si="22"/>
        <v>200972.67528358597</v>
      </c>
      <c r="K210" s="18">
        <f t="shared" si="18"/>
        <v>159702.36909090908</v>
      </c>
      <c r="L210" s="18">
        <f t="shared" si="23"/>
        <v>41270.306192676886</v>
      </c>
      <c r="M210" s="18">
        <f>'D) Ecrêtage'!N209</f>
        <v>86282.692626262622</v>
      </c>
      <c r="N210" s="18">
        <f t="shared" si="19"/>
        <v>116470.38558594766</v>
      </c>
      <c r="O210" s="98">
        <f t="shared" si="20"/>
        <v>276172.75467685674</v>
      </c>
      <c r="P210" s="379"/>
      <c r="Q210" s="380"/>
      <c r="R210" s="379"/>
      <c r="T210" s="376"/>
      <c r="U210" s="381"/>
      <c r="V210" s="381"/>
      <c r="W210" s="382"/>
      <c r="X210" s="376"/>
      <c r="Y210" s="376"/>
      <c r="Z210" s="383"/>
    </row>
    <row r="211" spans="1:26" s="375" customFormat="1" x14ac:dyDescent="0.25">
      <c r="A211" s="391">
        <f>'A) Base RI'!A212</f>
        <v>5728</v>
      </c>
      <c r="B211" s="391" t="str">
        <f>'A) Base RI'!B212</f>
        <v>Signy-Avenex</v>
      </c>
      <c r="C211" s="404">
        <v>0</v>
      </c>
      <c r="D211" s="377">
        <f>'B) D RI'!AR212</f>
        <v>457</v>
      </c>
      <c r="E211" s="378">
        <f>'B) D RI'!S212</f>
        <v>56</v>
      </c>
      <c r="F211" s="18">
        <f>'B) D RI'!R212</f>
        <v>2188444.0400000005</v>
      </c>
      <c r="G211" s="18">
        <f>'B) D RI'!U212</f>
        <v>39079.357857142866</v>
      </c>
      <c r="H211" s="73">
        <f>'B) D RI'!T212</f>
        <v>1956352.1400000004</v>
      </c>
      <c r="I211" s="18">
        <f t="shared" si="21"/>
        <v>69869.719285714295</v>
      </c>
      <c r="J211" s="18">
        <f t="shared" si="22"/>
        <v>39249.791711367005</v>
      </c>
      <c r="K211" s="18">
        <f t="shared" si="18"/>
        <v>39249.791711367005</v>
      </c>
      <c r="L211" s="18">
        <f t="shared" si="23"/>
        <v>0</v>
      </c>
      <c r="M211" s="18">
        <f>'D) Ecrêtage'!N210</f>
        <v>33340.745546475831</v>
      </c>
      <c r="N211" s="18">
        <f t="shared" si="19"/>
        <v>45005.659551461897</v>
      </c>
      <c r="O211" s="98">
        <f t="shared" si="20"/>
        <v>84255.451262828894</v>
      </c>
      <c r="P211" s="379"/>
      <c r="Q211" s="380"/>
      <c r="R211" s="379"/>
      <c r="T211" s="376"/>
      <c r="U211" s="381"/>
      <c r="V211" s="381"/>
      <c r="W211" s="382"/>
      <c r="X211" s="376"/>
      <c r="Y211" s="376"/>
      <c r="Z211" s="383"/>
    </row>
    <row r="212" spans="1:26" s="375" customFormat="1" x14ac:dyDescent="0.25">
      <c r="A212" s="391">
        <f>'A) Base RI'!A213</f>
        <v>5729</v>
      </c>
      <c r="B212" s="391" t="str">
        <f>'A) Base RI'!B213</f>
        <v>Tannay</v>
      </c>
      <c r="C212" s="404">
        <v>0</v>
      </c>
      <c r="D212" s="377">
        <f>'B) D RI'!AR213</f>
        <v>1511</v>
      </c>
      <c r="E212" s="378">
        <f>'B) D RI'!S213</f>
        <v>61</v>
      </c>
      <c r="F212" s="18">
        <f>'B) D RI'!R213</f>
        <v>9281163.3866666686</v>
      </c>
      <c r="G212" s="18">
        <f>'B) D RI'!U213</f>
        <v>152150.21945355195</v>
      </c>
      <c r="H212" s="73">
        <f>'B) D RI'!T213</f>
        <v>8834656.620000001</v>
      </c>
      <c r="I212" s="18">
        <f t="shared" si="21"/>
        <v>289660.8727868853</v>
      </c>
      <c r="J212" s="18">
        <f t="shared" si="22"/>
        <v>129773.38134764889</v>
      </c>
      <c r="K212" s="18">
        <f t="shared" si="18"/>
        <v>129773.38134764889</v>
      </c>
      <c r="L212" s="18">
        <f t="shared" si="23"/>
        <v>0</v>
      </c>
      <c r="M212" s="18">
        <f>'D) Ecrêtage'!N211</f>
        <v>121313.50849358818</v>
      </c>
      <c r="N212" s="18">
        <f t="shared" si="19"/>
        <v>163757.41972071526</v>
      </c>
      <c r="O212" s="98">
        <f t="shared" si="20"/>
        <v>293530.80106836418</v>
      </c>
      <c r="P212" s="379"/>
      <c r="Q212" s="380"/>
      <c r="R212" s="379"/>
      <c r="T212" s="376"/>
      <c r="U212" s="381"/>
      <c r="V212" s="381"/>
      <c r="W212" s="382"/>
      <c r="X212" s="376"/>
      <c r="Y212" s="376"/>
      <c r="Z212" s="383"/>
    </row>
    <row r="213" spans="1:26" s="375" customFormat="1" x14ac:dyDescent="0.25">
      <c r="A213" s="391">
        <f>'A) Base RI'!A214</f>
        <v>5730</v>
      </c>
      <c r="B213" s="391" t="str">
        <f>'A) Base RI'!B214</f>
        <v>Trélex</v>
      </c>
      <c r="C213" s="404">
        <v>0</v>
      </c>
      <c r="D213" s="377">
        <f>'B) D RI'!AR214</f>
        <v>1397</v>
      </c>
      <c r="E213" s="378">
        <f>'B) D RI'!S214</f>
        <v>53</v>
      </c>
      <c r="F213" s="18">
        <f>'B) D RI'!R214</f>
        <v>7554690.9100000001</v>
      </c>
      <c r="G213" s="18">
        <f>'B) D RI'!U214</f>
        <v>142541.33792452831</v>
      </c>
      <c r="H213" s="73">
        <f>'B) D RI'!T214</f>
        <v>7180299.4100000001</v>
      </c>
      <c r="I213" s="18">
        <f t="shared" si="21"/>
        <v>270954.69471698115</v>
      </c>
      <c r="J213" s="18">
        <f t="shared" si="22"/>
        <v>119982.40485947419</v>
      </c>
      <c r="K213" s="18">
        <f t="shared" si="18"/>
        <v>119982.40485947419</v>
      </c>
      <c r="L213" s="18">
        <f t="shared" si="23"/>
        <v>0</v>
      </c>
      <c r="M213" s="18">
        <f>'D) Ecrêtage'!N212</f>
        <v>112983.75749674175</v>
      </c>
      <c r="N213" s="18">
        <f t="shared" si="19"/>
        <v>152513.34190038149</v>
      </c>
      <c r="O213" s="98">
        <f t="shared" si="20"/>
        <v>272495.74675985565</v>
      </c>
      <c r="P213" s="379"/>
      <c r="Q213" s="380"/>
      <c r="R213" s="379"/>
      <c r="T213" s="376"/>
      <c r="U213" s="381"/>
      <c r="V213" s="381"/>
      <c r="W213" s="382"/>
      <c r="X213" s="376"/>
      <c r="Y213" s="376"/>
      <c r="Z213" s="383"/>
    </row>
    <row r="214" spans="1:26" s="375" customFormat="1" x14ac:dyDescent="0.25">
      <c r="A214" s="391">
        <f>'A) Base RI'!A215</f>
        <v>5731</v>
      </c>
      <c r="B214" s="391" t="str">
        <f>'A) Base RI'!B215</f>
        <v>Le Vaud</v>
      </c>
      <c r="C214" s="404">
        <v>0</v>
      </c>
      <c r="D214" s="377">
        <f>'B) D RI'!AR215</f>
        <v>1238</v>
      </c>
      <c r="E214" s="378">
        <f>'B) D RI'!S215</f>
        <v>75</v>
      </c>
      <c r="F214" s="18">
        <f>'B) D RI'!R215</f>
        <v>3311587.2866666666</v>
      </c>
      <c r="G214" s="18">
        <f>'B) D RI'!U215</f>
        <v>44154.497155555553</v>
      </c>
      <c r="H214" s="73">
        <f>'B) D RI'!T215</f>
        <v>3086426.62</v>
      </c>
      <c r="I214" s="18">
        <f t="shared" si="21"/>
        <v>82304.709866666672</v>
      </c>
      <c r="J214" s="18">
        <f t="shared" si="22"/>
        <v>106326.56923123052</v>
      </c>
      <c r="K214" s="18">
        <f t="shared" si="18"/>
        <v>82304.709866666672</v>
      </c>
      <c r="L214" s="18">
        <f t="shared" si="23"/>
        <v>24021.859364563847</v>
      </c>
      <c r="M214" s="18">
        <f>'D) Ecrêtage'!N213</f>
        <v>44154.497155555553</v>
      </c>
      <c r="N214" s="18">
        <f t="shared" si="19"/>
        <v>59602.814336555115</v>
      </c>
      <c r="O214" s="98">
        <f t="shared" si="20"/>
        <v>141907.52420322178</v>
      </c>
      <c r="P214" s="379"/>
      <c r="Q214" s="380"/>
      <c r="R214" s="379"/>
      <c r="T214" s="376"/>
      <c r="U214" s="381"/>
      <c r="V214" s="381"/>
      <c r="W214" s="382"/>
      <c r="X214" s="376"/>
      <c r="Y214" s="376"/>
      <c r="Z214" s="383"/>
    </row>
    <row r="215" spans="1:26" s="375" customFormat="1" x14ac:dyDescent="0.25">
      <c r="A215" s="391">
        <f>'A) Base RI'!A216</f>
        <v>5732</v>
      </c>
      <c r="B215" s="391" t="str">
        <f>'A) Base RI'!B216</f>
        <v>Vich</v>
      </c>
      <c r="C215" s="404">
        <v>0</v>
      </c>
      <c r="D215" s="377">
        <f>'B) D RI'!AR216</f>
        <v>763</v>
      </c>
      <c r="E215" s="378">
        <f>'B) D RI'!S216</f>
        <v>70</v>
      </c>
      <c r="F215" s="18">
        <f>'B) D RI'!R216</f>
        <v>2827311.3299999991</v>
      </c>
      <c r="G215" s="18">
        <f>'B) D RI'!U216</f>
        <v>40390.161857142848</v>
      </c>
      <c r="H215" s="73">
        <f>'B) D RI'!T216</f>
        <v>2583188.9799999991</v>
      </c>
      <c r="I215" s="18">
        <f t="shared" si="21"/>
        <v>73805.3994285714</v>
      </c>
      <c r="J215" s="18">
        <f t="shared" si="22"/>
        <v>65530.833863835935</v>
      </c>
      <c r="K215" s="18">
        <f t="shared" si="18"/>
        <v>65530.833863835935</v>
      </c>
      <c r="L215" s="18">
        <f t="shared" si="23"/>
        <v>0</v>
      </c>
      <c r="M215" s="18">
        <f>'D) Ecrêtage'!N214</f>
        <v>40390.161857142848</v>
      </c>
      <c r="N215" s="18">
        <f t="shared" si="19"/>
        <v>54521.45247433304</v>
      </c>
      <c r="O215" s="98">
        <f t="shared" si="20"/>
        <v>120052.28633816898</v>
      </c>
      <c r="P215" s="379"/>
      <c r="Q215" s="380"/>
      <c r="R215" s="379"/>
      <c r="T215" s="376"/>
      <c r="U215" s="381"/>
      <c r="V215" s="381"/>
      <c r="W215" s="382"/>
      <c r="X215" s="376"/>
      <c r="Y215" s="376"/>
      <c r="Z215" s="383"/>
    </row>
    <row r="216" spans="1:26" s="375" customFormat="1" x14ac:dyDescent="0.25">
      <c r="A216" s="391">
        <f>'A) Base RI'!A217</f>
        <v>5741</v>
      </c>
      <c r="B216" s="391" t="str">
        <f>'A) Base RI'!B217</f>
        <v>L'Abergement</v>
      </c>
      <c r="C216" s="404">
        <v>0</v>
      </c>
      <c r="D216" s="377">
        <f>'B) D RI'!AR217</f>
        <v>250</v>
      </c>
      <c r="E216" s="378">
        <f>'B) D RI'!S217</f>
        <v>81</v>
      </c>
      <c r="F216" s="18">
        <f>'B) D RI'!R217</f>
        <v>458358.00833333324</v>
      </c>
      <c r="G216" s="18">
        <f>'B) D RI'!U217</f>
        <v>5658.7408436213982</v>
      </c>
      <c r="H216" s="73">
        <f>'B) D RI'!T217</f>
        <v>423613.54999999993</v>
      </c>
      <c r="I216" s="18">
        <f t="shared" si="21"/>
        <v>10459.593827160492</v>
      </c>
      <c r="J216" s="18">
        <f t="shared" si="22"/>
        <v>21471.439667049784</v>
      </c>
      <c r="K216" s="18">
        <f t="shared" si="18"/>
        <v>10459.593827160492</v>
      </c>
      <c r="L216" s="18">
        <f t="shared" si="23"/>
        <v>11011.845839889293</v>
      </c>
      <c r="M216" s="18">
        <f>'D) Ecrêtage'!N215</f>
        <v>5658.7408436213982</v>
      </c>
      <c r="N216" s="18">
        <f t="shared" si="19"/>
        <v>7638.5623573704552</v>
      </c>
      <c r="O216" s="98">
        <f t="shared" si="20"/>
        <v>18098.156184530948</v>
      </c>
      <c r="P216" s="379"/>
      <c r="Q216" s="380"/>
      <c r="R216" s="379"/>
      <c r="T216" s="376"/>
      <c r="U216" s="381"/>
      <c r="V216" s="381"/>
      <c r="W216" s="382"/>
      <c r="X216" s="376"/>
      <c r="Y216" s="376"/>
      <c r="Z216" s="383"/>
    </row>
    <row r="217" spans="1:26" s="375" customFormat="1" x14ac:dyDescent="0.25">
      <c r="A217" s="391">
        <f>'A) Base RI'!A218</f>
        <v>5742</v>
      </c>
      <c r="B217" s="391" t="str">
        <f>'A) Base RI'!B218</f>
        <v>Agiez</v>
      </c>
      <c r="C217" s="404">
        <v>0</v>
      </c>
      <c r="D217" s="377">
        <f>'B) D RI'!AR218</f>
        <v>297</v>
      </c>
      <c r="E217" s="378">
        <f>'B) D RI'!S218</f>
        <v>76</v>
      </c>
      <c r="F217" s="18">
        <f>'B) D RI'!R218</f>
        <v>645787.15</v>
      </c>
      <c r="G217" s="18">
        <f>'B) D RI'!U218</f>
        <v>8497.199342105263</v>
      </c>
      <c r="H217" s="73">
        <f>'B) D RI'!T218</f>
        <v>603688.25</v>
      </c>
      <c r="I217" s="18">
        <f t="shared" si="21"/>
        <v>15886.532894736842</v>
      </c>
      <c r="J217" s="18">
        <f t="shared" si="22"/>
        <v>25508.070324455141</v>
      </c>
      <c r="K217" s="18">
        <f t="shared" si="18"/>
        <v>15886.532894736842</v>
      </c>
      <c r="L217" s="18">
        <f t="shared" si="23"/>
        <v>9621.5374297182989</v>
      </c>
      <c r="M217" s="18">
        <f>'D) Ecrêtage'!N216</f>
        <v>8497.199342105263</v>
      </c>
      <c r="N217" s="18">
        <f t="shared" si="19"/>
        <v>11470.111254669231</v>
      </c>
      <c r="O217" s="98">
        <f t="shared" si="20"/>
        <v>27356.644149406071</v>
      </c>
      <c r="P217" s="379"/>
      <c r="Q217" s="380"/>
      <c r="R217" s="379"/>
      <c r="T217" s="376"/>
      <c r="U217" s="381"/>
      <c r="V217" s="381"/>
      <c r="W217" s="382"/>
      <c r="X217" s="376"/>
      <c r="Y217" s="376"/>
      <c r="Z217" s="383"/>
    </row>
    <row r="218" spans="1:26" s="375" customFormat="1" x14ac:dyDescent="0.25">
      <c r="A218" s="391">
        <f>'A) Base RI'!A219</f>
        <v>5743</v>
      </c>
      <c r="B218" s="391" t="str">
        <f>'A) Base RI'!B219</f>
        <v>Arnex-sur-Orbe</v>
      </c>
      <c r="C218" s="404">
        <v>0</v>
      </c>
      <c r="D218" s="377">
        <f>'B) D RI'!AR219</f>
        <v>615</v>
      </c>
      <c r="E218" s="378">
        <f>'B) D RI'!S219</f>
        <v>73</v>
      </c>
      <c r="F218" s="18">
        <f>'B) D RI'!R219</f>
        <v>1039173.925</v>
      </c>
      <c r="G218" s="18">
        <f>'B) D RI'!U219</f>
        <v>14235.259246575342</v>
      </c>
      <c r="H218" s="73">
        <f>'B) D RI'!T219</f>
        <v>966326.55</v>
      </c>
      <c r="I218" s="18">
        <f t="shared" si="21"/>
        <v>26474.7</v>
      </c>
      <c r="J218" s="18">
        <f t="shared" si="22"/>
        <v>52819.741580942464</v>
      </c>
      <c r="K218" s="18">
        <f t="shared" si="18"/>
        <v>26474.7</v>
      </c>
      <c r="L218" s="18">
        <f t="shared" si="23"/>
        <v>26345.041580942463</v>
      </c>
      <c r="M218" s="18">
        <f>'D) Ecrêtage'!N217</f>
        <v>14235.259246575342</v>
      </c>
      <c r="N218" s="18">
        <f t="shared" si="19"/>
        <v>19215.744002637919</v>
      </c>
      <c r="O218" s="98">
        <f t="shared" si="20"/>
        <v>45690.444002637916</v>
      </c>
      <c r="P218" s="379"/>
      <c r="Q218" s="380"/>
      <c r="R218" s="379"/>
      <c r="T218" s="376"/>
      <c r="U218" s="381"/>
      <c r="V218" s="381"/>
      <c r="W218" s="382"/>
      <c r="X218" s="376"/>
      <c r="Y218" s="376"/>
      <c r="Z218" s="383"/>
    </row>
    <row r="219" spans="1:26" s="375" customFormat="1" x14ac:dyDescent="0.25">
      <c r="A219" s="391">
        <f>'A) Base RI'!A220</f>
        <v>5744</v>
      </c>
      <c r="B219" s="391" t="str">
        <f>'A) Base RI'!B220</f>
        <v>Ballaigues</v>
      </c>
      <c r="C219" s="404">
        <v>0</v>
      </c>
      <c r="D219" s="377">
        <f>'B) D RI'!AR220</f>
        <v>1037</v>
      </c>
      <c r="E219" s="378">
        <f>'B) D RI'!S220</f>
        <v>66</v>
      </c>
      <c r="F219" s="18">
        <f>'B) D RI'!R220</f>
        <v>6586805.8899999997</v>
      </c>
      <c r="G219" s="18">
        <f>'B) D RI'!U220</f>
        <v>99800.089242424234</v>
      </c>
      <c r="H219" s="73">
        <f>'B) D RI'!T220</f>
        <v>6445168.8899999997</v>
      </c>
      <c r="I219" s="18">
        <f t="shared" si="21"/>
        <v>195308.14818181816</v>
      </c>
      <c r="J219" s="18">
        <f t="shared" si="22"/>
        <v>89063.531738922495</v>
      </c>
      <c r="K219" s="18">
        <f t="shared" si="18"/>
        <v>89063.531738922495</v>
      </c>
      <c r="L219" s="18">
        <f t="shared" si="23"/>
        <v>0</v>
      </c>
      <c r="M219" s="18">
        <f>'D) Ecrêtage'!N218</f>
        <v>81224.419263744261</v>
      </c>
      <c r="N219" s="18">
        <f t="shared" si="19"/>
        <v>109642.37603965864</v>
      </c>
      <c r="O219" s="98">
        <f t="shared" si="20"/>
        <v>198705.90777858114</v>
      </c>
      <c r="P219" s="379"/>
      <c r="Q219" s="380"/>
      <c r="R219" s="379"/>
      <c r="T219" s="376"/>
      <c r="U219" s="381"/>
      <c r="V219" s="381"/>
      <c r="W219" s="382"/>
      <c r="X219" s="376"/>
      <c r="Y219" s="376"/>
      <c r="Z219" s="383"/>
    </row>
    <row r="220" spans="1:26" s="375" customFormat="1" x14ac:dyDescent="0.25">
      <c r="A220" s="391">
        <f>'A) Base RI'!A221</f>
        <v>5745</v>
      </c>
      <c r="B220" s="391" t="str">
        <f>'A) Base RI'!B221</f>
        <v>Baulmes</v>
      </c>
      <c r="C220" s="404">
        <v>0</v>
      </c>
      <c r="D220" s="377">
        <f>'B) D RI'!AR221</f>
        <v>1019</v>
      </c>
      <c r="E220" s="378">
        <f>'B) D RI'!S221</f>
        <v>78</v>
      </c>
      <c r="F220" s="18">
        <f>'B) D RI'!R221</f>
        <v>2128360.79</v>
      </c>
      <c r="G220" s="18">
        <f>'B) D RI'!U221</f>
        <v>27286.676794871797</v>
      </c>
      <c r="H220" s="73">
        <f>'B) D RI'!T221</f>
        <v>2014219.79</v>
      </c>
      <c r="I220" s="18">
        <f t="shared" si="21"/>
        <v>51646.661282051282</v>
      </c>
      <c r="J220" s="18">
        <f t="shared" si="22"/>
        <v>87517.588082894916</v>
      </c>
      <c r="K220" s="18">
        <f t="shared" si="18"/>
        <v>51646.661282051282</v>
      </c>
      <c r="L220" s="18">
        <f t="shared" si="23"/>
        <v>35870.926800843634</v>
      </c>
      <c r="M220" s="18">
        <f>'D) Ecrêtage'!N219</f>
        <v>27286.676794871797</v>
      </c>
      <c r="N220" s="18">
        <f t="shared" si="19"/>
        <v>36833.456060810342</v>
      </c>
      <c r="O220" s="98">
        <f t="shared" si="20"/>
        <v>88480.117342861631</v>
      </c>
      <c r="P220" s="379"/>
      <c r="Q220" s="380"/>
      <c r="R220" s="379"/>
      <c r="T220" s="376"/>
      <c r="U220" s="381"/>
      <c r="V220" s="381"/>
      <c r="W220" s="382"/>
      <c r="X220" s="376"/>
      <c r="Y220" s="376"/>
      <c r="Z220" s="383"/>
    </row>
    <row r="221" spans="1:26" s="375" customFormat="1" x14ac:dyDescent="0.25">
      <c r="A221" s="391">
        <f>'A) Base RI'!A222</f>
        <v>5746</v>
      </c>
      <c r="B221" s="391" t="str">
        <f>'A) Base RI'!B222</f>
        <v>Bavois</v>
      </c>
      <c r="C221" s="404">
        <v>0</v>
      </c>
      <c r="D221" s="377">
        <f>'B) D RI'!AR222</f>
        <v>919</v>
      </c>
      <c r="E221" s="378">
        <f>'B) D RI'!S222</f>
        <v>73</v>
      </c>
      <c r="F221" s="18">
        <f>'B) D RI'!R222</f>
        <v>1822126.7516666665</v>
      </c>
      <c r="G221" s="18">
        <f>'B) D RI'!U222</f>
        <v>24960.640433789951</v>
      </c>
      <c r="H221" s="73">
        <f>'B) D RI'!T222</f>
        <v>1674804.7099999997</v>
      </c>
      <c r="I221" s="18">
        <f t="shared" si="21"/>
        <v>45885.060547945199</v>
      </c>
      <c r="J221" s="18">
        <f t="shared" si="22"/>
        <v>78929.012216075003</v>
      </c>
      <c r="K221" s="18">
        <f t="shared" si="18"/>
        <v>45885.060547945199</v>
      </c>
      <c r="L221" s="18">
        <f t="shared" si="23"/>
        <v>33043.951668129805</v>
      </c>
      <c r="M221" s="18">
        <f>'D) Ecrêtage'!N220</f>
        <v>24960.640433789951</v>
      </c>
      <c r="N221" s="18">
        <f t="shared" si="19"/>
        <v>33693.610239868998</v>
      </c>
      <c r="O221" s="98">
        <f t="shared" si="20"/>
        <v>79578.67078781419</v>
      </c>
      <c r="P221" s="379"/>
      <c r="Q221" s="380"/>
      <c r="R221" s="379"/>
      <c r="T221" s="376"/>
      <c r="U221" s="381"/>
      <c r="V221" s="381"/>
      <c r="W221" s="382"/>
      <c r="X221" s="376"/>
      <c r="Y221" s="376"/>
      <c r="Z221" s="383"/>
    </row>
    <row r="222" spans="1:26" s="375" customFormat="1" x14ac:dyDescent="0.25">
      <c r="A222" s="391">
        <f>'A) Base RI'!A223</f>
        <v>5747</v>
      </c>
      <c r="B222" s="391" t="str">
        <f>'A) Base RI'!B223</f>
        <v>Bofflens</v>
      </c>
      <c r="C222" s="404">
        <v>0</v>
      </c>
      <c r="D222" s="377">
        <f>'B) D RI'!AR223</f>
        <v>189</v>
      </c>
      <c r="E222" s="378">
        <f>'B) D RI'!S223</f>
        <v>69</v>
      </c>
      <c r="F222" s="18">
        <f>'B) D RI'!R223</f>
        <v>375652.88</v>
      </c>
      <c r="G222" s="18">
        <f>'B) D RI'!U223</f>
        <v>5444.2446376811595</v>
      </c>
      <c r="H222" s="73">
        <f>'B) D RI'!T223</f>
        <v>350766.03</v>
      </c>
      <c r="I222" s="18">
        <f t="shared" si="21"/>
        <v>10167.131304347828</v>
      </c>
      <c r="J222" s="18">
        <f t="shared" si="22"/>
        <v>16232.408388289636</v>
      </c>
      <c r="K222" s="18">
        <f t="shared" si="18"/>
        <v>10167.131304347828</v>
      </c>
      <c r="L222" s="18">
        <f t="shared" si="23"/>
        <v>6065.2770839418081</v>
      </c>
      <c r="M222" s="18">
        <f>'D) Ecrêtage'!N221</f>
        <v>5444.2446376811595</v>
      </c>
      <c r="N222" s="18">
        <f t="shared" si="19"/>
        <v>7349.0204451726622</v>
      </c>
      <c r="O222" s="98">
        <f t="shared" si="20"/>
        <v>17516.15174952049</v>
      </c>
      <c r="P222" s="379"/>
      <c r="Q222" s="380"/>
      <c r="R222" s="379"/>
      <c r="T222" s="376"/>
      <c r="U222" s="381"/>
      <c r="V222" s="381"/>
      <c r="W222" s="382"/>
      <c r="X222" s="376"/>
      <c r="Y222" s="376"/>
      <c r="Z222" s="383"/>
    </row>
    <row r="223" spans="1:26" s="375" customFormat="1" x14ac:dyDescent="0.25">
      <c r="A223" s="391">
        <f>'A) Base RI'!A224</f>
        <v>5748</v>
      </c>
      <c r="B223" s="391" t="str">
        <f>'A) Base RI'!B224</f>
        <v>Bretonnières</v>
      </c>
      <c r="C223" s="404">
        <v>0</v>
      </c>
      <c r="D223" s="377">
        <f>'B) D RI'!AR224</f>
        <v>236</v>
      </c>
      <c r="E223" s="378">
        <f>'B) D RI'!S224</f>
        <v>70</v>
      </c>
      <c r="F223" s="18">
        <f>'B) D RI'!R224</f>
        <v>339753.72000000003</v>
      </c>
      <c r="G223" s="18">
        <f>'B) D RI'!U224</f>
        <v>4853.6245714285715</v>
      </c>
      <c r="H223" s="73">
        <f>'B) D RI'!T224</f>
        <v>309660.72000000003</v>
      </c>
      <c r="I223" s="18">
        <f t="shared" si="21"/>
        <v>8847.4491428571437</v>
      </c>
      <c r="J223" s="18">
        <f t="shared" si="22"/>
        <v>20269.039045694994</v>
      </c>
      <c r="K223" s="18">
        <f t="shared" si="18"/>
        <v>8847.4491428571437</v>
      </c>
      <c r="L223" s="18">
        <f t="shared" si="23"/>
        <v>11421.58990283785</v>
      </c>
      <c r="M223" s="18">
        <f>'D) Ecrêtage'!N222</f>
        <v>4853.6245714285715</v>
      </c>
      <c r="N223" s="18">
        <f t="shared" si="19"/>
        <v>6551.7603602422723</v>
      </c>
      <c r="O223" s="98">
        <f t="shared" si="20"/>
        <v>15399.209503099417</v>
      </c>
      <c r="P223" s="379"/>
      <c r="Q223" s="380"/>
      <c r="R223" s="379"/>
      <c r="T223" s="376"/>
      <c r="U223" s="381"/>
      <c r="V223" s="381"/>
      <c r="W223" s="382"/>
      <c r="X223" s="376"/>
      <c r="Y223" s="376"/>
      <c r="Z223" s="383"/>
    </row>
    <row r="224" spans="1:26" s="375" customFormat="1" x14ac:dyDescent="0.25">
      <c r="A224" s="391">
        <f>'A) Base RI'!A225</f>
        <v>5749</v>
      </c>
      <c r="B224" s="391" t="str">
        <f>'A) Base RI'!B225</f>
        <v>Chavornay</v>
      </c>
      <c r="C224" s="404">
        <v>0</v>
      </c>
      <c r="D224" s="377">
        <f>'B) D RI'!AR225</f>
        <v>4050</v>
      </c>
      <c r="E224" s="378">
        <f>'B) D RI'!S225</f>
        <v>72</v>
      </c>
      <c r="F224" s="18">
        <f>'B) D RI'!R225</f>
        <v>8819224.4100000001</v>
      </c>
      <c r="G224" s="18">
        <f>'B) D RI'!U225</f>
        <v>122489.22791666667</v>
      </c>
      <c r="H224" s="73">
        <f>'B) D RI'!T225</f>
        <v>8245677.6099999994</v>
      </c>
      <c r="I224" s="18">
        <f t="shared" si="21"/>
        <v>229046.60027777776</v>
      </c>
      <c r="J224" s="18">
        <f t="shared" si="22"/>
        <v>347837.32260620646</v>
      </c>
      <c r="K224" s="18">
        <f t="shared" si="18"/>
        <v>229046.60027777776</v>
      </c>
      <c r="L224" s="18">
        <f t="shared" si="23"/>
        <v>118790.7223284287</v>
      </c>
      <c r="M224" s="18">
        <f>'D) Ecrêtage'!N223</f>
        <v>122489.22791666667</v>
      </c>
      <c r="N224" s="18">
        <f t="shared" si="19"/>
        <v>165344.48765263511</v>
      </c>
      <c r="O224" s="98">
        <f t="shared" si="20"/>
        <v>394391.08793041285</v>
      </c>
      <c r="P224" s="379"/>
      <c r="Q224" s="380"/>
      <c r="R224" s="379"/>
      <c r="T224" s="376"/>
      <c r="U224" s="381"/>
      <c r="V224" s="381"/>
      <c r="W224" s="382"/>
      <c r="X224" s="376"/>
      <c r="Y224" s="376"/>
      <c r="Z224" s="383"/>
    </row>
    <row r="225" spans="1:26" s="375" customFormat="1" x14ac:dyDescent="0.25">
      <c r="A225" s="391">
        <f>'A) Base RI'!A226</f>
        <v>5750</v>
      </c>
      <c r="B225" s="391" t="str">
        <f>'A) Base RI'!B226</f>
        <v>Les Clées</v>
      </c>
      <c r="C225" s="404">
        <v>0</v>
      </c>
      <c r="D225" s="377">
        <f>'B) D RI'!AR226</f>
        <v>176</v>
      </c>
      <c r="E225" s="378">
        <f>'B) D RI'!S226</f>
        <v>80</v>
      </c>
      <c r="F225" s="18">
        <f>'B) D RI'!R226</f>
        <v>379647.37333333335</v>
      </c>
      <c r="G225" s="18">
        <f>'B) D RI'!U226</f>
        <v>4745.5921666666673</v>
      </c>
      <c r="H225" s="73">
        <f>'B) D RI'!T226</f>
        <v>359744.04000000004</v>
      </c>
      <c r="I225" s="18">
        <f t="shared" si="21"/>
        <v>8993.6010000000006</v>
      </c>
      <c r="J225" s="18">
        <f t="shared" si="22"/>
        <v>15115.893525603047</v>
      </c>
      <c r="K225" s="18">
        <f t="shared" si="18"/>
        <v>8993.6010000000006</v>
      </c>
      <c r="L225" s="18">
        <f t="shared" si="23"/>
        <v>6122.2925256030467</v>
      </c>
      <c r="M225" s="18">
        <f>'D) Ecrêtage'!N224</f>
        <v>4745.5921666666673</v>
      </c>
      <c r="N225" s="18">
        <f t="shared" si="19"/>
        <v>6405.9306989810257</v>
      </c>
      <c r="O225" s="98">
        <f t="shared" si="20"/>
        <v>15399.531698981027</v>
      </c>
      <c r="P225" s="379"/>
      <c r="Q225" s="380"/>
      <c r="R225" s="379"/>
      <c r="T225" s="376"/>
      <c r="U225" s="381"/>
      <c r="V225" s="381"/>
      <c r="W225" s="382"/>
      <c r="X225" s="376"/>
      <c r="Y225" s="376"/>
      <c r="Z225" s="383"/>
    </row>
    <row r="226" spans="1:26" s="375" customFormat="1" x14ac:dyDescent="0.25">
      <c r="A226" s="391">
        <f>'A) Base RI'!A227</f>
        <v>5751</v>
      </c>
      <c r="B226" s="391" t="str">
        <f>'A) Base RI'!B227</f>
        <v>Corcelles-sur-Chavornay</v>
      </c>
      <c r="C226" s="404">
        <v>1</v>
      </c>
      <c r="D226" s="377">
        <f>'B) D RI'!AR227</f>
        <v>330</v>
      </c>
      <c r="E226" s="378">
        <f>'B) D RI'!S227</f>
        <v>76</v>
      </c>
      <c r="F226" s="18">
        <f>'B) D RI'!R227</f>
        <v>636773.13</v>
      </c>
      <c r="G226" s="18">
        <f>'B) D RI'!U227</f>
        <v>8378.5938157894743</v>
      </c>
      <c r="H226" s="73">
        <f>'B) D RI'!T227</f>
        <v>593610.35</v>
      </c>
      <c r="I226" s="18">
        <f t="shared" si="21"/>
        <v>15621.324999999999</v>
      </c>
      <c r="J226" s="18">
        <f t="shared" si="22"/>
        <v>28342.300360505713</v>
      </c>
      <c r="K226" s="18">
        <f t="shared" si="18"/>
        <v>0</v>
      </c>
      <c r="L226" s="18">
        <f t="shared" si="23"/>
        <v>28342.300360505713</v>
      </c>
      <c r="M226" s="18">
        <f>'D) Ecrêtage'!N225</f>
        <v>8378.5938157894743</v>
      </c>
      <c r="N226" s="18">
        <f t="shared" si="19"/>
        <v>11310.009257824275</v>
      </c>
      <c r="O226" s="98">
        <f t="shared" si="20"/>
        <v>11310.009257824275</v>
      </c>
      <c r="P226" s="379"/>
      <c r="Q226" s="380"/>
      <c r="R226" s="379"/>
      <c r="T226" s="376"/>
      <c r="U226" s="381"/>
      <c r="V226" s="381"/>
      <c r="W226" s="382"/>
      <c r="X226" s="376"/>
      <c r="Y226" s="376"/>
      <c r="Z226" s="383"/>
    </row>
    <row r="227" spans="1:26" s="375" customFormat="1" x14ac:dyDescent="0.25">
      <c r="A227" s="391">
        <f>'A) Base RI'!A228</f>
        <v>5752</v>
      </c>
      <c r="B227" s="391" t="str">
        <f>'A) Base RI'!B228</f>
        <v>Croy</v>
      </c>
      <c r="C227" s="404">
        <v>0</v>
      </c>
      <c r="D227" s="377">
        <f>'B) D RI'!AR228</f>
        <v>321</v>
      </c>
      <c r="E227" s="378">
        <f>'B) D RI'!S228</f>
        <v>74</v>
      </c>
      <c r="F227" s="18">
        <f>'B) D RI'!R228</f>
        <v>601422.5828571429</v>
      </c>
      <c r="G227" s="18">
        <f>'B) D RI'!U228</f>
        <v>8127.3322007722018</v>
      </c>
      <c r="H227" s="73">
        <f>'B) D RI'!T228</f>
        <v>560383.74000000011</v>
      </c>
      <c r="I227" s="18">
        <f t="shared" si="21"/>
        <v>15145.506486486489</v>
      </c>
      <c r="J227" s="18">
        <f t="shared" si="22"/>
        <v>27569.32853249192</v>
      </c>
      <c r="K227" s="18">
        <f t="shared" si="18"/>
        <v>15145.506486486489</v>
      </c>
      <c r="L227" s="18">
        <f t="shared" si="23"/>
        <v>12423.822046005431</v>
      </c>
      <c r="M227" s="18">
        <f>'D) Ecrêtage'!N226</f>
        <v>8127.3322007722018</v>
      </c>
      <c r="N227" s="18">
        <f t="shared" si="19"/>
        <v>10970.838836813304</v>
      </c>
      <c r="O227" s="98">
        <f t="shared" si="20"/>
        <v>26116.345323299793</v>
      </c>
      <c r="P227" s="379"/>
      <c r="Q227" s="380"/>
      <c r="R227" s="379"/>
      <c r="T227" s="376"/>
      <c r="U227" s="381"/>
      <c r="V227" s="381"/>
      <c r="W227" s="382"/>
      <c r="X227" s="376"/>
      <c r="Y227" s="376"/>
      <c r="Z227" s="383"/>
    </row>
    <row r="228" spans="1:26" s="375" customFormat="1" x14ac:dyDescent="0.25">
      <c r="A228" s="391">
        <f>'A) Base RI'!A229</f>
        <v>5754</v>
      </c>
      <c r="B228" s="391" t="str">
        <f>'A) Base RI'!B229</f>
        <v>Juriens</v>
      </c>
      <c r="C228" s="404">
        <v>0</v>
      </c>
      <c r="D228" s="377">
        <f>'B) D RI'!AR229</f>
        <v>307</v>
      </c>
      <c r="E228" s="378">
        <f>'B) D RI'!S229</f>
        <v>79</v>
      </c>
      <c r="F228" s="18">
        <f>'B) D RI'!R229</f>
        <v>535556.65000000014</v>
      </c>
      <c r="G228" s="18">
        <f>'B) D RI'!U229</f>
        <v>6779.1981012658243</v>
      </c>
      <c r="H228" s="73">
        <f>'B) D RI'!T229</f>
        <v>500839.15000000008</v>
      </c>
      <c r="I228" s="18">
        <f t="shared" si="21"/>
        <v>12679.472151898737</v>
      </c>
      <c r="J228" s="18">
        <f t="shared" si="22"/>
        <v>26366.927911137132</v>
      </c>
      <c r="K228" s="18">
        <f t="shared" si="18"/>
        <v>12679.472151898737</v>
      </c>
      <c r="L228" s="18">
        <f t="shared" si="23"/>
        <v>13687.455759238395</v>
      </c>
      <c r="M228" s="18">
        <f>'D) Ecrêtage'!N227</f>
        <v>6779.1981012658243</v>
      </c>
      <c r="N228" s="18">
        <f t="shared" si="19"/>
        <v>9151.0335709855281</v>
      </c>
      <c r="O228" s="98">
        <f t="shared" si="20"/>
        <v>21830.505722884263</v>
      </c>
      <c r="P228" s="379"/>
      <c r="Q228" s="380"/>
      <c r="R228" s="379"/>
      <c r="T228" s="376"/>
      <c r="U228" s="381"/>
      <c r="V228" s="381"/>
      <c r="W228" s="382"/>
      <c r="X228" s="376"/>
      <c r="Y228" s="376"/>
      <c r="Z228" s="383"/>
    </row>
    <row r="229" spans="1:26" s="375" customFormat="1" x14ac:dyDescent="0.25">
      <c r="A229" s="391">
        <f>'A) Base RI'!A230</f>
        <v>5755</v>
      </c>
      <c r="B229" s="391" t="str">
        <f>'A) Base RI'!B230</f>
        <v>Lignerolle</v>
      </c>
      <c r="C229" s="404">
        <v>0</v>
      </c>
      <c r="D229" s="377">
        <f>'B) D RI'!AR230</f>
        <v>391</v>
      </c>
      <c r="E229" s="378">
        <f>'B) D RI'!S230</f>
        <v>81</v>
      </c>
      <c r="F229" s="18">
        <f>'B) D RI'!R230</f>
        <v>728540.31142857147</v>
      </c>
      <c r="G229" s="18">
        <f>'B) D RI'!U230</f>
        <v>8994.3248324514989</v>
      </c>
      <c r="H229" s="73">
        <f>'B) D RI'!T230</f>
        <v>681110.24</v>
      </c>
      <c r="I229" s="18">
        <f t="shared" si="21"/>
        <v>16817.536790123457</v>
      </c>
      <c r="J229" s="18">
        <f t="shared" si="22"/>
        <v>33581.33163926586</v>
      </c>
      <c r="K229" s="18">
        <f t="shared" si="18"/>
        <v>16817.536790123457</v>
      </c>
      <c r="L229" s="18">
        <f t="shared" si="23"/>
        <v>16763.794849142403</v>
      </c>
      <c r="M229" s="18">
        <f>'D) Ecrêtage'!N228</f>
        <v>8994.3248324514989</v>
      </c>
      <c r="N229" s="18">
        <f t="shared" si="19"/>
        <v>12141.165851864378</v>
      </c>
      <c r="O229" s="98">
        <f t="shared" si="20"/>
        <v>28958.702641987835</v>
      </c>
      <c r="P229" s="379"/>
      <c r="Q229" s="380"/>
      <c r="R229" s="379"/>
      <c r="T229" s="376"/>
      <c r="U229" s="381"/>
      <c r="V229" s="381"/>
      <c r="W229" s="382"/>
      <c r="X229" s="376"/>
      <c r="Y229" s="376"/>
      <c r="Z229" s="383"/>
    </row>
    <row r="230" spans="1:26" s="375" customFormat="1" x14ac:dyDescent="0.25">
      <c r="A230" s="391">
        <f>'A) Base RI'!A231</f>
        <v>5756</v>
      </c>
      <c r="B230" s="391" t="str">
        <f>'A) Base RI'!B231</f>
        <v>Montcherand</v>
      </c>
      <c r="C230" s="404">
        <v>1</v>
      </c>
      <c r="D230" s="377">
        <f>'B) D RI'!AR231</f>
        <v>471</v>
      </c>
      <c r="E230" s="378">
        <f>'B) D RI'!S231</f>
        <v>69</v>
      </c>
      <c r="F230" s="18">
        <f>'B) D RI'!R231</f>
        <v>1082839.5033333334</v>
      </c>
      <c r="G230" s="18">
        <f>'B) D RI'!U231</f>
        <v>15693.326135265701</v>
      </c>
      <c r="H230" s="73">
        <f>'B) D RI'!T231</f>
        <v>1006431.92</v>
      </c>
      <c r="I230" s="18">
        <f t="shared" si="21"/>
        <v>29171.939710144929</v>
      </c>
      <c r="J230" s="18">
        <f t="shared" si="22"/>
        <v>40452.192332721788</v>
      </c>
      <c r="K230" s="18">
        <f t="shared" si="18"/>
        <v>0</v>
      </c>
      <c r="L230" s="18">
        <f t="shared" si="23"/>
        <v>40452.192332721788</v>
      </c>
      <c r="M230" s="18">
        <f>'D) Ecrêtage'!N229</f>
        <v>15693.326135265701</v>
      </c>
      <c r="N230" s="18">
        <f t="shared" si="19"/>
        <v>21183.94420092634</v>
      </c>
      <c r="O230" s="98">
        <f t="shared" si="20"/>
        <v>21183.94420092634</v>
      </c>
      <c r="P230" s="379"/>
      <c r="Q230" s="380"/>
      <c r="R230" s="379"/>
      <c r="T230" s="376"/>
      <c r="U230" s="381"/>
      <c r="V230" s="381"/>
      <c r="W230" s="382"/>
      <c r="X230" s="376"/>
      <c r="Y230" s="376"/>
      <c r="Z230" s="383"/>
    </row>
    <row r="231" spans="1:26" s="375" customFormat="1" x14ac:dyDescent="0.25">
      <c r="A231" s="391">
        <f>'A) Base RI'!A232</f>
        <v>5757</v>
      </c>
      <c r="B231" s="391" t="str">
        <f>'A) Base RI'!B232</f>
        <v>Orbe</v>
      </c>
      <c r="C231" s="404">
        <v>1</v>
      </c>
      <c r="D231" s="377">
        <f>'B) D RI'!AR232</f>
        <v>6738</v>
      </c>
      <c r="E231" s="378">
        <f>'B) D RI'!S232</f>
        <v>69</v>
      </c>
      <c r="F231" s="18">
        <f>'B) D RI'!R232</f>
        <v>14049587.450000003</v>
      </c>
      <c r="G231" s="18">
        <f>'B) D RI'!U232</f>
        <v>203617.2094202899</v>
      </c>
      <c r="H231" s="73">
        <f>'B) D RI'!T232</f>
        <v>12966150.350000001</v>
      </c>
      <c r="I231" s="18">
        <f t="shared" si="21"/>
        <v>375830.4449275363</v>
      </c>
      <c r="J231" s="18">
        <f t="shared" si="22"/>
        <v>578698.2419063258</v>
      </c>
      <c r="K231" s="18">
        <f t="shared" si="18"/>
        <v>0</v>
      </c>
      <c r="L231" s="18">
        <f t="shared" si="23"/>
        <v>578698.2419063258</v>
      </c>
      <c r="M231" s="18">
        <f>'D) Ecrêtage'!N230</f>
        <v>203617.2094202899</v>
      </c>
      <c r="N231" s="18">
        <f t="shared" si="19"/>
        <v>274856.68528959842</v>
      </c>
      <c r="O231" s="98">
        <f t="shared" si="20"/>
        <v>274856.68528959842</v>
      </c>
      <c r="P231" s="379"/>
      <c r="Q231" s="380"/>
      <c r="R231" s="379"/>
      <c r="T231" s="376"/>
      <c r="U231" s="381"/>
      <c r="V231" s="381"/>
      <c r="W231" s="382"/>
      <c r="X231" s="376"/>
      <c r="Y231" s="376"/>
      <c r="Z231" s="383"/>
    </row>
    <row r="232" spans="1:26" s="375" customFormat="1" x14ac:dyDescent="0.25">
      <c r="A232" s="391">
        <f>'A) Base RI'!A233</f>
        <v>5758</v>
      </c>
      <c r="B232" s="391" t="str">
        <f>'A) Base RI'!B233</f>
        <v>La Praz</v>
      </c>
      <c r="C232" s="404">
        <v>0</v>
      </c>
      <c r="D232" s="377">
        <f>'B) D RI'!AR233</f>
        <v>156</v>
      </c>
      <c r="E232" s="378">
        <f>'B) D RI'!S233</f>
        <v>83</v>
      </c>
      <c r="F232" s="18">
        <f>'B) D RI'!R233</f>
        <v>319893.60444444441</v>
      </c>
      <c r="G232" s="18">
        <f>'B) D RI'!U233</f>
        <v>3854.1398125836677</v>
      </c>
      <c r="H232" s="73">
        <f>'B) D RI'!T233</f>
        <v>299389.65999999997</v>
      </c>
      <c r="I232" s="18">
        <f t="shared" si="21"/>
        <v>7214.2086746987943</v>
      </c>
      <c r="J232" s="18">
        <f t="shared" si="22"/>
        <v>13398.178352239065</v>
      </c>
      <c r="K232" s="18">
        <f t="shared" si="18"/>
        <v>7214.2086746987943</v>
      </c>
      <c r="L232" s="18">
        <f t="shared" si="23"/>
        <v>6183.9696775402708</v>
      </c>
      <c r="M232" s="18">
        <f>'D) Ecrêtage'!N231</f>
        <v>3854.1398125836677</v>
      </c>
      <c r="N232" s="18">
        <f t="shared" si="19"/>
        <v>5202.5862477214605</v>
      </c>
      <c r="O232" s="98">
        <f t="shared" si="20"/>
        <v>12416.794922420255</v>
      </c>
      <c r="P232" s="379"/>
      <c r="Q232" s="380"/>
      <c r="R232" s="379"/>
      <c r="T232" s="376"/>
      <c r="U232" s="381"/>
      <c r="V232" s="381"/>
      <c r="W232" s="382"/>
      <c r="X232" s="376"/>
      <c r="Y232" s="376"/>
      <c r="Z232" s="383"/>
    </row>
    <row r="233" spans="1:26" s="375" customFormat="1" x14ac:dyDescent="0.25">
      <c r="A233" s="391">
        <f>'A) Base RI'!A234</f>
        <v>5759</v>
      </c>
      <c r="B233" s="391" t="str">
        <f>'A) Base RI'!B234</f>
        <v>Premier</v>
      </c>
      <c r="C233" s="404">
        <v>0</v>
      </c>
      <c r="D233" s="377">
        <f>'B) D RI'!AR234</f>
        <v>182</v>
      </c>
      <c r="E233" s="378">
        <f>'B) D RI'!S234</f>
        <v>81</v>
      </c>
      <c r="F233" s="18">
        <f>'B) D RI'!R234</f>
        <v>314734.27</v>
      </c>
      <c r="G233" s="18">
        <f>'B) D RI'!U234</f>
        <v>3885.6082716049386</v>
      </c>
      <c r="H233" s="73">
        <f>'B) D RI'!T234</f>
        <v>289552.97000000003</v>
      </c>
      <c r="I233" s="18">
        <f t="shared" si="21"/>
        <v>7149.4560493827166</v>
      </c>
      <c r="J233" s="18">
        <f t="shared" si="22"/>
        <v>15631.208077612242</v>
      </c>
      <c r="K233" s="18">
        <f t="shared" si="18"/>
        <v>7149.4560493827166</v>
      </c>
      <c r="L233" s="18">
        <f t="shared" si="23"/>
        <v>8481.7520282295263</v>
      </c>
      <c r="M233" s="18">
        <f>'D) Ecrêtage'!N232</f>
        <v>3885.6082716049386</v>
      </c>
      <c r="N233" s="18">
        <f t="shared" si="19"/>
        <v>5245.0645645709219</v>
      </c>
      <c r="O233" s="98">
        <f t="shared" si="20"/>
        <v>12394.520613953639</v>
      </c>
      <c r="P233" s="379"/>
      <c r="Q233" s="380"/>
      <c r="R233" s="379"/>
      <c r="T233" s="376"/>
      <c r="U233" s="381"/>
      <c r="V233" s="381"/>
      <c r="W233" s="382"/>
      <c r="X233" s="376"/>
      <c r="Y233" s="376"/>
      <c r="Z233" s="383"/>
    </row>
    <row r="234" spans="1:26" s="375" customFormat="1" x14ac:dyDescent="0.25">
      <c r="A234" s="391">
        <f>'A) Base RI'!A235</f>
        <v>5760</v>
      </c>
      <c r="B234" s="391" t="str">
        <f>'A) Base RI'!B235</f>
        <v>Rances</v>
      </c>
      <c r="C234" s="404">
        <v>0</v>
      </c>
      <c r="D234" s="377">
        <f>'B) D RI'!AR235</f>
        <v>436</v>
      </c>
      <c r="E234" s="378">
        <f>'B) D RI'!S235</f>
        <v>78</v>
      </c>
      <c r="F234" s="18">
        <f>'B) D RI'!R235</f>
        <v>883337.6100000001</v>
      </c>
      <c r="G234" s="18">
        <f>'B) D RI'!U235</f>
        <v>11324.841153846155</v>
      </c>
      <c r="H234" s="73">
        <f>'B) D RI'!T235</f>
        <v>822476.51000000013</v>
      </c>
      <c r="I234" s="18">
        <f t="shared" si="21"/>
        <v>21089.141282051285</v>
      </c>
      <c r="J234" s="18">
        <f t="shared" si="22"/>
        <v>37446.190779334822</v>
      </c>
      <c r="K234" s="18">
        <f t="shared" si="18"/>
        <v>21089.141282051285</v>
      </c>
      <c r="L234" s="18">
        <f t="shared" si="23"/>
        <v>16357.049497283537</v>
      </c>
      <c r="M234" s="18">
        <f>'D) Ecrêtage'!N233</f>
        <v>11324.841153846155</v>
      </c>
      <c r="N234" s="18">
        <f t="shared" si="19"/>
        <v>15287.059035134838</v>
      </c>
      <c r="O234" s="98">
        <f t="shared" si="20"/>
        <v>36376.200317186122</v>
      </c>
      <c r="P234" s="379"/>
      <c r="Q234" s="380"/>
      <c r="R234" s="379"/>
      <c r="T234" s="376"/>
      <c r="U234" s="381"/>
      <c r="V234" s="381"/>
      <c r="W234" s="382"/>
      <c r="X234" s="376"/>
      <c r="Y234" s="376"/>
      <c r="Z234" s="383"/>
    </row>
    <row r="235" spans="1:26" s="375" customFormat="1" x14ac:dyDescent="0.25">
      <c r="A235" s="391">
        <f>'A) Base RI'!A236</f>
        <v>5761</v>
      </c>
      <c r="B235" s="391" t="str">
        <f>'A) Base RI'!B236</f>
        <v>Romainmôtier-Envy</v>
      </c>
      <c r="C235" s="404">
        <v>0</v>
      </c>
      <c r="D235" s="377">
        <f>'B) D RI'!AR236</f>
        <v>527</v>
      </c>
      <c r="E235" s="378">
        <f>'B) D RI'!S236</f>
        <v>76</v>
      </c>
      <c r="F235" s="18">
        <f>'B) D RI'!R236</f>
        <v>917042.66499999992</v>
      </c>
      <c r="G235" s="18">
        <f>'B) D RI'!U236</f>
        <v>12066.350855263157</v>
      </c>
      <c r="H235" s="73">
        <f>'B) D RI'!T236</f>
        <v>847589.53999999992</v>
      </c>
      <c r="I235" s="18">
        <f t="shared" si="21"/>
        <v>22304.987894736842</v>
      </c>
      <c r="J235" s="18">
        <f t="shared" si="22"/>
        <v>45261.794818140945</v>
      </c>
      <c r="K235" s="18">
        <f t="shared" si="18"/>
        <v>22304.987894736842</v>
      </c>
      <c r="L235" s="18">
        <f t="shared" si="23"/>
        <v>22956.806923404103</v>
      </c>
      <c r="M235" s="18">
        <f>'D) Ecrêtage'!N234</f>
        <v>12066.350855263157</v>
      </c>
      <c r="N235" s="18">
        <f t="shared" si="19"/>
        <v>16288.000454682886</v>
      </c>
      <c r="O235" s="98">
        <f t="shared" si="20"/>
        <v>38592.988349419727</v>
      </c>
      <c r="P235" s="379"/>
      <c r="Q235" s="380"/>
      <c r="R235" s="379"/>
      <c r="T235" s="376"/>
      <c r="U235" s="381"/>
      <c r="V235" s="381"/>
      <c r="W235" s="382"/>
      <c r="X235" s="376"/>
      <c r="Y235" s="376"/>
      <c r="Z235" s="383"/>
    </row>
    <row r="236" spans="1:26" s="375" customFormat="1" x14ac:dyDescent="0.25">
      <c r="A236" s="391">
        <f>'A) Base RI'!A237</f>
        <v>5762</v>
      </c>
      <c r="B236" s="391" t="str">
        <f>'A) Base RI'!B237</f>
        <v>Sergey</v>
      </c>
      <c r="C236" s="404">
        <v>0</v>
      </c>
      <c r="D236" s="377">
        <f>'B) D RI'!AR237</f>
        <v>145</v>
      </c>
      <c r="E236" s="378">
        <f>'B) D RI'!S237</f>
        <v>81</v>
      </c>
      <c r="F236" s="18">
        <f>'B) D RI'!R237</f>
        <v>342314.94999999995</v>
      </c>
      <c r="G236" s="18">
        <f>'B) D RI'!U237</f>
        <v>4226.1104938271601</v>
      </c>
      <c r="H236" s="73">
        <f>'B) D RI'!T237</f>
        <v>324180.84999999998</v>
      </c>
      <c r="I236" s="18">
        <f t="shared" si="21"/>
        <v>8004.4654320987647</v>
      </c>
      <c r="J236" s="18">
        <f t="shared" si="22"/>
        <v>12453.435006888874</v>
      </c>
      <c r="K236" s="18">
        <f t="shared" si="18"/>
        <v>8004.4654320987647</v>
      </c>
      <c r="L236" s="18">
        <f t="shared" si="23"/>
        <v>4448.9695747901096</v>
      </c>
      <c r="M236" s="18">
        <f>'D) Ecrêtage'!N235</f>
        <v>4226.1104938271601</v>
      </c>
      <c r="N236" s="18">
        <f t="shared" si="19"/>
        <v>5704.6981701988361</v>
      </c>
      <c r="O236" s="98">
        <f t="shared" si="20"/>
        <v>13709.163602297602</v>
      </c>
      <c r="P236" s="379"/>
      <c r="Q236" s="380"/>
      <c r="R236" s="379"/>
      <c r="T236" s="376"/>
      <c r="U236" s="381"/>
      <c r="V236" s="381"/>
      <c r="W236" s="382"/>
      <c r="X236" s="376"/>
      <c r="Y236" s="376"/>
      <c r="Z236" s="383"/>
    </row>
    <row r="237" spans="1:26" s="375" customFormat="1" x14ac:dyDescent="0.25">
      <c r="A237" s="391">
        <f>'A) Base RI'!A238</f>
        <v>5763</v>
      </c>
      <c r="B237" s="391" t="str">
        <f>'A) Base RI'!B238</f>
        <v>Valeyres-sous-Rances</v>
      </c>
      <c r="C237" s="404">
        <v>0</v>
      </c>
      <c r="D237" s="377">
        <f>'B) D RI'!AR238</f>
        <v>584</v>
      </c>
      <c r="E237" s="378">
        <f>'B) D RI'!S238</f>
        <v>68</v>
      </c>
      <c r="F237" s="18">
        <f>'B) D RI'!R238</f>
        <v>1071210.75</v>
      </c>
      <c r="G237" s="18">
        <f>'B) D RI'!U238</f>
        <v>15753.099264705883</v>
      </c>
      <c r="H237" s="73">
        <f>'B) D RI'!T238</f>
        <v>993045.1</v>
      </c>
      <c r="I237" s="18">
        <f t="shared" si="21"/>
        <v>29207.20882352941</v>
      </c>
      <c r="J237" s="18">
        <f t="shared" si="22"/>
        <v>50157.283062228293</v>
      </c>
      <c r="K237" s="18">
        <f t="shared" si="18"/>
        <v>29207.20882352941</v>
      </c>
      <c r="L237" s="18">
        <f t="shared" si="23"/>
        <v>20950.074238698882</v>
      </c>
      <c r="M237" s="18">
        <f>'D) Ecrêtage'!N236</f>
        <v>15753.099264705883</v>
      </c>
      <c r="N237" s="18">
        <f t="shared" si="19"/>
        <v>21264.630132503975</v>
      </c>
      <c r="O237" s="98">
        <f t="shared" si="20"/>
        <v>50471.838956033389</v>
      </c>
      <c r="P237" s="379"/>
      <c r="Q237" s="380"/>
      <c r="R237" s="379"/>
      <c r="T237" s="376"/>
      <c r="U237" s="381"/>
      <c r="V237" s="381"/>
      <c r="W237" s="382"/>
      <c r="X237" s="376"/>
      <c r="Y237" s="376"/>
      <c r="Z237" s="383"/>
    </row>
    <row r="238" spans="1:26" s="375" customFormat="1" x14ac:dyDescent="0.25">
      <c r="A238" s="391">
        <f>'A) Base RI'!A239</f>
        <v>5764</v>
      </c>
      <c r="B238" s="391" t="str">
        <f>'A) Base RI'!B239</f>
        <v>Vallorbe</v>
      </c>
      <c r="C238" s="404">
        <v>0</v>
      </c>
      <c r="D238" s="377">
        <f>'B) D RI'!AR239</f>
        <v>3569</v>
      </c>
      <c r="E238" s="378">
        <f>'B) D RI'!S239</f>
        <v>74</v>
      </c>
      <c r="F238" s="18">
        <f>'B) D RI'!R239</f>
        <v>5879992.7300000004</v>
      </c>
      <c r="G238" s="18">
        <f>'B) D RI'!U239</f>
        <v>79459.361216216217</v>
      </c>
      <c r="H238" s="73">
        <f>'B) D RI'!T239</f>
        <v>5495957.6800000006</v>
      </c>
      <c r="I238" s="18">
        <f t="shared" si="21"/>
        <v>148539.39675675676</v>
      </c>
      <c r="J238" s="18">
        <f t="shared" si="22"/>
        <v>306526.27268680272</v>
      </c>
      <c r="K238" s="18">
        <f t="shared" si="18"/>
        <v>148539.39675675676</v>
      </c>
      <c r="L238" s="18">
        <f t="shared" si="23"/>
        <v>157986.87593004596</v>
      </c>
      <c r="M238" s="18">
        <f>'D) Ecrêtage'!N237</f>
        <v>79459.361216216217</v>
      </c>
      <c r="N238" s="18">
        <f t="shared" si="19"/>
        <v>107259.77780216926</v>
      </c>
      <c r="O238" s="98">
        <f t="shared" si="20"/>
        <v>255799.17455892602</v>
      </c>
      <c r="P238" s="379"/>
      <c r="Q238" s="380"/>
      <c r="R238" s="379"/>
      <c r="T238" s="376"/>
      <c r="U238" s="381"/>
      <c r="V238" s="381"/>
      <c r="W238" s="382"/>
      <c r="X238" s="376"/>
      <c r="Y238" s="376"/>
      <c r="Z238" s="383"/>
    </row>
    <row r="239" spans="1:26" s="375" customFormat="1" x14ac:dyDescent="0.25">
      <c r="A239" s="391">
        <f>'A) Base RI'!A240</f>
        <v>5765</v>
      </c>
      <c r="B239" s="391" t="str">
        <f>'A) Base RI'!B240</f>
        <v>Vaulion</v>
      </c>
      <c r="C239" s="404">
        <v>0</v>
      </c>
      <c r="D239" s="377">
        <f>'B) D RI'!AR240</f>
        <v>483</v>
      </c>
      <c r="E239" s="378">
        <f>'B) D RI'!S240</f>
        <v>81</v>
      </c>
      <c r="F239" s="18">
        <f>'B) D RI'!R240</f>
        <v>827275.67999999982</v>
      </c>
      <c r="G239" s="18">
        <f>'B) D RI'!U240</f>
        <v>10213.279999999997</v>
      </c>
      <c r="H239" s="73">
        <f>'B) D RI'!T240</f>
        <v>773139.67999999982</v>
      </c>
      <c r="I239" s="18">
        <f t="shared" si="21"/>
        <v>19089.868641975303</v>
      </c>
      <c r="J239" s="18">
        <f t="shared" si="22"/>
        <v>41482.821436740182</v>
      </c>
      <c r="K239" s="18">
        <f t="shared" si="18"/>
        <v>19089.868641975303</v>
      </c>
      <c r="L239" s="18">
        <f t="shared" si="23"/>
        <v>22392.952794764878</v>
      </c>
      <c r="M239" s="18">
        <f>'D) Ecrêtage'!N238</f>
        <v>10213.279999999997</v>
      </c>
      <c r="N239" s="18">
        <f t="shared" si="19"/>
        <v>13786.596401781449</v>
      </c>
      <c r="O239" s="98">
        <f t="shared" si="20"/>
        <v>32876.465043756754</v>
      </c>
      <c r="P239" s="379"/>
      <c r="Q239" s="380"/>
      <c r="R239" s="379"/>
      <c r="T239" s="376"/>
      <c r="U239" s="381"/>
      <c r="V239" s="381"/>
      <c r="W239" s="382"/>
      <c r="X239" s="376"/>
      <c r="Y239" s="376"/>
      <c r="Z239" s="383"/>
    </row>
    <row r="240" spans="1:26" s="375" customFormat="1" x14ac:dyDescent="0.25">
      <c r="A240" s="391">
        <f>'A) Base RI'!A241</f>
        <v>5766</v>
      </c>
      <c r="B240" s="391" t="str">
        <f>'A) Base RI'!B241</f>
        <v>Vuiteboeuf</v>
      </c>
      <c r="C240" s="404">
        <v>0</v>
      </c>
      <c r="D240" s="377">
        <f>'B) D RI'!AR241</f>
        <v>516</v>
      </c>
      <c r="E240" s="378">
        <f>'B) D RI'!S241</f>
        <v>77</v>
      </c>
      <c r="F240" s="18">
        <f>'B) D RI'!R241</f>
        <v>1015377.3242857142</v>
      </c>
      <c r="G240" s="18">
        <f>'B) D RI'!U241</f>
        <v>13186.718497217067</v>
      </c>
      <c r="H240" s="73">
        <f>'B) D RI'!T241</f>
        <v>944323.60999999987</v>
      </c>
      <c r="I240" s="18">
        <f t="shared" si="21"/>
        <v>24527.885974025972</v>
      </c>
      <c r="J240" s="18">
        <f t="shared" si="22"/>
        <v>44317.05147279075</v>
      </c>
      <c r="K240" s="18">
        <f t="shared" si="18"/>
        <v>24527.885974025972</v>
      </c>
      <c r="L240" s="18">
        <f t="shared" si="23"/>
        <v>19789.165498764778</v>
      </c>
      <c r="M240" s="18">
        <f>'D) Ecrêtage'!N239</f>
        <v>13186.718497217067</v>
      </c>
      <c r="N240" s="18">
        <f t="shared" si="19"/>
        <v>17800.350698799775</v>
      </c>
      <c r="O240" s="98">
        <f t="shared" si="20"/>
        <v>42328.236672825748</v>
      </c>
      <c r="P240" s="379"/>
      <c r="Q240" s="380"/>
      <c r="R240" s="379"/>
      <c r="T240" s="376"/>
      <c r="U240" s="381"/>
      <c r="V240" s="381"/>
      <c r="W240" s="382"/>
      <c r="X240" s="376"/>
      <c r="Y240" s="376"/>
      <c r="Z240" s="383"/>
    </row>
    <row r="241" spans="1:26" s="375" customFormat="1" x14ac:dyDescent="0.25">
      <c r="A241" s="391">
        <f>'A) Base RI'!A242</f>
        <v>5782</v>
      </c>
      <c r="B241" s="391" t="str">
        <f>'A) Base RI'!B242</f>
        <v>Carrouge</v>
      </c>
      <c r="C241" s="404">
        <v>0</v>
      </c>
      <c r="D241" s="377">
        <f>'B) D RI'!AR242</f>
        <v>1103</v>
      </c>
      <c r="E241" s="378">
        <f>'B) D RI'!S242</f>
        <v>75</v>
      </c>
      <c r="F241" s="18">
        <f>'B) D RI'!R242</f>
        <v>2291850.3100000005</v>
      </c>
      <c r="G241" s="18">
        <f>'B) D RI'!U242</f>
        <v>30558.004133333339</v>
      </c>
      <c r="H241" s="73">
        <f>'B) D RI'!T242</f>
        <v>2119289.6100000003</v>
      </c>
      <c r="I241" s="18">
        <f t="shared" si="21"/>
        <v>56514.38960000001</v>
      </c>
      <c r="J241" s="18">
        <f t="shared" si="22"/>
        <v>94731.991811023647</v>
      </c>
      <c r="K241" s="18">
        <f t="shared" si="18"/>
        <v>56514.38960000001</v>
      </c>
      <c r="L241" s="18">
        <f t="shared" si="23"/>
        <v>38217.602211023637</v>
      </c>
      <c r="M241" s="18">
        <f>'D) Ecrêtage'!N240</f>
        <v>30558.004133333339</v>
      </c>
      <c r="N241" s="18">
        <f t="shared" si="19"/>
        <v>41249.321455030724</v>
      </c>
      <c r="O241" s="98">
        <f t="shared" si="20"/>
        <v>97763.711055030726</v>
      </c>
      <c r="P241" s="379"/>
      <c r="Q241" s="380"/>
      <c r="R241" s="379"/>
      <c r="T241" s="376"/>
      <c r="U241" s="381"/>
      <c r="V241" s="381"/>
      <c r="W241" s="382"/>
      <c r="X241" s="376"/>
      <c r="Y241" s="376"/>
      <c r="Z241" s="383"/>
    </row>
    <row r="242" spans="1:26" s="375" customFormat="1" x14ac:dyDescent="0.25">
      <c r="A242" s="391">
        <f>'A) Base RI'!A243</f>
        <v>5785</v>
      </c>
      <c r="B242" s="391" t="str">
        <f>'A) Base RI'!B243</f>
        <v>Corcelles-le-Jorat</v>
      </c>
      <c r="C242" s="404">
        <v>0</v>
      </c>
      <c r="D242" s="377">
        <f>'B) D RI'!AR243</f>
        <v>443</v>
      </c>
      <c r="E242" s="378">
        <f>'B) D RI'!S243</f>
        <v>79</v>
      </c>
      <c r="F242" s="18">
        <f>'B) D RI'!R243</f>
        <v>1202454.07</v>
      </c>
      <c r="G242" s="18">
        <f>'B) D RI'!U243</f>
        <v>15220.93759493671</v>
      </c>
      <c r="H242" s="73">
        <f>'B) D RI'!T243</f>
        <v>1139014.47</v>
      </c>
      <c r="I242" s="18">
        <f t="shared" si="21"/>
        <v>28835.809367088608</v>
      </c>
      <c r="J242" s="18">
        <f t="shared" si="22"/>
        <v>38047.391090012214</v>
      </c>
      <c r="K242" s="18">
        <f t="shared" si="18"/>
        <v>28835.809367088608</v>
      </c>
      <c r="L242" s="18">
        <f t="shared" si="23"/>
        <v>9211.5817229236054</v>
      </c>
      <c r="M242" s="18">
        <f>'D) Ecrêtage'!N241</f>
        <v>15220.93759493671</v>
      </c>
      <c r="N242" s="18">
        <f t="shared" si="19"/>
        <v>20546.28126107328</v>
      </c>
      <c r="O242" s="98">
        <f t="shared" si="20"/>
        <v>49382.090628161888</v>
      </c>
      <c r="P242" s="379"/>
      <c r="Q242" s="380"/>
      <c r="R242" s="379"/>
      <c r="T242" s="376"/>
      <c r="U242" s="381"/>
      <c r="V242" s="381"/>
      <c r="W242" s="382"/>
      <c r="X242" s="376"/>
      <c r="Y242" s="376"/>
      <c r="Z242" s="383"/>
    </row>
    <row r="243" spans="1:26" s="375" customFormat="1" x14ac:dyDescent="0.25">
      <c r="A243" s="391">
        <f>'A) Base RI'!A244</f>
        <v>5788</v>
      </c>
      <c r="B243" s="391" t="str">
        <f>'A) Base RI'!B244</f>
        <v>Essertes</v>
      </c>
      <c r="C243" s="404">
        <v>0</v>
      </c>
      <c r="D243" s="377">
        <f>'B) D RI'!AR244</f>
        <v>330</v>
      </c>
      <c r="E243" s="378">
        <f>'B) D RI'!S244</f>
        <v>70</v>
      </c>
      <c r="F243" s="18">
        <f>'B) D RI'!R244</f>
        <v>651572.98</v>
      </c>
      <c r="G243" s="18">
        <f>'B) D RI'!U244</f>
        <v>9308.1854285714289</v>
      </c>
      <c r="H243" s="73">
        <f>'B) D RI'!T244</f>
        <v>597362.74</v>
      </c>
      <c r="I243" s="18">
        <f t="shared" si="21"/>
        <v>17067.506857142856</v>
      </c>
      <c r="J243" s="18">
        <f t="shared" si="22"/>
        <v>28342.300360505713</v>
      </c>
      <c r="K243" s="18">
        <f t="shared" si="18"/>
        <v>17067.506857142856</v>
      </c>
      <c r="L243" s="18">
        <f t="shared" si="23"/>
        <v>11274.793503362856</v>
      </c>
      <c r="M243" s="18">
        <f>'D) Ecrêtage'!N242</f>
        <v>9308.1854285714289</v>
      </c>
      <c r="N243" s="18">
        <f t="shared" si="19"/>
        <v>12564.836735765339</v>
      </c>
      <c r="O243" s="98">
        <f t="shared" si="20"/>
        <v>29632.343592908197</v>
      </c>
      <c r="P243" s="379"/>
      <c r="Q243" s="380"/>
      <c r="R243" s="379"/>
      <c r="T243" s="376"/>
      <c r="U243" s="381"/>
      <c r="V243" s="381"/>
      <c r="W243" s="382"/>
      <c r="X243" s="376"/>
      <c r="Y243" s="376"/>
      <c r="Z243" s="383"/>
    </row>
    <row r="244" spans="1:26" s="375" customFormat="1" x14ac:dyDescent="0.25">
      <c r="A244" s="391">
        <f>'A) Base RI'!A245</f>
        <v>5789</v>
      </c>
      <c r="B244" s="391" t="str">
        <f>'A) Base RI'!B245</f>
        <v>Ferlens</v>
      </c>
      <c r="C244" s="404">
        <v>0</v>
      </c>
      <c r="D244" s="377">
        <f>'B) D RI'!AR245</f>
        <v>330</v>
      </c>
      <c r="E244" s="378">
        <f>'B) D RI'!S245</f>
        <v>77</v>
      </c>
      <c r="F244" s="18">
        <f>'B) D RI'!R245</f>
        <v>731240.59999999986</v>
      </c>
      <c r="G244" s="18">
        <f>'B) D RI'!U245</f>
        <v>9496.6311688311671</v>
      </c>
      <c r="H244" s="73">
        <f>'B) D RI'!T245</f>
        <v>684161.14999999991</v>
      </c>
      <c r="I244" s="18">
        <f t="shared" si="21"/>
        <v>17770.419480519478</v>
      </c>
      <c r="J244" s="18">
        <f t="shared" si="22"/>
        <v>28342.300360505713</v>
      </c>
      <c r="K244" s="18">
        <f t="shared" si="18"/>
        <v>17770.419480519478</v>
      </c>
      <c r="L244" s="18">
        <f t="shared" si="23"/>
        <v>10571.880879986235</v>
      </c>
      <c r="M244" s="18">
        <f>'D) Ecrêtage'!N243</f>
        <v>9496.6311688311671</v>
      </c>
      <c r="N244" s="18">
        <f t="shared" si="19"/>
        <v>12819.213915730634</v>
      </c>
      <c r="O244" s="98">
        <f t="shared" si="20"/>
        <v>30589.633396250112</v>
      </c>
      <c r="P244" s="379"/>
      <c r="Q244" s="380"/>
      <c r="R244" s="379"/>
      <c r="T244" s="376"/>
      <c r="U244" s="381"/>
      <c r="V244" s="381"/>
      <c r="W244" s="382"/>
      <c r="X244" s="376"/>
      <c r="Y244" s="376"/>
      <c r="Z244" s="383"/>
    </row>
    <row r="245" spans="1:26" s="375" customFormat="1" x14ac:dyDescent="0.25">
      <c r="A245" s="391">
        <f>'A) Base RI'!A246</f>
        <v>5790</v>
      </c>
      <c r="B245" s="391" t="str">
        <f>'A) Base RI'!B246</f>
        <v>Maracon</v>
      </c>
      <c r="C245" s="404">
        <v>0</v>
      </c>
      <c r="D245" s="377">
        <f>'B) D RI'!AR246</f>
        <v>444</v>
      </c>
      <c r="E245" s="378">
        <f>'B) D RI'!S246</f>
        <v>76</v>
      </c>
      <c r="F245" s="18">
        <f>'B) D RI'!R246</f>
        <v>876966.20000000007</v>
      </c>
      <c r="G245" s="18">
        <f>'B) D RI'!U246</f>
        <v>11539.028947368422</v>
      </c>
      <c r="H245" s="73">
        <f>'B) D RI'!T246</f>
        <v>808432.45000000007</v>
      </c>
      <c r="I245" s="18">
        <f t="shared" si="21"/>
        <v>21274.538157894738</v>
      </c>
      <c r="J245" s="18">
        <f t="shared" si="22"/>
        <v>38133.276848680413</v>
      </c>
      <c r="K245" s="18">
        <f t="shared" si="18"/>
        <v>21274.538157894738</v>
      </c>
      <c r="L245" s="18">
        <f t="shared" si="23"/>
        <v>16858.738690785674</v>
      </c>
      <c r="M245" s="18">
        <f>'D) Ecrêtage'!N244</f>
        <v>11539.028947368422</v>
      </c>
      <c r="N245" s="18">
        <f t="shared" si="19"/>
        <v>15576.184630778902</v>
      </c>
      <c r="O245" s="98">
        <f t="shared" si="20"/>
        <v>36850.722788673636</v>
      </c>
      <c r="P245" s="379"/>
      <c r="Q245" s="380"/>
      <c r="R245" s="379"/>
      <c r="T245" s="376"/>
      <c r="U245" s="381"/>
      <c r="V245" s="381"/>
      <c r="W245" s="382"/>
      <c r="X245" s="376"/>
      <c r="Y245" s="376"/>
      <c r="Z245" s="383"/>
    </row>
    <row r="246" spans="1:26" s="375" customFormat="1" x14ac:dyDescent="0.25">
      <c r="A246" s="391">
        <f>'A) Base RI'!A247</f>
        <v>5791</v>
      </c>
      <c r="B246" s="391" t="str">
        <f>'A) Base RI'!B247</f>
        <v>Mézières</v>
      </c>
      <c r="C246" s="404">
        <v>0</v>
      </c>
      <c r="D246" s="377">
        <f>'B) D RI'!AR247</f>
        <v>1192</v>
      </c>
      <c r="E246" s="378">
        <f>'B) D RI'!S247</f>
        <v>76</v>
      </c>
      <c r="F246" s="18">
        <f>'B) D RI'!R247</f>
        <v>3164342.1533333333</v>
      </c>
      <c r="G246" s="18">
        <f>'B) D RI'!U247</f>
        <v>41636.080964912282</v>
      </c>
      <c r="H246" s="73">
        <f>'B) D RI'!T247</f>
        <v>2946329.7199999997</v>
      </c>
      <c r="I246" s="18">
        <f t="shared" si="21"/>
        <v>77534.992631578934</v>
      </c>
      <c r="J246" s="18">
        <f t="shared" si="22"/>
        <v>102375.82433249336</v>
      </c>
      <c r="K246" s="18">
        <f t="shared" si="18"/>
        <v>77534.992631578934</v>
      </c>
      <c r="L246" s="18">
        <f t="shared" si="23"/>
        <v>24840.831700914423</v>
      </c>
      <c r="M246" s="18">
        <f>'D) Ecrêtage'!N245</f>
        <v>41636.080964912282</v>
      </c>
      <c r="N246" s="18">
        <f t="shared" si="19"/>
        <v>56203.280828014213</v>
      </c>
      <c r="O246" s="98">
        <f t="shared" si="20"/>
        <v>133738.27345959315</v>
      </c>
      <c r="P246" s="379"/>
      <c r="Q246" s="380"/>
      <c r="R246" s="379"/>
      <c r="T246" s="376"/>
      <c r="U246" s="381"/>
      <c r="V246" s="381"/>
      <c r="W246" s="382"/>
      <c r="X246" s="376"/>
      <c r="Y246" s="376"/>
      <c r="Z246" s="383"/>
    </row>
    <row r="247" spans="1:26" s="375" customFormat="1" x14ac:dyDescent="0.25">
      <c r="A247" s="391">
        <f>'A) Base RI'!A248</f>
        <v>5792</v>
      </c>
      <c r="B247" s="391" t="str">
        <f>'A) Base RI'!B248</f>
        <v>Montpreveyres</v>
      </c>
      <c r="C247" s="404">
        <v>0</v>
      </c>
      <c r="D247" s="377">
        <f>'B) D RI'!AR248</f>
        <v>597</v>
      </c>
      <c r="E247" s="378">
        <f>'B) D RI'!S248</f>
        <v>79</v>
      </c>
      <c r="F247" s="18">
        <f>'B) D RI'!R248</f>
        <v>1347172.57</v>
      </c>
      <c r="G247" s="18">
        <f>'B) D RI'!U248</f>
        <v>17052.817341772152</v>
      </c>
      <c r="H247" s="73">
        <f>'B) D RI'!T248</f>
        <v>1258757.1700000002</v>
      </c>
      <c r="I247" s="18">
        <f t="shared" si="21"/>
        <v>31867.270126582283</v>
      </c>
      <c r="J247" s="18">
        <f t="shared" si="22"/>
        <v>51273.797924914878</v>
      </c>
      <c r="K247" s="18">
        <f t="shared" si="18"/>
        <v>31867.270126582283</v>
      </c>
      <c r="L247" s="18">
        <f t="shared" si="23"/>
        <v>19406.527798332594</v>
      </c>
      <c r="M247" s="18">
        <f>'D) Ecrêtage'!N246</f>
        <v>17052.817341772152</v>
      </c>
      <c r="N247" s="18">
        <f t="shared" si="19"/>
        <v>23019.080080474865</v>
      </c>
      <c r="O247" s="98">
        <f t="shared" si="20"/>
        <v>54886.350207057149</v>
      </c>
      <c r="P247" s="379"/>
      <c r="Q247" s="380"/>
      <c r="R247" s="379"/>
      <c r="T247" s="376"/>
      <c r="U247" s="381"/>
      <c r="V247" s="381"/>
      <c r="W247" s="382"/>
      <c r="X247" s="376"/>
      <c r="Y247" s="376"/>
      <c r="Z247" s="383"/>
    </row>
    <row r="248" spans="1:26" s="375" customFormat="1" x14ac:dyDescent="0.25">
      <c r="A248" s="391">
        <f>'A) Base RI'!A249</f>
        <v>5798</v>
      </c>
      <c r="B248" s="391" t="str">
        <f>'A) Base RI'!B249</f>
        <v>Ropraz</v>
      </c>
      <c r="C248" s="404">
        <v>0</v>
      </c>
      <c r="D248" s="377">
        <f>'B) D RI'!AR249</f>
        <v>409</v>
      </c>
      <c r="E248" s="378">
        <f>'B) D RI'!S249</f>
        <v>77.5</v>
      </c>
      <c r="F248" s="18">
        <f>'B) D RI'!R249</f>
        <v>876427.87999999989</v>
      </c>
      <c r="G248" s="18">
        <f>'B) D RI'!U249</f>
        <v>11308.746838709676</v>
      </c>
      <c r="H248" s="73">
        <f>'B) D RI'!T249</f>
        <v>849462.62999999989</v>
      </c>
      <c r="I248" s="18">
        <f t="shared" si="21"/>
        <v>21921.616258064514</v>
      </c>
      <c r="J248" s="18">
        <f t="shared" si="22"/>
        <v>35127.275295293446</v>
      </c>
      <c r="K248" s="18">
        <f t="shared" si="18"/>
        <v>21921.616258064514</v>
      </c>
      <c r="L248" s="18">
        <f t="shared" si="23"/>
        <v>13205.659037228932</v>
      </c>
      <c r="M248" s="18">
        <f>'D) Ecrêtage'!N247</f>
        <v>11308.746838709676</v>
      </c>
      <c r="N248" s="18">
        <f t="shared" si="19"/>
        <v>15265.333808062856</v>
      </c>
      <c r="O248" s="98">
        <f t="shared" si="20"/>
        <v>37186.950066127371</v>
      </c>
      <c r="P248" s="379"/>
      <c r="Q248" s="380"/>
      <c r="R248" s="379"/>
      <c r="T248" s="376"/>
      <c r="U248" s="381"/>
      <c r="V248" s="381"/>
      <c r="W248" s="382"/>
      <c r="X248" s="376"/>
      <c r="Y248" s="376"/>
      <c r="Z248" s="383"/>
    </row>
    <row r="249" spans="1:26" s="375" customFormat="1" x14ac:dyDescent="0.25">
      <c r="A249" s="391">
        <f>'A) Base RI'!A250</f>
        <v>5799</v>
      </c>
      <c r="B249" s="391" t="str">
        <f>'A) Base RI'!B250</f>
        <v>Servion</v>
      </c>
      <c r="C249" s="404">
        <v>0</v>
      </c>
      <c r="D249" s="377">
        <f>'B) D RI'!AR250</f>
        <v>1893</v>
      </c>
      <c r="E249" s="378">
        <f>'B) D RI'!S250</f>
        <v>69</v>
      </c>
      <c r="F249" s="18">
        <f>'B) D RI'!R250</f>
        <v>4716669.5799999991</v>
      </c>
      <c r="G249" s="18">
        <f>'B) D RI'!U250</f>
        <v>68357.530144927528</v>
      </c>
      <c r="H249" s="73">
        <f>'B) D RI'!T250</f>
        <v>4451088.5799999991</v>
      </c>
      <c r="I249" s="18">
        <f t="shared" si="21"/>
        <v>129017.06028985504</v>
      </c>
      <c r="J249" s="18">
        <f t="shared" si="22"/>
        <v>162581.74115890096</v>
      </c>
      <c r="K249" s="18">
        <f t="shared" si="18"/>
        <v>129017.06028985504</v>
      </c>
      <c r="L249" s="18">
        <f t="shared" si="23"/>
        <v>33564.680869045915</v>
      </c>
      <c r="M249" s="18">
        <f>'D) Ecrêtage'!N248</f>
        <v>68357.530144927528</v>
      </c>
      <c r="N249" s="18">
        <f t="shared" si="19"/>
        <v>92273.753302633937</v>
      </c>
      <c r="O249" s="98">
        <f t="shared" si="20"/>
        <v>221290.81359248899</v>
      </c>
      <c r="P249" s="379"/>
      <c r="Q249" s="380"/>
      <c r="R249" s="379"/>
      <c r="T249" s="376"/>
      <c r="U249" s="381"/>
      <c r="V249" s="381"/>
      <c r="W249" s="382"/>
      <c r="X249" s="376"/>
      <c r="Y249" s="376"/>
      <c r="Z249" s="383"/>
    </row>
    <row r="250" spans="1:26" s="375" customFormat="1" x14ac:dyDescent="0.25">
      <c r="A250" s="391">
        <f>'A) Base RI'!A251</f>
        <v>5803</v>
      </c>
      <c r="B250" s="391" t="str">
        <f>'A) Base RI'!B251</f>
        <v>Vulliens</v>
      </c>
      <c r="C250" s="404">
        <v>0</v>
      </c>
      <c r="D250" s="377">
        <f>'B) D RI'!AR251</f>
        <v>442</v>
      </c>
      <c r="E250" s="378">
        <f>'B) D RI'!S251</f>
        <v>81</v>
      </c>
      <c r="F250" s="18">
        <f>'B) D RI'!R251</f>
        <v>979593.71</v>
      </c>
      <c r="G250" s="18">
        <f>'B) D RI'!U251</f>
        <v>12093.749506172839</v>
      </c>
      <c r="H250" s="73">
        <f>'B) D RI'!T251</f>
        <v>915882.55999999994</v>
      </c>
      <c r="I250" s="18">
        <f t="shared" si="21"/>
        <v>22614.384197530864</v>
      </c>
      <c r="J250" s="18">
        <f t="shared" si="22"/>
        <v>37961.505331344015</v>
      </c>
      <c r="K250" s="18">
        <f t="shared" si="18"/>
        <v>22614.384197530864</v>
      </c>
      <c r="L250" s="18">
        <f t="shared" si="23"/>
        <v>15347.121133813151</v>
      </c>
      <c r="M250" s="18">
        <f>'D) Ecrêtage'!N249</f>
        <v>12093.749506172839</v>
      </c>
      <c r="N250" s="18">
        <f t="shared" si="19"/>
        <v>16324.985061199604</v>
      </c>
      <c r="O250" s="98">
        <f t="shared" si="20"/>
        <v>38939.369258730469</v>
      </c>
      <c r="P250" s="379"/>
      <c r="Q250" s="380"/>
      <c r="R250" s="379"/>
      <c r="T250" s="376"/>
      <c r="U250" s="381"/>
      <c r="V250" s="381"/>
      <c r="W250" s="382"/>
      <c r="X250" s="376"/>
      <c r="Y250" s="376"/>
      <c r="Z250" s="383"/>
    </row>
    <row r="251" spans="1:26" s="375" customFormat="1" x14ac:dyDescent="0.25">
      <c r="A251" s="391">
        <f>'A) Base RI'!A252</f>
        <v>5804</v>
      </c>
      <c r="B251" s="391" t="str">
        <f>'A) Base RI'!B252</f>
        <v>Jorat-Menthue</v>
      </c>
      <c r="C251" s="404">
        <v>0</v>
      </c>
      <c r="D251" s="377">
        <f>'B) D RI'!AR252</f>
        <v>1469</v>
      </c>
      <c r="E251" s="378">
        <f>'B) D RI'!S252</f>
        <v>72</v>
      </c>
      <c r="F251" s="18">
        <f>'B) D RI'!R252</f>
        <v>3075209.88</v>
      </c>
      <c r="G251" s="18">
        <f>'B) D RI'!U252</f>
        <v>42711.248333333329</v>
      </c>
      <c r="H251" s="73">
        <f>'B) D RI'!T252</f>
        <v>2860462.73</v>
      </c>
      <c r="I251" s="18">
        <f t="shared" si="21"/>
        <v>79457.298055555555</v>
      </c>
      <c r="J251" s="18">
        <f t="shared" si="22"/>
        <v>126166.17948358452</v>
      </c>
      <c r="K251" s="18">
        <f t="shared" si="18"/>
        <v>79457.298055555555</v>
      </c>
      <c r="L251" s="18">
        <f t="shared" si="23"/>
        <v>46708.881428028966</v>
      </c>
      <c r="M251" s="18">
        <f>'D) Ecrêtage'!N250</f>
        <v>42711.248333333329</v>
      </c>
      <c r="N251" s="18">
        <f t="shared" si="19"/>
        <v>57654.61659603256</v>
      </c>
      <c r="O251" s="98">
        <f t="shared" si="20"/>
        <v>137111.91465158813</v>
      </c>
      <c r="P251" s="379"/>
      <c r="Q251" s="380"/>
      <c r="R251" s="379"/>
      <c r="T251" s="376"/>
      <c r="U251" s="381"/>
      <c r="V251" s="381"/>
      <c r="W251" s="382"/>
      <c r="X251" s="376"/>
      <c r="Y251" s="376"/>
      <c r="Z251" s="383"/>
    </row>
    <row r="252" spans="1:26" s="375" customFormat="1" x14ac:dyDescent="0.25">
      <c r="A252" s="391">
        <f>'A) Base RI'!A253</f>
        <v>5805</v>
      </c>
      <c r="B252" s="391" t="str">
        <f>'A) Base RI'!B253</f>
        <v>Oron</v>
      </c>
      <c r="C252" s="404">
        <v>0</v>
      </c>
      <c r="D252" s="377">
        <f>'B) D RI'!AR253</f>
        <v>5180</v>
      </c>
      <c r="E252" s="378">
        <f>'B) D RI'!S253</f>
        <v>69</v>
      </c>
      <c r="F252" s="18">
        <f>'B) D RI'!R253</f>
        <v>10025642.331818182</v>
      </c>
      <c r="G252" s="18">
        <f>'B) D RI'!U253</f>
        <v>145299.16422924903</v>
      </c>
      <c r="H252" s="73">
        <f>'B) D RI'!T253</f>
        <v>9225793.6500000004</v>
      </c>
      <c r="I252" s="18">
        <f t="shared" si="21"/>
        <v>267414.30869565217</v>
      </c>
      <c r="J252" s="18">
        <f t="shared" si="22"/>
        <v>444888.22990127152</v>
      </c>
      <c r="K252" s="18">
        <f t="shared" si="18"/>
        <v>267414.30869565217</v>
      </c>
      <c r="L252" s="18">
        <f t="shared" si="23"/>
        <v>177473.92120561935</v>
      </c>
      <c r="M252" s="18">
        <f>'D) Ecrêtage'!N251</f>
        <v>145299.16422924903</v>
      </c>
      <c r="N252" s="18">
        <f t="shared" si="19"/>
        <v>196134.927735734</v>
      </c>
      <c r="O252" s="98">
        <f t="shared" si="20"/>
        <v>463549.23643138621</v>
      </c>
      <c r="P252" s="379"/>
      <c r="Q252" s="380"/>
      <c r="R252" s="379"/>
      <c r="T252" s="376"/>
      <c r="U252" s="381"/>
      <c r="V252" s="381"/>
      <c r="W252" s="382"/>
      <c r="X252" s="376"/>
      <c r="Y252" s="376"/>
      <c r="Z252" s="383"/>
    </row>
    <row r="253" spans="1:26" s="375" customFormat="1" x14ac:dyDescent="0.25">
      <c r="A253" s="391">
        <f>'A) Base RI'!A254</f>
        <v>5812</v>
      </c>
      <c r="B253" s="391" t="str">
        <f>'A) Base RI'!B254</f>
        <v>Champtauroz</v>
      </c>
      <c r="C253" s="404">
        <v>0</v>
      </c>
      <c r="D253" s="377">
        <f>'B) D RI'!AR254</f>
        <v>137</v>
      </c>
      <c r="E253" s="378">
        <f>'B) D RI'!S254</f>
        <v>77</v>
      </c>
      <c r="F253" s="18">
        <f>'B) D RI'!R254</f>
        <v>212223.005</v>
      </c>
      <c r="G253" s="18">
        <f>'B) D RI'!U254</f>
        <v>2756.1429220779223</v>
      </c>
      <c r="H253" s="73">
        <f>'B) D RI'!T254</f>
        <v>198187.88</v>
      </c>
      <c r="I253" s="18">
        <f t="shared" si="21"/>
        <v>5147.7371428571432</v>
      </c>
      <c r="J253" s="18">
        <f t="shared" si="22"/>
        <v>11766.34893754328</v>
      </c>
      <c r="K253" s="18">
        <f t="shared" si="18"/>
        <v>5147.7371428571432</v>
      </c>
      <c r="L253" s="18">
        <f t="shared" si="23"/>
        <v>6618.6117946861368</v>
      </c>
      <c r="M253" s="18">
        <f>'D) Ecrêtage'!N252</f>
        <v>2756.1429220779223</v>
      </c>
      <c r="N253" s="18">
        <f t="shared" si="19"/>
        <v>3720.4336013812317</v>
      </c>
      <c r="O253" s="98">
        <f t="shared" si="20"/>
        <v>8868.170744238374</v>
      </c>
      <c r="P253" s="379"/>
      <c r="Q253" s="380"/>
      <c r="R253" s="379"/>
      <c r="T253" s="376"/>
      <c r="U253" s="381"/>
      <c r="V253" s="381"/>
      <c r="W253" s="382"/>
      <c r="X253" s="376"/>
      <c r="Y253" s="376"/>
      <c r="Z253" s="383"/>
    </row>
    <row r="254" spans="1:26" s="375" customFormat="1" x14ac:dyDescent="0.25">
      <c r="A254" s="391">
        <f>'A) Base RI'!A255</f>
        <v>5813</v>
      </c>
      <c r="B254" s="391" t="str">
        <f>'A) Base RI'!B255</f>
        <v>Chevroux</v>
      </c>
      <c r="C254" s="404">
        <v>0</v>
      </c>
      <c r="D254" s="377">
        <f>'B) D RI'!AR255</f>
        <v>418</v>
      </c>
      <c r="E254" s="378">
        <f>'B) D RI'!S255</f>
        <v>70</v>
      </c>
      <c r="F254" s="18">
        <f>'B) D RI'!R255</f>
        <v>800682.32333333348</v>
      </c>
      <c r="G254" s="18">
        <f>'B) D RI'!U255</f>
        <v>11438.318904761907</v>
      </c>
      <c r="H254" s="73">
        <f>'B) D RI'!T255</f>
        <v>734125.74000000011</v>
      </c>
      <c r="I254" s="18">
        <f t="shared" si="21"/>
        <v>20975.021142857146</v>
      </c>
      <c r="J254" s="18">
        <f t="shared" si="22"/>
        <v>35900.247123307236</v>
      </c>
      <c r="K254" s="18">
        <f t="shared" si="18"/>
        <v>20975.021142857146</v>
      </c>
      <c r="L254" s="18">
        <f t="shared" si="23"/>
        <v>14925.22598045009</v>
      </c>
      <c r="M254" s="18">
        <f>'D) Ecrêtage'!N253</f>
        <v>11438.318904761907</v>
      </c>
      <c r="N254" s="18">
        <f t="shared" si="19"/>
        <v>15440.239203744468</v>
      </c>
      <c r="O254" s="98">
        <f t="shared" si="20"/>
        <v>36415.260346601615</v>
      </c>
      <c r="P254" s="379"/>
      <c r="Q254" s="380"/>
      <c r="R254" s="379"/>
      <c r="T254" s="376"/>
      <c r="U254" s="381"/>
      <c r="V254" s="381"/>
      <c r="W254" s="382"/>
      <c r="X254" s="376"/>
      <c r="Y254" s="376"/>
      <c r="Z254" s="383"/>
    </row>
    <row r="255" spans="1:26" s="375" customFormat="1" x14ac:dyDescent="0.25">
      <c r="A255" s="391">
        <f>'A) Base RI'!A256</f>
        <v>5816</v>
      </c>
      <c r="B255" s="391" t="str">
        <f>'A) Base RI'!B256</f>
        <v>Corcelles-près-Payerne</v>
      </c>
      <c r="C255" s="404">
        <v>0</v>
      </c>
      <c r="D255" s="377">
        <f>'B) D RI'!AR256</f>
        <v>2091</v>
      </c>
      <c r="E255" s="378">
        <f>'B) D RI'!S256</f>
        <v>72</v>
      </c>
      <c r="F255" s="18">
        <f>'B) D RI'!R256</f>
        <v>3694982.5085714287</v>
      </c>
      <c r="G255" s="18">
        <f>'B) D RI'!U256</f>
        <v>51319.201507936508</v>
      </c>
      <c r="H255" s="73">
        <f>'B) D RI'!T256</f>
        <v>3402734.08</v>
      </c>
      <c r="I255" s="18">
        <f t="shared" si="21"/>
        <v>94520.391111111108</v>
      </c>
      <c r="J255" s="18">
        <f t="shared" si="22"/>
        <v>179587.12137520438</v>
      </c>
      <c r="K255" s="18">
        <f t="shared" si="18"/>
        <v>94520.391111111108</v>
      </c>
      <c r="L255" s="18">
        <f t="shared" si="23"/>
        <v>85066.730264093276</v>
      </c>
      <c r="M255" s="18">
        <f>'D) Ecrêtage'!N254</f>
        <v>51319.201507936508</v>
      </c>
      <c r="N255" s="18">
        <f t="shared" si="19"/>
        <v>69274.231084589366</v>
      </c>
      <c r="O255" s="98">
        <f t="shared" si="20"/>
        <v>163794.62219570047</v>
      </c>
      <c r="P255" s="379"/>
      <c r="Q255" s="380"/>
      <c r="R255" s="379"/>
      <c r="T255" s="376"/>
      <c r="U255" s="381"/>
      <c r="V255" s="381"/>
      <c r="W255" s="382"/>
      <c r="X255" s="376"/>
      <c r="Y255" s="376"/>
      <c r="Z255" s="383"/>
    </row>
    <row r="256" spans="1:26" s="375" customFormat="1" x14ac:dyDescent="0.25">
      <c r="A256" s="391">
        <f>'A) Base RI'!A257</f>
        <v>5817</v>
      </c>
      <c r="B256" s="391" t="str">
        <f>'A) Base RI'!B257</f>
        <v>Grandcour</v>
      </c>
      <c r="C256" s="404">
        <v>0</v>
      </c>
      <c r="D256" s="377">
        <f>'B) D RI'!AR257</f>
        <v>863</v>
      </c>
      <c r="E256" s="378">
        <f>'B) D RI'!S257</f>
        <v>79.5</v>
      </c>
      <c r="F256" s="18">
        <f>'B) D RI'!R257</f>
        <v>1597982.8400000003</v>
      </c>
      <c r="G256" s="18">
        <f>'B) D RI'!U257</f>
        <v>20100.413081761009</v>
      </c>
      <c r="H256" s="73">
        <f>'B) D RI'!T257</f>
        <v>1495868.4900000002</v>
      </c>
      <c r="I256" s="18">
        <f t="shared" si="21"/>
        <v>37631.91169811321</v>
      </c>
      <c r="J256" s="18">
        <f t="shared" si="22"/>
        <v>74119.409730655854</v>
      </c>
      <c r="K256" s="18">
        <f t="shared" si="18"/>
        <v>37631.91169811321</v>
      </c>
      <c r="L256" s="18">
        <f t="shared" si="23"/>
        <v>36487.498032542644</v>
      </c>
      <c r="M256" s="18">
        <f>'D) Ecrêtage'!N255</f>
        <v>20100.413081761009</v>
      </c>
      <c r="N256" s="18">
        <f t="shared" si="19"/>
        <v>27132.936986680794</v>
      </c>
      <c r="O256" s="98">
        <f t="shared" si="20"/>
        <v>64764.848684794008</v>
      </c>
      <c r="P256" s="379"/>
      <c r="Q256" s="380"/>
      <c r="R256" s="379"/>
      <c r="T256" s="376"/>
      <c r="U256" s="381"/>
      <c r="V256" s="381"/>
      <c r="W256" s="382"/>
      <c r="X256" s="376"/>
      <c r="Y256" s="376"/>
      <c r="Z256" s="383"/>
    </row>
    <row r="257" spans="1:26" s="375" customFormat="1" x14ac:dyDescent="0.25">
      <c r="A257" s="391">
        <f>'A) Base RI'!A258</f>
        <v>5819</v>
      </c>
      <c r="B257" s="391" t="str">
        <f>'A) Base RI'!B258</f>
        <v>Henniez</v>
      </c>
      <c r="C257" s="404">
        <v>0</v>
      </c>
      <c r="D257" s="377">
        <f>'B) D RI'!AR258</f>
        <v>287</v>
      </c>
      <c r="E257" s="378">
        <f>'B) D RI'!S258</f>
        <v>67</v>
      </c>
      <c r="F257" s="18">
        <f>'B) D RI'!R258</f>
        <v>662243.11</v>
      </c>
      <c r="G257" s="18">
        <f>'B) D RI'!U258</f>
        <v>9884.2255223880602</v>
      </c>
      <c r="H257" s="73">
        <f>'B) D RI'!T258</f>
        <v>589143.76</v>
      </c>
      <c r="I257" s="18">
        <f t="shared" si="21"/>
        <v>17586.380895522387</v>
      </c>
      <c r="J257" s="18">
        <f t="shared" si="22"/>
        <v>24649.212737773152</v>
      </c>
      <c r="K257" s="18">
        <f t="shared" si="18"/>
        <v>17586.380895522387</v>
      </c>
      <c r="L257" s="18">
        <f t="shared" si="23"/>
        <v>7062.8318422507655</v>
      </c>
      <c r="M257" s="18">
        <f>'D) Ecrêtage'!N256</f>
        <v>9884.2255223880602</v>
      </c>
      <c r="N257" s="18">
        <f t="shared" si="19"/>
        <v>13342.415758830821</v>
      </c>
      <c r="O257" s="98">
        <f t="shared" si="20"/>
        <v>30928.796654353209</v>
      </c>
      <c r="P257" s="379"/>
      <c r="Q257" s="380"/>
      <c r="R257" s="379"/>
      <c r="T257" s="376"/>
      <c r="U257" s="381"/>
      <c r="V257" s="381"/>
      <c r="W257" s="382"/>
      <c r="X257" s="376"/>
      <c r="Y257" s="376"/>
      <c r="Z257" s="383"/>
    </row>
    <row r="258" spans="1:26" s="375" customFormat="1" x14ac:dyDescent="0.25">
      <c r="A258" s="391">
        <f>'A) Base RI'!A259</f>
        <v>5821</v>
      </c>
      <c r="B258" s="391" t="str">
        <f>'A) Base RI'!B259</f>
        <v>Missy</v>
      </c>
      <c r="C258" s="404">
        <v>0</v>
      </c>
      <c r="D258" s="377">
        <f>'B) D RI'!AR259</f>
        <v>335</v>
      </c>
      <c r="E258" s="378">
        <f>'B) D RI'!S259</f>
        <v>72</v>
      </c>
      <c r="F258" s="18">
        <f>'B) D RI'!R259</f>
        <v>539803.66999999993</v>
      </c>
      <c r="G258" s="18">
        <f>'B) D RI'!U259</f>
        <v>7497.2731944444431</v>
      </c>
      <c r="H258" s="73">
        <f>'B) D RI'!T259</f>
        <v>501881.76999999996</v>
      </c>
      <c r="I258" s="18">
        <f t="shared" si="21"/>
        <v>13941.160277777777</v>
      </c>
      <c r="J258" s="18">
        <f t="shared" si="22"/>
        <v>28771.729153846707</v>
      </c>
      <c r="K258" s="18">
        <f t="shared" si="18"/>
        <v>13941.160277777777</v>
      </c>
      <c r="L258" s="18">
        <f t="shared" si="23"/>
        <v>14830.56887606893</v>
      </c>
      <c r="M258" s="18">
        <f>'D) Ecrêtage'!N257</f>
        <v>7497.2731944444431</v>
      </c>
      <c r="N258" s="18">
        <f t="shared" si="19"/>
        <v>10120.341324794806</v>
      </c>
      <c r="O258" s="98">
        <f t="shared" si="20"/>
        <v>24061.501602572585</v>
      </c>
      <c r="P258" s="379"/>
      <c r="Q258" s="380"/>
      <c r="R258" s="379"/>
      <c r="T258" s="376"/>
      <c r="U258" s="381"/>
      <c r="V258" s="381"/>
      <c r="W258" s="382"/>
      <c r="X258" s="376"/>
      <c r="Y258" s="376"/>
      <c r="Z258" s="383"/>
    </row>
    <row r="259" spans="1:26" s="375" customFormat="1" x14ac:dyDescent="0.25">
      <c r="A259" s="391">
        <f>'A) Base RI'!A260</f>
        <v>5822</v>
      </c>
      <c r="B259" s="391" t="str">
        <f>'A) Base RI'!B260</f>
        <v>Payerne</v>
      </c>
      <c r="C259" s="404">
        <v>0</v>
      </c>
      <c r="D259" s="377">
        <f>'B) D RI'!AR260</f>
        <v>9207</v>
      </c>
      <c r="E259" s="378">
        <f>'B) D RI'!S260</f>
        <v>73</v>
      </c>
      <c r="F259" s="18">
        <f>'B) D RI'!R260</f>
        <v>16948532.300000001</v>
      </c>
      <c r="G259" s="18">
        <f>'B) D RI'!U260</f>
        <v>232171.67534246575</v>
      </c>
      <c r="H259" s="73">
        <f>'B) D RI'!T260</f>
        <v>15678766.85</v>
      </c>
      <c r="I259" s="18">
        <f t="shared" si="21"/>
        <v>429555.25616438355</v>
      </c>
      <c r="J259" s="18">
        <f t="shared" si="22"/>
        <v>790750.18005810934</v>
      </c>
      <c r="K259" s="18">
        <f t="shared" si="18"/>
        <v>429555.25616438355</v>
      </c>
      <c r="L259" s="18">
        <f t="shared" si="23"/>
        <v>361194.92389372579</v>
      </c>
      <c r="M259" s="18">
        <f>'D) Ecrêtage'!N258</f>
        <v>232171.67534246575</v>
      </c>
      <c r="N259" s="18">
        <f t="shared" si="19"/>
        <v>313401.49137906829</v>
      </c>
      <c r="O259" s="98">
        <f t="shared" si="20"/>
        <v>742956.74754345184</v>
      </c>
      <c r="P259" s="379"/>
      <c r="Q259" s="380"/>
      <c r="R259" s="379"/>
      <c r="T259" s="376"/>
      <c r="U259" s="381"/>
      <c r="V259" s="381"/>
      <c r="W259" s="382"/>
      <c r="X259" s="376"/>
      <c r="Y259" s="376"/>
      <c r="Z259" s="383"/>
    </row>
    <row r="260" spans="1:26" s="375" customFormat="1" x14ac:dyDescent="0.25">
      <c r="A260" s="391">
        <f>'A) Base RI'!A261</f>
        <v>5827</v>
      </c>
      <c r="B260" s="391" t="str">
        <f>'A) Base RI'!B261</f>
        <v>Trey</v>
      </c>
      <c r="C260" s="404">
        <v>0</v>
      </c>
      <c r="D260" s="377">
        <f>'B) D RI'!AR261</f>
        <v>267</v>
      </c>
      <c r="E260" s="378">
        <f>'B) D RI'!S261</f>
        <v>80</v>
      </c>
      <c r="F260" s="18">
        <f>'B) D RI'!R261</f>
        <v>491876.98999999993</v>
      </c>
      <c r="G260" s="18">
        <f>'B) D RI'!U261</f>
        <v>6148.4623749999992</v>
      </c>
      <c r="H260" s="73">
        <f>'B) D RI'!T261</f>
        <v>460669.43999999994</v>
      </c>
      <c r="I260" s="18">
        <f t="shared" si="21"/>
        <v>11516.735999999999</v>
      </c>
      <c r="J260" s="18">
        <f t="shared" si="22"/>
        <v>22931.497564409168</v>
      </c>
      <c r="K260" s="18">
        <f t="shared" si="18"/>
        <v>11516.735999999999</v>
      </c>
      <c r="L260" s="18">
        <f t="shared" si="23"/>
        <v>11414.761564409169</v>
      </c>
      <c r="M260" s="18">
        <f>'D) Ecrêtage'!N259</f>
        <v>6148.4623749999992</v>
      </c>
      <c r="N260" s="18">
        <f t="shared" si="19"/>
        <v>8299.6225752807768</v>
      </c>
      <c r="O260" s="98">
        <f t="shared" si="20"/>
        <v>19816.358575280778</v>
      </c>
      <c r="P260" s="379"/>
      <c r="Q260" s="380"/>
      <c r="R260" s="379"/>
      <c r="T260" s="376"/>
      <c r="U260" s="381"/>
      <c r="V260" s="381"/>
      <c r="W260" s="382"/>
      <c r="X260" s="376"/>
      <c r="Y260" s="376"/>
      <c r="Z260" s="383"/>
    </row>
    <row r="261" spans="1:26" s="375" customFormat="1" x14ac:dyDescent="0.25">
      <c r="A261" s="391">
        <f>'A) Base RI'!A262</f>
        <v>5828</v>
      </c>
      <c r="B261" s="391" t="str">
        <f>'A) Base RI'!B262</f>
        <v>Treytorrens</v>
      </c>
      <c r="C261" s="404">
        <v>0</v>
      </c>
      <c r="D261" s="377">
        <f>'B) D RI'!AR262</f>
        <v>120</v>
      </c>
      <c r="E261" s="378">
        <f>'B) D RI'!S262</f>
        <v>84</v>
      </c>
      <c r="F261" s="18">
        <f>'B) D RI'!R262</f>
        <v>206463.62</v>
      </c>
      <c r="G261" s="18">
        <f>'B) D RI'!U262</f>
        <v>2457.9002380952379</v>
      </c>
      <c r="H261" s="73">
        <f>'B) D RI'!T262</f>
        <v>192897.72</v>
      </c>
      <c r="I261" s="18">
        <f t="shared" si="21"/>
        <v>4592.8028571428567</v>
      </c>
      <c r="J261" s="18">
        <f t="shared" si="22"/>
        <v>10306.291040183896</v>
      </c>
      <c r="K261" s="18">
        <f t="shared" si="18"/>
        <v>4592.8028571428567</v>
      </c>
      <c r="L261" s="18">
        <f t="shared" si="23"/>
        <v>5713.4881830410395</v>
      </c>
      <c r="M261" s="18">
        <f>'D) Ecrêtage'!N260</f>
        <v>2457.9002380952379</v>
      </c>
      <c r="N261" s="18">
        <f t="shared" si="19"/>
        <v>3317.8448626162785</v>
      </c>
      <c r="O261" s="98">
        <f t="shared" si="20"/>
        <v>7910.6477197591357</v>
      </c>
      <c r="P261" s="379"/>
      <c r="Q261" s="380"/>
      <c r="R261" s="379"/>
      <c r="T261" s="376"/>
      <c r="U261" s="381"/>
      <c r="V261" s="381"/>
      <c r="W261" s="382"/>
      <c r="X261" s="376"/>
      <c r="Y261" s="376"/>
      <c r="Z261" s="383"/>
    </row>
    <row r="262" spans="1:26" s="375" customFormat="1" x14ac:dyDescent="0.25">
      <c r="A262" s="391">
        <f>'A) Base RI'!A263</f>
        <v>5830</v>
      </c>
      <c r="B262" s="391" t="str">
        <f>'A) Base RI'!B263</f>
        <v>Villarzel</v>
      </c>
      <c r="C262" s="404">
        <v>0</v>
      </c>
      <c r="D262" s="377">
        <f>'B) D RI'!AR263</f>
        <v>413</v>
      </c>
      <c r="E262" s="378">
        <f>'B) D RI'!S263</f>
        <v>81</v>
      </c>
      <c r="F262" s="18">
        <f>'B) D RI'!R263</f>
        <v>800954.21999999986</v>
      </c>
      <c r="G262" s="18">
        <f>'B) D RI'!U263</f>
        <v>9888.3237037037015</v>
      </c>
      <c r="H262" s="73">
        <f>'B) D RI'!T263</f>
        <v>747878.96999999986</v>
      </c>
      <c r="I262" s="18">
        <f t="shared" si="21"/>
        <v>18466.147407407403</v>
      </c>
      <c r="J262" s="18">
        <f t="shared" si="22"/>
        <v>35470.818329966241</v>
      </c>
      <c r="K262" s="18">
        <f t="shared" ref="K262:K323" si="24">IF(C262=1,0,IF(J262&gt;I262,I262,J262))</f>
        <v>18466.147407407403</v>
      </c>
      <c r="L262" s="18">
        <f t="shared" si="23"/>
        <v>17004.670922558838</v>
      </c>
      <c r="M262" s="18">
        <f>'D) Ecrêtage'!N261</f>
        <v>9888.3237037037015</v>
      </c>
      <c r="N262" s="18">
        <f t="shared" ref="N262:N322" si="25">+$N$5*M262</f>
        <v>13347.94776928976</v>
      </c>
      <c r="O262" s="98">
        <f t="shared" ref="O262:O323" si="26">+N262+K262</f>
        <v>31814.095176697163</v>
      </c>
      <c r="P262" s="379"/>
      <c r="Q262" s="380"/>
      <c r="R262" s="379"/>
      <c r="T262" s="376"/>
      <c r="U262" s="381"/>
      <c r="V262" s="381"/>
      <c r="W262" s="382"/>
      <c r="X262" s="376"/>
      <c r="Y262" s="376"/>
      <c r="Z262" s="383"/>
    </row>
    <row r="263" spans="1:26" s="375" customFormat="1" x14ac:dyDescent="0.25">
      <c r="A263" s="391">
        <f>'A) Base RI'!A264</f>
        <v>5831</v>
      </c>
      <c r="B263" s="391" t="str">
        <f>'A) Base RI'!B264</f>
        <v>Valbroye</v>
      </c>
      <c r="C263" s="404">
        <v>0</v>
      </c>
      <c r="D263" s="377">
        <f>'B) D RI'!AR264</f>
        <v>2928</v>
      </c>
      <c r="E263" s="378">
        <f>'B) D RI'!S264</f>
        <v>75</v>
      </c>
      <c r="F263" s="18">
        <f>'B) D RI'!R264</f>
        <v>5414180.0633333316</v>
      </c>
      <c r="G263" s="18">
        <f>'B) D RI'!U264</f>
        <v>72189.06751111109</v>
      </c>
      <c r="H263" s="73">
        <f>'B) D RI'!T264</f>
        <v>5039838.4799999986</v>
      </c>
      <c r="I263" s="18">
        <f t="shared" ref="I263:I323" si="27">+H263/E263*$I$5</f>
        <v>134395.69279999996</v>
      </c>
      <c r="J263" s="18">
        <f t="shared" ref="J263:J323" si="28">+$I$324/$D$324*D263</f>
        <v>251473.50138048705</v>
      </c>
      <c r="K263" s="18">
        <f t="shared" si="24"/>
        <v>134395.69279999996</v>
      </c>
      <c r="L263" s="18">
        <f t="shared" ref="L263:L323" si="29">+J263-K263</f>
        <v>117077.80858048709</v>
      </c>
      <c r="M263" s="18">
        <f>'D) Ecrêtage'!N262</f>
        <v>72189.06751111109</v>
      </c>
      <c r="N263" s="18">
        <f t="shared" si="25"/>
        <v>97445.8291946018</v>
      </c>
      <c r="O263" s="98">
        <f t="shared" si="26"/>
        <v>231841.52199460176</v>
      </c>
      <c r="P263" s="379"/>
      <c r="Q263" s="380"/>
      <c r="R263" s="379"/>
      <c r="T263" s="376"/>
      <c r="U263" s="381"/>
      <c r="V263" s="381"/>
      <c r="W263" s="382"/>
      <c r="X263" s="376"/>
      <c r="Y263" s="376"/>
      <c r="Z263" s="383"/>
    </row>
    <row r="264" spans="1:26" s="375" customFormat="1" x14ac:dyDescent="0.25">
      <c r="A264" s="391">
        <f>'A) Base RI'!A265</f>
        <v>5841</v>
      </c>
      <c r="B264" s="391" t="str">
        <f>'A) Base RI'!B265</f>
        <v>Château-d'Oex</v>
      </c>
      <c r="C264" s="404">
        <v>0</v>
      </c>
      <c r="D264" s="377">
        <f>'B) D RI'!AR265</f>
        <v>3440</v>
      </c>
      <c r="E264" s="378">
        <f>'B) D RI'!S265</f>
        <v>83</v>
      </c>
      <c r="F264" s="18">
        <f>'B) D RI'!R265</f>
        <v>8914379.6600000001</v>
      </c>
      <c r="G264" s="18">
        <f>'B) D RI'!U265</f>
        <v>107402.16457831326</v>
      </c>
      <c r="H264" s="73">
        <f>'B) D RI'!T265</f>
        <v>8026717.3600000003</v>
      </c>
      <c r="I264" s="18">
        <f t="shared" si="27"/>
        <v>193414.87614457833</v>
      </c>
      <c r="J264" s="18">
        <f t="shared" si="28"/>
        <v>295447.00981860503</v>
      </c>
      <c r="K264" s="18">
        <f t="shared" si="24"/>
        <v>193414.87614457833</v>
      </c>
      <c r="L264" s="18">
        <f t="shared" si="29"/>
        <v>102032.1336740267</v>
      </c>
      <c r="M264" s="18">
        <f>'D) Ecrêtage'!N263</f>
        <v>107402.16457831326</v>
      </c>
      <c r="N264" s="18">
        <f t="shared" si="25"/>
        <v>144978.91918354467</v>
      </c>
      <c r="O264" s="98">
        <f t="shared" si="26"/>
        <v>338393.79532812303</v>
      </c>
      <c r="P264" s="379"/>
      <c r="Q264" s="380"/>
      <c r="R264" s="379"/>
      <c r="T264" s="376"/>
      <c r="U264" s="381"/>
      <c r="V264" s="381"/>
      <c r="W264" s="382"/>
      <c r="X264" s="376"/>
      <c r="Y264" s="376"/>
      <c r="Z264" s="383"/>
    </row>
    <row r="265" spans="1:26" s="375" customFormat="1" x14ac:dyDescent="0.25">
      <c r="A265" s="391">
        <f>'A) Base RI'!A266</f>
        <v>5842</v>
      </c>
      <c r="B265" s="391" t="str">
        <f>'A) Base RI'!B266</f>
        <v>Rossinière</v>
      </c>
      <c r="C265" s="404">
        <v>0</v>
      </c>
      <c r="D265" s="377">
        <f>'B) D RI'!AR266</f>
        <v>552</v>
      </c>
      <c r="E265" s="378">
        <f>'B) D RI'!S266</f>
        <v>81</v>
      </c>
      <c r="F265" s="18">
        <f>'B) D RI'!R266</f>
        <v>1179161.4099999999</v>
      </c>
      <c r="G265" s="18">
        <f>'B) D RI'!U266</f>
        <v>14557.548271604937</v>
      </c>
      <c r="H265" s="73">
        <f>'B) D RI'!T266</f>
        <v>1090839.1099999999</v>
      </c>
      <c r="I265" s="18">
        <f t="shared" si="27"/>
        <v>26934.299012345677</v>
      </c>
      <c r="J265" s="18">
        <f t="shared" si="28"/>
        <v>47408.938784845923</v>
      </c>
      <c r="K265" s="18">
        <f t="shared" si="24"/>
        <v>26934.299012345677</v>
      </c>
      <c r="L265" s="18">
        <f t="shared" si="29"/>
        <v>20474.639772500246</v>
      </c>
      <c r="M265" s="18">
        <f>'D) Ecrêtage'!N264</f>
        <v>14557.548271604937</v>
      </c>
      <c r="N265" s="18">
        <f t="shared" si="25"/>
        <v>19650.792166675979</v>
      </c>
      <c r="O265" s="98">
        <f t="shared" si="26"/>
        <v>46585.091179021656</v>
      </c>
      <c r="P265" s="379"/>
      <c r="Q265" s="380"/>
      <c r="R265" s="379"/>
      <c r="T265" s="376"/>
      <c r="U265" s="381"/>
      <c r="V265" s="381"/>
      <c r="W265" s="382"/>
      <c r="X265" s="376"/>
      <c r="Y265" s="376"/>
      <c r="Z265" s="383"/>
    </row>
    <row r="266" spans="1:26" s="375" customFormat="1" x14ac:dyDescent="0.25">
      <c r="A266" s="391">
        <f>'A) Base RI'!A267</f>
        <v>5843</v>
      </c>
      <c r="B266" s="391" t="str">
        <f>'A) Base RI'!B267</f>
        <v>Rougemont</v>
      </c>
      <c r="C266" s="404">
        <v>0</v>
      </c>
      <c r="D266" s="377">
        <f>'B) D RI'!AR267</f>
        <v>882</v>
      </c>
      <c r="E266" s="378">
        <f>'B) D RI'!S267</f>
        <v>69</v>
      </c>
      <c r="F266" s="18">
        <f>'B) D RI'!R267</f>
        <v>5552396.1366666676</v>
      </c>
      <c r="G266" s="18">
        <f>'B) D RI'!U267</f>
        <v>80469.50922705316</v>
      </c>
      <c r="H266" s="73">
        <f>'B) D RI'!T267</f>
        <v>4893377.4700000007</v>
      </c>
      <c r="I266" s="18">
        <f t="shared" si="27"/>
        <v>141837.02811594206</v>
      </c>
      <c r="J266" s="18">
        <f t="shared" si="28"/>
        <v>75751.239145351632</v>
      </c>
      <c r="K266" s="18">
        <f t="shared" si="24"/>
        <v>75751.239145351632</v>
      </c>
      <c r="L266" s="18">
        <f t="shared" si="29"/>
        <v>0</v>
      </c>
      <c r="M266" s="18">
        <f>'D) Ecrêtage'!N265</f>
        <v>67072.399341015014</v>
      </c>
      <c r="N266" s="18">
        <f t="shared" si="25"/>
        <v>90538.994271545118</v>
      </c>
      <c r="O266" s="98">
        <f t="shared" si="26"/>
        <v>166290.23341689675</v>
      </c>
      <c r="P266" s="379"/>
      <c r="Q266" s="380"/>
      <c r="R266" s="379"/>
      <c r="T266" s="376"/>
      <c r="U266" s="381"/>
      <c r="V266" s="381"/>
      <c r="W266" s="382"/>
      <c r="X266" s="376"/>
      <c r="Y266" s="376"/>
      <c r="Z266" s="383"/>
    </row>
    <row r="267" spans="1:26" s="375" customFormat="1" x14ac:dyDescent="0.25">
      <c r="A267" s="391">
        <f>'A) Base RI'!A268</f>
        <v>5851</v>
      </c>
      <c r="B267" s="391" t="str">
        <f>'A) Base RI'!B268</f>
        <v>Allaman</v>
      </c>
      <c r="C267" s="404">
        <v>0</v>
      </c>
      <c r="D267" s="377">
        <f>'B) D RI'!AR268</f>
        <v>401</v>
      </c>
      <c r="E267" s="378">
        <f>'B) D RI'!S268</f>
        <v>61</v>
      </c>
      <c r="F267" s="18">
        <f>'B) D RI'!R268</f>
        <v>1504936.3499999999</v>
      </c>
      <c r="G267" s="18">
        <f>'B) D RI'!U268</f>
        <v>24671.087704918031</v>
      </c>
      <c r="H267" s="73">
        <f>'B) D RI'!T268</f>
        <v>1277711.8999999999</v>
      </c>
      <c r="I267" s="18">
        <f t="shared" si="27"/>
        <v>41892.193442622949</v>
      </c>
      <c r="J267" s="18">
        <f t="shared" si="28"/>
        <v>34440.189225947848</v>
      </c>
      <c r="K267" s="18">
        <f t="shared" si="24"/>
        <v>34440.189225947848</v>
      </c>
      <c r="L267" s="18">
        <f t="shared" si="29"/>
        <v>0</v>
      </c>
      <c r="M267" s="18">
        <f>'D) Ecrêtage'!N266</f>
        <v>23760.179579681881</v>
      </c>
      <c r="N267" s="18">
        <f t="shared" si="25"/>
        <v>32073.144601824624</v>
      </c>
      <c r="O267" s="98">
        <f t="shared" si="26"/>
        <v>66513.333827772469</v>
      </c>
      <c r="P267" s="379"/>
      <c r="Q267" s="380"/>
      <c r="R267" s="379"/>
      <c r="T267" s="376"/>
      <c r="U267" s="381"/>
      <c r="V267" s="381"/>
      <c r="W267" s="382"/>
      <c r="X267" s="376"/>
      <c r="Y267" s="376"/>
      <c r="Z267" s="383"/>
    </row>
    <row r="268" spans="1:26" s="375" customFormat="1" x14ac:dyDescent="0.25">
      <c r="A268" s="391">
        <f>'A) Base RI'!A269</f>
        <v>5852</v>
      </c>
      <c r="B268" s="391" t="str">
        <f>'A) Base RI'!B269</f>
        <v>Bursinel</v>
      </c>
      <c r="C268" s="404">
        <v>0</v>
      </c>
      <c r="D268" s="377">
        <f>'B) D RI'!AR269</f>
        <v>471</v>
      </c>
      <c r="E268" s="378">
        <f>'B) D RI'!S269</f>
        <v>61.5</v>
      </c>
      <c r="F268" s="18">
        <f>'B) D RI'!R269</f>
        <v>1839764.68</v>
      </c>
      <c r="G268" s="18">
        <f>'B) D RI'!U269</f>
        <v>29914.872845528454</v>
      </c>
      <c r="H268" s="73">
        <f>'B) D RI'!T269</f>
        <v>1666243.0799999998</v>
      </c>
      <c r="I268" s="18">
        <f t="shared" si="27"/>
        <v>54186.766829268287</v>
      </c>
      <c r="J268" s="18">
        <f t="shared" si="28"/>
        <v>40452.192332721788</v>
      </c>
      <c r="K268" s="18">
        <f t="shared" si="24"/>
        <v>40452.192332721788</v>
      </c>
      <c r="L268" s="18">
        <f t="shared" si="29"/>
        <v>0</v>
      </c>
      <c r="M268" s="18">
        <f>'D) Ecrêtage'!N267</f>
        <v>28507.593195351863</v>
      </c>
      <c r="N268" s="18">
        <f t="shared" si="25"/>
        <v>38481.534019481252</v>
      </c>
      <c r="O268" s="98">
        <f t="shared" si="26"/>
        <v>78933.726352203041</v>
      </c>
      <c r="P268" s="379"/>
      <c r="Q268" s="380"/>
      <c r="R268" s="379"/>
      <c r="T268" s="376"/>
      <c r="U268" s="381"/>
      <c r="V268" s="381"/>
      <c r="W268" s="382"/>
      <c r="X268" s="376"/>
      <c r="Y268" s="376"/>
      <c r="Z268" s="383"/>
    </row>
    <row r="269" spans="1:26" s="375" customFormat="1" x14ac:dyDescent="0.25">
      <c r="A269" s="391">
        <f>'A) Base RI'!A270</f>
        <v>5853</v>
      </c>
      <c r="B269" s="391" t="str">
        <f>'A) Base RI'!B270</f>
        <v>Bursins</v>
      </c>
      <c r="C269" s="404">
        <v>0</v>
      </c>
      <c r="D269" s="377">
        <f>'B) D RI'!AR270</f>
        <v>764</v>
      </c>
      <c r="E269" s="378">
        <f>'B) D RI'!S270</f>
        <v>71</v>
      </c>
      <c r="F269" s="18">
        <f>'B) D RI'!R270</f>
        <v>2532589.58</v>
      </c>
      <c r="G269" s="18">
        <f>'B) D RI'!U270</f>
        <v>35670.275774647889</v>
      </c>
      <c r="H269" s="73">
        <f>'B) D RI'!T270</f>
        <v>2339991.98</v>
      </c>
      <c r="I269" s="18">
        <f t="shared" si="27"/>
        <v>65915.267042253516</v>
      </c>
      <c r="J269" s="18">
        <f t="shared" si="28"/>
        <v>65616.719622504141</v>
      </c>
      <c r="K269" s="18">
        <f t="shared" si="24"/>
        <v>65616.719622504141</v>
      </c>
      <c r="L269" s="18">
        <f t="shared" si="29"/>
        <v>0</v>
      </c>
      <c r="M269" s="18">
        <f>'D) Ecrêtage'!N268</f>
        <v>35670.275774647889</v>
      </c>
      <c r="N269" s="18">
        <f t="shared" si="25"/>
        <v>48150.221637447787</v>
      </c>
      <c r="O269" s="98">
        <f t="shared" si="26"/>
        <v>113766.94125995193</v>
      </c>
      <c r="P269" s="379"/>
      <c r="Q269" s="380"/>
      <c r="R269" s="379"/>
      <c r="T269" s="376"/>
      <c r="U269" s="381"/>
      <c r="V269" s="381"/>
      <c r="W269" s="382"/>
      <c r="X269" s="376"/>
      <c r="Y269" s="376"/>
      <c r="Z269" s="383"/>
    </row>
    <row r="270" spans="1:26" s="375" customFormat="1" x14ac:dyDescent="0.25">
      <c r="A270" s="391">
        <f>'A) Base RI'!A271</f>
        <v>5854</v>
      </c>
      <c r="B270" s="391" t="str">
        <f>'A) Base RI'!B271</f>
        <v>Burtigny</v>
      </c>
      <c r="C270" s="404">
        <v>0</v>
      </c>
      <c r="D270" s="377">
        <f>'B) D RI'!AR271</f>
        <v>371</v>
      </c>
      <c r="E270" s="378">
        <f>'B) D RI'!S271</f>
        <v>76</v>
      </c>
      <c r="F270" s="18">
        <f>'B) D RI'!R271</f>
        <v>830488.51333333331</v>
      </c>
      <c r="G270" s="18">
        <f>'B) D RI'!U271</f>
        <v>10927.480438596491</v>
      </c>
      <c r="H270" s="73">
        <f>'B) D RI'!T271</f>
        <v>769656.38</v>
      </c>
      <c r="I270" s="18">
        <f t="shared" si="27"/>
        <v>20254.115263157895</v>
      </c>
      <c r="J270" s="18">
        <f t="shared" si="28"/>
        <v>31863.616465901876</v>
      </c>
      <c r="K270" s="18">
        <f t="shared" si="24"/>
        <v>20254.115263157895</v>
      </c>
      <c r="L270" s="18">
        <f t="shared" si="29"/>
        <v>11609.501202743981</v>
      </c>
      <c r="M270" s="18">
        <f>'D) Ecrêtage'!N269</f>
        <v>10927.480438596491</v>
      </c>
      <c r="N270" s="18">
        <f t="shared" si="25"/>
        <v>14750.673877078823</v>
      </c>
      <c r="O270" s="98">
        <f t="shared" si="26"/>
        <v>35004.789140236717</v>
      </c>
      <c r="P270" s="379"/>
      <c r="Q270" s="380"/>
      <c r="R270" s="379"/>
      <c r="T270" s="376"/>
      <c r="U270" s="381"/>
      <c r="V270" s="381"/>
      <c r="W270" s="382"/>
      <c r="X270" s="376"/>
      <c r="Y270" s="376"/>
      <c r="Z270" s="383"/>
    </row>
    <row r="271" spans="1:26" s="375" customFormat="1" x14ac:dyDescent="0.25">
      <c r="A271" s="391">
        <f>'A) Base RI'!A272</f>
        <v>5855</v>
      </c>
      <c r="B271" s="391" t="str">
        <f>'A) Base RI'!B272</f>
        <v>Dully</v>
      </c>
      <c r="C271" s="404">
        <v>0</v>
      </c>
      <c r="D271" s="377">
        <f>'B) D RI'!AR272</f>
        <v>612</v>
      </c>
      <c r="E271" s="378">
        <f>'B) D RI'!S272</f>
        <v>49</v>
      </c>
      <c r="F271" s="18">
        <f>'B) D RI'!R272</f>
        <v>3934041.0700000003</v>
      </c>
      <c r="G271" s="18">
        <f>'B) D RI'!U272</f>
        <v>80286.552448979593</v>
      </c>
      <c r="H271" s="73">
        <f>'B) D RI'!T272</f>
        <v>3634454.1700000004</v>
      </c>
      <c r="I271" s="18">
        <f t="shared" si="27"/>
        <v>148345.06816326533</v>
      </c>
      <c r="J271" s="18">
        <f t="shared" si="28"/>
        <v>52562.084304937867</v>
      </c>
      <c r="K271" s="18">
        <f t="shared" si="24"/>
        <v>52562.084304937867</v>
      </c>
      <c r="L271" s="18">
        <f t="shared" si="29"/>
        <v>0</v>
      </c>
      <c r="M271" s="18">
        <f>'D) Ecrêtage'!N270</f>
        <v>57346.504059432889</v>
      </c>
      <c r="N271" s="18">
        <f t="shared" si="25"/>
        <v>77410.303694848568</v>
      </c>
      <c r="O271" s="98">
        <f t="shared" si="26"/>
        <v>129972.38799978644</v>
      </c>
      <c r="P271" s="379"/>
      <c r="Q271" s="380"/>
      <c r="R271" s="379"/>
      <c r="T271" s="376"/>
      <c r="U271" s="381"/>
      <c r="V271" s="381"/>
      <c r="W271" s="382"/>
      <c r="X271" s="376"/>
      <c r="Y271" s="376"/>
      <c r="Z271" s="383"/>
    </row>
    <row r="272" spans="1:26" s="375" customFormat="1" x14ac:dyDescent="0.25">
      <c r="A272" s="391">
        <f>'A) Base RI'!A273</f>
        <v>5856</v>
      </c>
      <c r="B272" s="391" t="str">
        <f>'A) Base RI'!B273</f>
        <v>Essertines-sur-Rolle</v>
      </c>
      <c r="C272" s="404">
        <v>0</v>
      </c>
      <c r="D272" s="377">
        <f>'B) D RI'!AR273</f>
        <v>698</v>
      </c>
      <c r="E272" s="378">
        <f>'B) D RI'!S273</f>
        <v>68</v>
      </c>
      <c r="F272" s="18">
        <f>'B) D RI'!R273</f>
        <v>2541301.6423076922</v>
      </c>
      <c r="G272" s="18">
        <f>'B) D RI'!U273</f>
        <v>37372.082975113124</v>
      </c>
      <c r="H272" s="73">
        <f>'B) D RI'!T273</f>
        <v>2377994.9499999997</v>
      </c>
      <c r="I272" s="18">
        <f t="shared" si="27"/>
        <v>69941.027941176464</v>
      </c>
      <c r="J272" s="18">
        <f t="shared" si="28"/>
        <v>59948.259550402996</v>
      </c>
      <c r="K272" s="18">
        <f t="shared" si="24"/>
        <v>59948.259550402996</v>
      </c>
      <c r="L272" s="18">
        <f t="shared" si="29"/>
        <v>0</v>
      </c>
      <c r="M272" s="18">
        <f>'D) Ecrêtage'!N271</f>
        <v>37372.082975113124</v>
      </c>
      <c r="N272" s="18">
        <f t="shared" si="25"/>
        <v>50447.439477990672</v>
      </c>
      <c r="O272" s="98">
        <f t="shared" si="26"/>
        <v>110395.69902839366</v>
      </c>
      <c r="P272" s="379"/>
      <c r="Q272" s="380"/>
      <c r="R272" s="379"/>
      <c r="T272" s="376"/>
      <c r="U272" s="381"/>
      <c r="V272" s="381"/>
      <c r="W272" s="382"/>
      <c r="X272" s="376"/>
      <c r="Y272" s="376"/>
      <c r="Z272" s="383"/>
    </row>
    <row r="273" spans="1:26" s="375" customFormat="1" x14ac:dyDescent="0.25">
      <c r="A273" s="391">
        <f>'A) Base RI'!A274</f>
        <v>5857</v>
      </c>
      <c r="B273" s="391" t="str">
        <f>'A) Base RI'!B274</f>
        <v>Gilly</v>
      </c>
      <c r="C273" s="404">
        <v>0</v>
      </c>
      <c r="D273" s="377">
        <f>'B) D RI'!AR274</f>
        <v>1074</v>
      </c>
      <c r="E273" s="378">
        <f>'B) D RI'!S274</f>
        <v>66</v>
      </c>
      <c r="F273" s="18">
        <f>'B) D RI'!R274</f>
        <v>4240901.7299999995</v>
      </c>
      <c r="G273" s="18">
        <f>'B) D RI'!U274</f>
        <v>64256.086818181808</v>
      </c>
      <c r="H273" s="73">
        <f>'B) D RI'!T274</f>
        <v>3938543.9799999995</v>
      </c>
      <c r="I273" s="18">
        <f t="shared" si="27"/>
        <v>119349.81757575757</v>
      </c>
      <c r="J273" s="18">
        <f t="shared" si="28"/>
        <v>92241.304809645866</v>
      </c>
      <c r="K273" s="18">
        <f t="shared" si="24"/>
        <v>92241.304809645866</v>
      </c>
      <c r="L273" s="18">
        <f t="shared" si="29"/>
        <v>0</v>
      </c>
      <c r="M273" s="18">
        <f>'D) Ecrêtage'!N272</f>
        <v>62471.810834773227</v>
      </c>
      <c r="N273" s="18">
        <f t="shared" si="25"/>
        <v>84328.79960869145</v>
      </c>
      <c r="O273" s="98">
        <f t="shared" si="26"/>
        <v>176570.10441833732</v>
      </c>
      <c r="P273" s="379"/>
      <c r="Q273" s="380"/>
      <c r="R273" s="379"/>
      <c r="T273" s="376"/>
      <c r="U273" s="381"/>
      <c r="V273" s="381"/>
      <c r="W273" s="382"/>
      <c r="X273" s="376"/>
      <c r="Y273" s="376"/>
      <c r="Z273" s="383"/>
    </row>
    <row r="274" spans="1:26" s="375" customFormat="1" x14ac:dyDescent="0.25">
      <c r="A274" s="391">
        <f>'A) Base RI'!A275</f>
        <v>5858</v>
      </c>
      <c r="B274" s="391" t="str">
        <f>'A) Base RI'!B275</f>
        <v>Luins</v>
      </c>
      <c r="C274" s="404">
        <v>0</v>
      </c>
      <c r="D274" s="377">
        <f>'B) D RI'!AR275</f>
        <v>608</v>
      </c>
      <c r="E274" s="378">
        <f>'B) D RI'!S275</f>
        <v>60</v>
      </c>
      <c r="F274" s="18">
        <f>'B) D RI'!R275</f>
        <v>2133999.2766666673</v>
      </c>
      <c r="G274" s="18">
        <f>'B) D RI'!U275</f>
        <v>35566.654611111124</v>
      </c>
      <c r="H274" s="73">
        <f>'B) D RI'!T275</f>
        <v>2006866.1100000003</v>
      </c>
      <c r="I274" s="18">
        <f t="shared" si="27"/>
        <v>66895.537000000011</v>
      </c>
      <c r="J274" s="18">
        <f t="shared" si="28"/>
        <v>52218.541270265072</v>
      </c>
      <c r="K274" s="18">
        <f t="shared" si="24"/>
        <v>52218.541270265072</v>
      </c>
      <c r="L274" s="18">
        <f t="shared" si="29"/>
        <v>0</v>
      </c>
      <c r="M274" s="18">
        <f>'D) Ecrêtage'!N273</f>
        <v>34847.884728439996</v>
      </c>
      <c r="N274" s="18">
        <f t="shared" si="25"/>
        <v>47040.100947668696</v>
      </c>
      <c r="O274" s="98">
        <f t="shared" si="26"/>
        <v>99258.642217933768</v>
      </c>
      <c r="P274" s="379"/>
      <c r="Q274" s="380"/>
      <c r="R274" s="379"/>
      <c r="T274" s="376"/>
      <c r="U274" s="381"/>
      <c r="V274" s="381"/>
      <c r="W274" s="382"/>
      <c r="X274" s="376"/>
      <c r="Y274" s="376"/>
      <c r="Z274" s="383"/>
    </row>
    <row r="275" spans="1:26" s="375" customFormat="1" x14ac:dyDescent="0.25">
      <c r="A275" s="391">
        <f>'A) Base RI'!A276</f>
        <v>5859</v>
      </c>
      <c r="B275" s="391" t="str">
        <f>'A) Base RI'!B276</f>
        <v>Mont-sur-Rolle</v>
      </c>
      <c r="C275" s="404">
        <v>0</v>
      </c>
      <c r="D275" s="377">
        <f>'B) D RI'!AR276</f>
        <v>2602</v>
      </c>
      <c r="E275" s="378">
        <f>'B) D RI'!S276</f>
        <v>63</v>
      </c>
      <c r="F275" s="18">
        <f>'B) D RI'!R276</f>
        <v>8564497.0900000017</v>
      </c>
      <c r="G275" s="18">
        <f>'B) D RI'!U276</f>
        <v>135944.39825396828</v>
      </c>
      <c r="H275" s="73">
        <f>'B) D RI'!T276</f>
        <v>7986774.1900000013</v>
      </c>
      <c r="I275" s="18">
        <f t="shared" si="27"/>
        <v>253548.38698412702</v>
      </c>
      <c r="J275" s="18">
        <f t="shared" si="28"/>
        <v>223474.74405465415</v>
      </c>
      <c r="K275" s="18">
        <f t="shared" si="24"/>
        <v>223474.74405465415</v>
      </c>
      <c r="L275" s="18">
        <f t="shared" si="29"/>
        <v>0</v>
      </c>
      <c r="M275" s="18">
        <f>'D) Ecrêtage'!N274</f>
        <v>135944.39825396828</v>
      </c>
      <c r="N275" s="18">
        <f t="shared" si="25"/>
        <v>183507.21333504067</v>
      </c>
      <c r="O275" s="98">
        <f t="shared" si="26"/>
        <v>406981.95738969481</v>
      </c>
      <c r="P275" s="379"/>
      <c r="Q275" s="380"/>
      <c r="R275" s="379"/>
      <c r="T275" s="376"/>
      <c r="U275" s="381"/>
      <c r="V275" s="381"/>
      <c r="W275" s="382"/>
      <c r="X275" s="376"/>
      <c r="Y275" s="376"/>
      <c r="Z275" s="383"/>
    </row>
    <row r="276" spans="1:26" s="375" customFormat="1" x14ac:dyDescent="0.25">
      <c r="A276" s="391">
        <f>'A) Base RI'!A277</f>
        <v>5860</v>
      </c>
      <c r="B276" s="391" t="str">
        <f>'A) Base RI'!B277</f>
        <v>Perroy</v>
      </c>
      <c r="C276" s="404">
        <v>0</v>
      </c>
      <c r="D276" s="377">
        <f>'B) D RI'!AR277</f>
        <v>1395</v>
      </c>
      <c r="E276" s="378">
        <f>'B) D RI'!S277</f>
        <v>58</v>
      </c>
      <c r="F276" s="18">
        <f>'B) D RI'!R277</f>
        <v>4117643.88</v>
      </c>
      <c r="G276" s="18">
        <f>'B) D RI'!U277</f>
        <v>70993.86</v>
      </c>
      <c r="H276" s="73">
        <f>'B) D RI'!T277</f>
        <v>3670288.98</v>
      </c>
      <c r="I276" s="18">
        <f t="shared" si="27"/>
        <v>126561.68896551724</v>
      </c>
      <c r="J276" s="18">
        <f t="shared" si="28"/>
        <v>119810.63334213779</v>
      </c>
      <c r="K276" s="18">
        <f t="shared" si="24"/>
        <v>119810.63334213779</v>
      </c>
      <c r="L276" s="18">
        <f t="shared" si="29"/>
        <v>0</v>
      </c>
      <c r="M276" s="18">
        <f>'D) Ecrêtage'!N275</f>
        <v>70993.86</v>
      </c>
      <c r="N276" s="18">
        <f t="shared" si="25"/>
        <v>95832.454884677238</v>
      </c>
      <c r="O276" s="98">
        <f t="shared" si="26"/>
        <v>215643.08822681505</v>
      </c>
      <c r="P276" s="379"/>
      <c r="Q276" s="380"/>
      <c r="R276" s="379"/>
      <c r="T276" s="376"/>
      <c r="U276" s="381"/>
      <c r="V276" s="381"/>
      <c r="W276" s="382"/>
      <c r="X276" s="376"/>
      <c r="Y276" s="376"/>
      <c r="Z276" s="383"/>
    </row>
    <row r="277" spans="1:26" s="375" customFormat="1" x14ac:dyDescent="0.25">
      <c r="A277" s="391">
        <f>'A) Base RI'!A278</f>
        <v>5861</v>
      </c>
      <c r="B277" s="391" t="str">
        <f>'A) Base RI'!B278</f>
        <v>Rolle</v>
      </c>
      <c r="C277" s="404">
        <v>0</v>
      </c>
      <c r="D277" s="377">
        <f>'B) D RI'!AR278</f>
        <v>5900</v>
      </c>
      <c r="E277" s="378">
        <f>'B) D RI'!S278</f>
        <v>59.5</v>
      </c>
      <c r="F277" s="18">
        <f>'B) D RI'!R278</f>
        <v>21213544.779999997</v>
      </c>
      <c r="G277" s="18">
        <f>'B) D RI'!U278</f>
        <v>356530.16436974786</v>
      </c>
      <c r="H277" s="73">
        <f>'B) D RI'!T278</f>
        <v>19339846.279999997</v>
      </c>
      <c r="I277" s="18">
        <f t="shared" si="27"/>
        <v>650078.86655462172</v>
      </c>
      <c r="J277" s="18">
        <f t="shared" si="28"/>
        <v>506725.97614237486</v>
      </c>
      <c r="K277" s="18">
        <f t="shared" si="24"/>
        <v>506725.97614237486</v>
      </c>
      <c r="L277" s="18">
        <f t="shared" si="29"/>
        <v>0</v>
      </c>
      <c r="M277" s="18">
        <f>'D) Ecrêtage'!N276</f>
        <v>345453.70007532346</v>
      </c>
      <c r="N277" s="18">
        <f t="shared" si="25"/>
        <v>466317.45516039355</v>
      </c>
      <c r="O277" s="98">
        <f t="shared" si="26"/>
        <v>973043.43130276841</v>
      </c>
      <c r="P277" s="379"/>
      <c r="Q277" s="380"/>
      <c r="R277" s="379"/>
      <c r="T277" s="376"/>
      <c r="U277" s="381"/>
      <c r="V277" s="381"/>
      <c r="W277" s="382"/>
      <c r="X277" s="376"/>
      <c r="Y277" s="376"/>
      <c r="Z277" s="383"/>
    </row>
    <row r="278" spans="1:26" s="375" customFormat="1" x14ac:dyDescent="0.25">
      <c r="A278" s="391">
        <f>'A) Base RI'!A279</f>
        <v>5862</v>
      </c>
      <c r="B278" s="391" t="str">
        <f>'A) Base RI'!B279</f>
        <v>Tartegnin</v>
      </c>
      <c r="C278" s="404">
        <v>0</v>
      </c>
      <c r="D278" s="377">
        <f>'B) D RI'!AR279</f>
        <v>228</v>
      </c>
      <c r="E278" s="378">
        <f>'B) D RI'!S279</f>
        <v>84</v>
      </c>
      <c r="F278" s="18">
        <f>'B) D RI'!R279</f>
        <v>649765.03333333333</v>
      </c>
      <c r="G278" s="18">
        <f>'B) D RI'!U279</f>
        <v>7735.2980158730161</v>
      </c>
      <c r="H278" s="73">
        <f>'B) D RI'!T279</f>
        <v>607246.19999999995</v>
      </c>
      <c r="I278" s="18">
        <f t="shared" si="27"/>
        <v>14458.242857142855</v>
      </c>
      <c r="J278" s="18">
        <f t="shared" si="28"/>
        <v>19581.952976349403</v>
      </c>
      <c r="K278" s="18">
        <f t="shared" si="24"/>
        <v>14458.242857142855</v>
      </c>
      <c r="L278" s="18">
        <f t="shared" si="29"/>
        <v>5123.7101192065475</v>
      </c>
      <c r="M278" s="18">
        <f>'D) Ecrêtage'!N277</f>
        <v>7735.2980158730161</v>
      </c>
      <c r="N278" s="18">
        <f t="shared" si="25"/>
        <v>10441.643800262222</v>
      </c>
      <c r="O278" s="98">
        <f t="shared" si="26"/>
        <v>24899.886657405077</v>
      </c>
      <c r="P278" s="379"/>
      <c r="Q278" s="380"/>
      <c r="R278" s="379"/>
      <c r="T278" s="376"/>
      <c r="U278" s="381"/>
      <c r="V278" s="381"/>
      <c r="W278" s="382"/>
      <c r="X278" s="376"/>
      <c r="Y278" s="376"/>
      <c r="Z278" s="383"/>
    </row>
    <row r="279" spans="1:26" s="375" customFormat="1" x14ac:dyDescent="0.25">
      <c r="A279" s="391">
        <f>'A) Base RI'!A280</f>
        <v>5863</v>
      </c>
      <c r="B279" s="391" t="str">
        <f>'A) Base RI'!B280</f>
        <v>Vinzel</v>
      </c>
      <c r="C279" s="404">
        <v>0</v>
      </c>
      <c r="D279" s="377">
        <f>'B) D RI'!AR280</f>
        <v>352</v>
      </c>
      <c r="E279" s="378">
        <f>'B) D RI'!S280</f>
        <v>73</v>
      </c>
      <c r="F279" s="18">
        <f>'B) D RI'!R280</f>
        <v>1541063.2699999998</v>
      </c>
      <c r="G279" s="18">
        <f>'B) D RI'!U280</f>
        <v>21110.455753424656</v>
      </c>
      <c r="H279" s="73">
        <f>'B) D RI'!T280</f>
        <v>1468187.8699999999</v>
      </c>
      <c r="I279" s="18">
        <f t="shared" si="27"/>
        <v>40224.32520547945</v>
      </c>
      <c r="J279" s="18">
        <f t="shared" si="28"/>
        <v>30231.787051206094</v>
      </c>
      <c r="K279" s="18">
        <f t="shared" si="24"/>
        <v>30231.787051206094</v>
      </c>
      <c r="L279" s="18">
        <f t="shared" si="29"/>
        <v>0</v>
      </c>
      <c r="M279" s="18">
        <f>'D) Ecrêtage'!N278</f>
        <v>20507.4013427506</v>
      </c>
      <c r="N279" s="18">
        <f t="shared" si="25"/>
        <v>27682.318076254993</v>
      </c>
      <c r="O279" s="98">
        <f t="shared" si="26"/>
        <v>57914.105127461087</v>
      </c>
      <c r="P279" s="379"/>
      <c r="Q279" s="380"/>
      <c r="R279" s="379"/>
      <c r="T279" s="376"/>
      <c r="U279" s="381"/>
      <c r="V279" s="381"/>
      <c r="W279" s="382"/>
      <c r="X279" s="376"/>
      <c r="Y279" s="376"/>
      <c r="Z279" s="383"/>
    </row>
    <row r="280" spans="1:26" s="375" customFormat="1" x14ac:dyDescent="0.25">
      <c r="A280" s="391">
        <f>'A) Base RI'!A281</f>
        <v>5871</v>
      </c>
      <c r="B280" s="391" t="str">
        <f>'A) Base RI'!B281</f>
        <v>L'Abbaye</v>
      </c>
      <c r="C280" s="404">
        <v>0</v>
      </c>
      <c r="D280" s="377">
        <f>'B) D RI'!AR281</f>
        <v>1433</v>
      </c>
      <c r="E280" s="378">
        <f>'B) D RI'!S281</f>
        <v>76.98</v>
      </c>
      <c r="F280" s="18">
        <f>'B) D RI'!R281</f>
        <v>4688861.9400000004</v>
      </c>
      <c r="G280" s="18">
        <f>'B) D RI'!U281</f>
        <v>60910.131722525337</v>
      </c>
      <c r="H280" s="73">
        <f>'B) D RI'!T281</f>
        <v>4469740.0900000008</v>
      </c>
      <c r="I280" s="18">
        <f t="shared" si="27"/>
        <v>116127.30813198235</v>
      </c>
      <c r="J280" s="18">
        <f t="shared" si="28"/>
        <v>123074.29217152935</v>
      </c>
      <c r="K280" s="18">
        <f t="shared" si="24"/>
        <v>116127.30813198235</v>
      </c>
      <c r="L280" s="18">
        <f t="shared" si="29"/>
        <v>6946.9840395469946</v>
      </c>
      <c r="M280" s="18">
        <f>'D) Ecrêtage'!N279</f>
        <v>60910.131722525337</v>
      </c>
      <c r="N280" s="18">
        <f t="shared" si="25"/>
        <v>82220.736417468448</v>
      </c>
      <c r="O280" s="98">
        <f t="shared" si="26"/>
        <v>198348.0445494508</v>
      </c>
      <c r="P280" s="379"/>
      <c r="Q280" s="380"/>
      <c r="R280" s="379"/>
      <c r="T280" s="376"/>
      <c r="U280" s="381"/>
      <c r="V280" s="381"/>
      <c r="W280" s="382"/>
      <c r="X280" s="376"/>
      <c r="Y280" s="376"/>
      <c r="Z280" s="383"/>
    </row>
    <row r="281" spans="1:26" s="375" customFormat="1" x14ac:dyDescent="0.25">
      <c r="A281" s="391">
        <f>'A) Base RI'!A282</f>
        <v>5872</v>
      </c>
      <c r="B281" s="391" t="str">
        <f>'A) Base RI'!B282</f>
        <v>Le Chenit</v>
      </c>
      <c r="C281" s="404">
        <v>0</v>
      </c>
      <c r="D281" s="377">
        <f>'B) D RI'!AR282</f>
        <v>4496</v>
      </c>
      <c r="E281" s="378">
        <f>'B) D RI'!S282</f>
        <v>69.81</v>
      </c>
      <c r="F281" s="18">
        <f>'B) D RI'!R282</f>
        <v>26091787.408571426</v>
      </c>
      <c r="G281" s="18">
        <f>'B) D RI'!U282</f>
        <v>373754.29606892174</v>
      </c>
      <c r="H281" s="73">
        <f>'B) D RI'!T282</f>
        <v>25439083.479999997</v>
      </c>
      <c r="I281" s="18">
        <f t="shared" si="27"/>
        <v>728809.15284343204</v>
      </c>
      <c r="J281" s="18">
        <f t="shared" si="28"/>
        <v>386142.37097222329</v>
      </c>
      <c r="K281" s="18">
        <f t="shared" si="24"/>
        <v>386142.37097222329</v>
      </c>
      <c r="L281" s="18">
        <f t="shared" si="29"/>
        <v>0</v>
      </c>
      <c r="M281" s="18">
        <f>'D) Ecrêtage'!N280</f>
        <v>322224.61483798281</v>
      </c>
      <c r="N281" s="18">
        <f t="shared" si="25"/>
        <v>434961.21867712907</v>
      </c>
      <c r="O281" s="98">
        <f t="shared" si="26"/>
        <v>821103.58964935236</v>
      </c>
      <c r="P281" s="379"/>
      <c r="Q281" s="380"/>
      <c r="R281" s="379"/>
      <c r="T281" s="376"/>
      <c r="U281" s="381"/>
      <c r="V281" s="381"/>
      <c r="W281" s="382"/>
      <c r="X281" s="376"/>
      <c r="Y281" s="376"/>
      <c r="Z281" s="383"/>
    </row>
    <row r="282" spans="1:26" s="375" customFormat="1" x14ac:dyDescent="0.25">
      <c r="A282" s="391">
        <f>'A) Base RI'!A283</f>
        <v>5873</v>
      </c>
      <c r="B282" s="391" t="str">
        <f>'A) Base RI'!B283</f>
        <v>Le Lieu</v>
      </c>
      <c r="C282" s="404">
        <v>0</v>
      </c>
      <c r="D282" s="377">
        <f>'B) D RI'!AR283</f>
        <v>856</v>
      </c>
      <c r="E282" s="378">
        <f>'B) D RI'!S283</f>
        <v>65</v>
      </c>
      <c r="F282" s="18">
        <f>'B) D RI'!R283</f>
        <v>2559050.5099999998</v>
      </c>
      <c r="G282" s="18">
        <f>'B) D RI'!U283</f>
        <v>39370.007846153843</v>
      </c>
      <c r="H282" s="73">
        <f>'B) D RI'!T283</f>
        <v>2428979.5099999998</v>
      </c>
      <c r="I282" s="18">
        <f t="shared" si="27"/>
        <v>74737.831076923074</v>
      </c>
      <c r="J282" s="18">
        <f t="shared" si="28"/>
        <v>73518.209419978462</v>
      </c>
      <c r="K282" s="18">
        <f t="shared" si="24"/>
        <v>73518.209419978462</v>
      </c>
      <c r="L282" s="18">
        <f t="shared" si="29"/>
        <v>0</v>
      </c>
      <c r="M282" s="18">
        <f>'D) Ecrêtage'!N281</f>
        <v>39370.007846153843</v>
      </c>
      <c r="N282" s="18">
        <f t="shared" si="25"/>
        <v>53144.377566256109</v>
      </c>
      <c r="O282" s="98">
        <f t="shared" si="26"/>
        <v>126662.58698623457</v>
      </c>
      <c r="P282" s="379"/>
      <c r="Q282" s="380"/>
      <c r="R282" s="379"/>
      <c r="T282" s="376"/>
      <c r="U282" s="381"/>
      <c r="V282" s="381"/>
      <c r="W282" s="382"/>
      <c r="X282" s="376"/>
      <c r="Y282" s="376"/>
      <c r="Z282" s="383"/>
    </row>
    <row r="283" spans="1:26" s="375" customFormat="1" x14ac:dyDescent="0.25">
      <c r="A283" s="391">
        <f>'A) Base RI'!A284</f>
        <v>5881</v>
      </c>
      <c r="B283" s="391" t="str">
        <f>'A) Base RI'!B284</f>
        <v>Blonay</v>
      </c>
      <c r="C283" s="404">
        <v>1</v>
      </c>
      <c r="D283" s="377">
        <f>'B) D RI'!AR284</f>
        <v>6110</v>
      </c>
      <c r="E283" s="378">
        <f>'B) D RI'!S284</f>
        <v>72</v>
      </c>
      <c r="F283" s="18">
        <f>'B) D RI'!R284</f>
        <v>23895903.039999999</v>
      </c>
      <c r="G283" s="18">
        <f>'B) D RI'!U284</f>
        <v>331887.5422222222</v>
      </c>
      <c r="H283" s="73">
        <f>'B) D RI'!T284</f>
        <v>22358697.239999998</v>
      </c>
      <c r="I283" s="18">
        <f t="shared" si="27"/>
        <v>621074.92333333334</v>
      </c>
      <c r="J283" s="18">
        <f t="shared" si="28"/>
        <v>524761.98546269664</v>
      </c>
      <c r="K283" s="18">
        <f t="shared" si="24"/>
        <v>0</v>
      </c>
      <c r="L283" s="18">
        <f t="shared" si="29"/>
        <v>524761.98546269664</v>
      </c>
      <c r="M283" s="18">
        <f>'D) Ecrêtage'!N282</f>
        <v>331887.5422222222</v>
      </c>
      <c r="N283" s="18">
        <f t="shared" si="25"/>
        <v>448004.91080211051</v>
      </c>
      <c r="O283" s="98">
        <f t="shared" si="26"/>
        <v>448004.91080211051</v>
      </c>
      <c r="P283" s="379"/>
      <c r="Q283" s="380"/>
      <c r="R283" s="379"/>
      <c r="T283" s="376"/>
      <c r="U283" s="381"/>
      <c r="V283" s="381"/>
      <c r="W283" s="382"/>
      <c r="X283" s="376"/>
      <c r="Y283" s="376"/>
      <c r="Z283" s="383"/>
    </row>
    <row r="284" spans="1:26" s="375" customFormat="1" x14ac:dyDescent="0.25">
      <c r="A284" s="391">
        <f>'A) Base RI'!A285</f>
        <v>5882</v>
      </c>
      <c r="B284" s="391" t="str">
        <f>'A) Base RI'!B285</f>
        <v>Chardonne</v>
      </c>
      <c r="C284" s="404">
        <v>1</v>
      </c>
      <c r="D284" s="377">
        <f>'B) D RI'!AR285</f>
        <v>2835</v>
      </c>
      <c r="E284" s="378">
        <f>'B) D RI'!S285</f>
        <v>66</v>
      </c>
      <c r="F284" s="18">
        <f>'B) D RI'!R285</f>
        <v>10640872.839999998</v>
      </c>
      <c r="G284" s="18">
        <f>'B) D RI'!U285</f>
        <v>161225.34606060604</v>
      </c>
      <c r="H284" s="73">
        <f>'B) D RI'!T285</f>
        <v>9842758.3899999987</v>
      </c>
      <c r="I284" s="18">
        <f t="shared" si="27"/>
        <v>298265.4057575757</v>
      </c>
      <c r="J284" s="18">
        <f t="shared" si="28"/>
        <v>243486.12582434455</v>
      </c>
      <c r="K284" s="18">
        <f t="shared" si="24"/>
        <v>0</v>
      </c>
      <c r="L284" s="18">
        <f t="shared" si="29"/>
        <v>243486.12582434455</v>
      </c>
      <c r="M284" s="18">
        <f>'D) Ecrêtage'!N283</f>
        <v>159535.56206879998</v>
      </c>
      <c r="N284" s="18">
        <f t="shared" si="25"/>
        <v>215352.20869044025</v>
      </c>
      <c r="O284" s="98">
        <f t="shared" si="26"/>
        <v>215352.20869044025</v>
      </c>
      <c r="P284" s="379"/>
      <c r="Q284" s="380"/>
      <c r="R284" s="379"/>
      <c r="T284" s="376"/>
      <c r="U284" s="381"/>
      <c r="V284" s="381"/>
      <c r="W284" s="382"/>
      <c r="X284" s="376"/>
      <c r="Y284" s="376"/>
      <c r="Z284" s="383"/>
    </row>
    <row r="285" spans="1:26" s="375" customFormat="1" x14ac:dyDescent="0.25">
      <c r="A285" s="391">
        <f>'A) Base RI'!A286</f>
        <v>5883</v>
      </c>
      <c r="B285" s="391" t="str">
        <f>'A) Base RI'!B286</f>
        <v>Corseaux</v>
      </c>
      <c r="C285" s="404">
        <v>1</v>
      </c>
      <c r="D285" s="377">
        <f>'B) D RI'!AR286</f>
        <v>2172</v>
      </c>
      <c r="E285" s="378">
        <f>'B) D RI'!S286</f>
        <v>64</v>
      </c>
      <c r="F285" s="18">
        <f>'B) D RI'!R286</f>
        <v>10189592.529999999</v>
      </c>
      <c r="G285" s="18">
        <f>'B) D RI'!U286</f>
        <v>159212.38328124999</v>
      </c>
      <c r="H285" s="73">
        <f>'B) D RI'!T286</f>
        <v>9597746.379999999</v>
      </c>
      <c r="I285" s="18">
        <f t="shared" si="27"/>
        <v>299929.57437499997</v>
      </c>
      <c r="J285" s="18">
        <f t="shared" si="28"/>
        <v>186543.8678273285</v>
      </c>
      <c r="K285" s="18">
        <f t="shared" si="24"/>
        <v>0</v>
      </c>
      <c r="L285" s="18">
        <f t="shared" si="29"/>
        <v>186543.8678273285</v>
      </c>
      <c r="M285" s="18">
        <f>'D) Ecrêtage'!N284</f>
        <v>144138.14886128373</v>
      </c>
      <c r="N285" s="18">
        <f t="shared" si="25"/>
        <v>194567.70836111551</v>
      </c>
      <c r="O285" s="98">
        <f t="shared" si="26"/>
        <v>194567.70836111551</v>
      </c>
      <c r="P285" s="379"/>
      <c r="Q285" s="380"/>
      <c r="R285" s="379"/>
      <c r="T285" s="376"/>
      <c r="U285" s="381"/>
      <c r="V285" s="381"/>
      <c r="W285" s="382"/>
      <c r="X285" s="376"/>
      <c r="Y285" s="376"/>
      <c r="Z285" s="383"/>
    </row>
    <row r="286" spans="1:26" s="375" customFormat="1" x14ac:dyDescent="0.25">
      <c r="A286" s="391">
        <f>'A) Base RI'!A287</f>
        <v>5884</v>
      </c>
      <c r="B286" s="391" t="str">
        <f>'A) Base RI'!B287</f>
        <v>Corsier-sur-Vevey</v>
      </c>
      <c r="C286" s="404">
        <v>1</v>
      </c>
      <c r="D286" s="377">
        <f>'B) D RI'!AR287</f>
        <v>3393</v>
      </c>
      <c r="E286" s="378">
        <f>'B) D RI'!S287</f>
        <v>66</v>
      </c>
      <c r="F286" s="18">
        <f>'B) D RI'!R287</f>
        <v>8012748.6633333331</v>
      </c>
      <c r="G286" s="18">
        <f>'B) D RI'!U287</f>
        <v>121405.28277777777</v>
      </c>
      <c r="H286" s="73">
        <f>'B) D RI'!T287</f>
        <v>7124257.5800000001</v>
      </c>
      <c r="I286" s="18">
        <f t="shared" si="27"/>
        <v>215886.59333333332</v>
      </c>
      <c r="J286" s="18">
        <f t="shared" si="28"/>
        <v>291410.37916119967</v>
      </c>
      <c r="K286" s="18">
        <f t="shared" si="24"/>
        <v>0</v>
      </c>
      <c r="L286" s="18">
        <f t="shared" si="29"/>
        <v>291410.37916119967</v>
      </c>
      <c r="M286" s="18">
        <f>'D) Ecrêtage'!N285</f>
        <v>121405.28277777777</v>
      </c>
      <c r="N286" s="18">
        <f t="shared" si="25"/>
        <v>163881.30303892295</v>
      </c>
      <c r="O286" s="98">
        <f t="shared" si="26"/>
        <v>163881.30303892295</v>
      </c>
      <c r="P286" s="379"/>
      <c r="Q286" s="380"/>
      <c r="R286" s="379"/>
      <c r="T286" s="376"/>
      <c r="U286" s="381"/>
      <c r="V286" s="381"/>
      <c r="W286" s="382"/>
      <c r="X286" s="376"/>
      <c r="Y286" s="376"/>
      <c r="Z286" s="383"/>
    </row>
    <row r="287" spans="1:26" s="375" customFormat="1" x14ac:dyDescent="0.25">
      <c r="A287" s="391">
        <f>'A) Base RI'!A288</f>
        <v>5885</v>
      </c>
      <c r="B287" s="391" t="str">
        <f>'A) Base RI'!B288</f>
        <v>Jongny</v>
      </c>
      <c r="C287" s="404">
        <v>1</v>
      </c>
      <c r="D287" s="377">
        <f>'B) D RI'!AR288</f>
        <v>1475</v>
      </c>
      <c r="E287" s="378">
        <f>'B) D RI'!S288</f>
        <v>69</v>
      </c>
      <c r="F287" s="18">
        <f>'B) D RI'!R288</f>
        <v>5257775.043333333</v>
      </c>
      <c r="G287" s="18">
        <f>'B) D RI'!U288</f>
        <v>76199.638309178743</v>
      </c>
      <c r="H287" s="73">
        <f>'B) D RI'!T288</f>
        <v>4920109.71</v>
      </c>
      <c r="I287" s="18">
        <f t="shared" si="27"/>
        <v>142611.87565217391</v>
      </c>
      <c r="J287" s="18">
        <f t="shared" si="28"/>
        <v>126681.49403559371</v>
      </c>
      <c r="K287" s="18">
        <f t="shared" si="24"/>
        <v>0</v>
      </c>
      <c r="L287" s="18">
        <f t="shared" si="29"/>
        <v>126681.49403559371</v>
      </c>
      <c r="M287" s="18">
        <f>'D) Ecrêtage'!N286</f>
        <v>76199.638309178743</v>
      </c>
      <c r="N287" s="18">
        <f t="shared" si="25"/>
        <v>102859.57687739609</v>
      </c>
      <c r="O287" s="98">
        <f t="shared" si="26"/>
        <v>102859.57687739609</v>
      </c>
      <c r="P287" s="379"/>
      <c r="Q287" s="380"/>
      <c r="R287" s="379"/>
      <c r="T287" s="376"/>
      <c r="U287" s="381"/>
      <c r="V287" s="381"/>
      <c r="W287" s="382"/>
      <c r="X287" s="376"/>
      <c r="Y287" s="376"/>
      <c r="Z287" s="383"/>
    </row>
    <row r="288" spans="1:26" s="375" customFormat="1" x14ac:dyDescent="0.25">
      <c r="A288" s="391">
        <f>'A) Base RI'!A289</f>
        <v>5886</v>
      </c>
      <c r="B288" s="391" t="str">
        <f>'A) Base RI'!B289</f>
        <v>Montreux</v>
      </c>
      <c r="C288" s="404">
        <v>1</v>
      </c>
      <c r="D288" s="377">
        <f>'B) D RI'!AR289</f>
        <v>26072</v>
      </c>
      <c r="E288" s="378">
        <f>'B) D RI'!S289</f>
        <v>66</v>
      </c>
      <c r="F288" s="18">
        <f>'B) D RI'!R289</f>
        <v>73910428.903333336</v>
      </c>
      <c r="G288" s="18">
        <f>'B) D RI'!U289</f>
        <v>1119854.9833838383</v>
      </c>
      <c r="H288" s="73">
        <f>'B) D RI'!T289</f>
        <v>67330593.770000011</v>
      </c>
      <c r="I288" s="18">
        <f t="shared" si="27"/>
        <v>2040321.0233333337</v>
      </c>
      <c r="J288" s="18">
        <f t="shared" si="28"/>
        <v>2239213.4999972875</v>
      </c>
      <c r="K288" s="18">
        <f t="shared" si="24"/>
        <v>0</v>
      </c>
      <c r="L288" s="18">
        <f t="shared" si="29"/>
        <v>2239213.4999972875</v>
      </c>
      <c r="M288" s="18">
        <f>'D) Ecrêtage'!N287</f>
        <v>1119854.9833838383</v>
      </c>
      <c r="N288" s="18">
        <f t="shared" si="25"/>
        <v>1511658.2218872542</v>
      </c>
      <c r="O288" s="98">
        <f t="shared" si="26"/>
        <v>1511658.2218872542</v>
      </c>
      <c r="P288" s="379"/>
      <c r="Q288" s="380"/>
      <c r="R288" s="379"/>
      <c r="T288" s="376"/>
      <c r="U288" s="381"/>
      <c r="V288" s="381"/>
      <c r="W288" s="382"/>
      <c r="X288" s="376"/>
      <c r="Y288" s="376"/>
      <c r="Z288" s="383"/>
    </row>
    <row r="289" spans="1:26" s="375" customFormat="1" x14ac:dyDescent="0.25">
      <c r="A289" s="391">
        <f>'A) Base RI'!A290</f>
        <v>5888</v>
      </c>
      <c r="B289" s="391" t="str">
        <f>'A) Base RI'!B290</f>
        <v>St-Légier-La Chiésaz</v>
      </c>
      <c r="C289" s="404">
        <v>1</v>
      </c>
      <c r="D289" s="377">
        <f>'B) D RI'!AR290</f>
        <v>5084</v>
      </c>
      <c r="E289" s="378">
        <f>'B) D RI'!S290</f>
        <v>66</v>
      </c>
      <c r="F289" s="18">
        <f>'B) D RI'!R290</f>
        <v>23596719</v>
      </c>
      <c r="G289" s="18">
        <f>'B) D RI'!U290</f>
        <v>357526.04545454547</v>
      </c>
      <c r="H289" s="73">
        <f>'B) D RI'!T290</f>
        <v>22254246.800000001</v>
      </c>
      <c r="I289" s="18">
        <f t="shared" si="27"/>
        <v>674371.11515151523</v>
      </c>
      <c r="J289" s="18">
        <f t="shared" si="28"/>
        <v>436643.19706912438</v>
      </c>
      <c r="K289" s="18">
        <f t="shared" si="24"/>
        <v>0</v>
      </c>
      <c r="L289" s="18">
        <f t="shared" si="29"/>
        <v>436643.19706912438</v>
      </c>
      <c r="M289" s="18">
        <f>'D) Ecrêtage'!N288</f>
        <v>329207.26907849044</v>
      </c>
      <c r="N289" s="18">
        <f t="shared" si="25"/>
        <v>444386.89150966343</v>
      </c>
      <c r="O289" s="98">
        <f t="shared" si="26"/>
        <v>444386.89150966343</v>
      </c>
      <c r="P289" s="379"/>
      <c r="Q289" s="380"/>
      <c r="R289" s="379"/>
      <c r="T289" s="376"/>
      <c r="U289" s="381"/>
      <c r="V289" s="381"/>
      <c r="W289" s="382"/>
      <c r="X289" s="376"/>
      <c r="Y289" s="376"/>
      <c r="Z289" s="383"/>
    </row>
    <row r="290" spans="1:26" s="375" customFormat="1" x14ac:dyDescent="0.25">
      <c r="A290" s="391">
        <f>'A) Base RI'!A291</f>
        <v>5889</v>
      </c>
      <c r="B290" s="391" t="str">
        <f>'A) Base RI'!B291</f>
        <v>La Tour-de-Peilz</v>
      </c>
      <c r="C290" s="404">
        <v>1</v>
      </c>
      <c r="D290" s="377">
        <f>'B) D RI'!AR291</f>
        <v>11207</v>
      </c>
      <c r="E290" s="378">
        <f>'B) D RI'!S291</f>
        <v>64</v>
      </c>
      <c r="F290" s="18">
        <f>'B) D RI'!R291</f>
        <v>37953857.883333348</v>
      </c>
      <c r="G290" s="18">
        <f>'B) D RI'!U291</f>
        <v>593029.02942708356</v>
      </c>
      <c r="H290" s="73">
        <f>'B) D RI'!T291</f>
        <v>35943131.050000012</v>
      </c>
      <c r="I290" s="18">
        <f t="shared" si="27"/>
        <v>1123222.8453125004</v>
      </c>
      <c r="J290" s="18">
        <f t="shared" si="28"/>
        <v>962521.6973945077</v>
      </c>
      <c r="K290" s="18">
        <f t="shared" si="24"/>
        <v>0</v>
      </c>
      <c r="L290" s="18">
        <f t="shared" si="29"/>
        <v>962521.6973945077</v>
      </c>
      <c r="M290" s="18">
        <f>'D) Ecrêtage'!N289</f>
        <v>593029.02942708356</v>
      </c>
      <c r="N290" s="18">
        <f t="shared" si="25"/>
        <v>800511.87113751692</v>
      </c>
      <c r="O290" s="98">
        <f t="shared" si="26"/>
        <v>800511.87113751692</v>
      </c>
      <c r="P290" s="379"/>
      <c r="Q290" s="380"/>
      <c r="R290" s="379"/>
      <c r="T290" s="376"/>
      <c r="U290" s="381"/>
      <c r="V290" s="381"/>
      <c r="W290" s="382"/>
      <c r="X290" s="376"/>
      <c r="Y290" s="376"/>
      <c r="Z290" s="383"/>
    </row>
    <row r="291" spans="1:26" s="375" customFormat="1" x14ac:dyDescent="0.25">
      <c r="A291" s="391">
        <f>'A) Base RI'!A292</f>
        <v>5890</v>
      </c>
      <c r="B291" s="391" t="str">
        <f>'A) Base RI'!B292</f>
        <v>Vevey</v>
      </c>
      <c r="C291" s="404">
        <v>1</v>
      </c>
      <c r="D291" s="377">
        <f>'B) D RI'!AR292</f>
        <v>18838</v>
      </c>
      <c r="E291" s="378">
        <f>'B) D RI'!S292</f>
        <v>73</v>
      </c>
      <c r="F291" s="18">
        <f>'B) D RI'!R292</f>
        <v>67163663.183333337</v>
      </c>
      <c r="G291" s="18">
        <f>'B) D RI'!U292</f>
        <v>920050.18059360737</v>
      </c>
      <c r="H291" s="73">
        <f>'B) D RI'!T292</f>
        <v>63662325.850000001</v>
      </c>
      <c r="I291" s="18">
        <f t="shared" si="27"/>
        <v>1744173.3109589042</v>
      </c>
      <c r="J291" s="18">
        <f t="shared" si="28"/>
        <v>1617915.9217915353</v>
      </c>
      <c r="K291" s="18">
        <f t="shared" si="24"/>
        <v>0</v>
      </c>
      <c r="L291" s="18">
        <f t="shared" si="29"/>
        <v>1617915.9217915353</v>
      </c>
      <c r="M291" s="18">
        <f>'D) Ecrêtage'!N290</f>
        <v>920050.18059360737</v>
      </c>
      <c r="N291" s="18">
        <f t="shared" si="25"/>
        <v>1241947.7884901036</v>
      </c>
      <c r="O291" s="98">
        <f t="shared" si="26"/>
        <v>1241947.7884901036</v>
      </c>
      <c r="P291" s="379"/>
      <c r="Q291" s="380"/>
      <c r="R291" s="379"/>
      <c r="T291" s="376"/>
      <c r="U291" s="381"/>
      <c r="V291" s="381"/>
      <c r="W291" s="382"/>
      <c r="X291" s="376"/>
      <c r="Y291" s="376"/>
      <c r="Z291" s="383"/>
    </row>
    <row r="292" spans="1:26" s="375" customFormat="1" x14ac:dyDescent="0.25">
      <c r="A292" s="391">
        <f>'A) Base RI'!A293</f>
        <v>5891</v>
      </c>
      <c r="B292" s="391" t="str">
        <f>'A) Base RI'!B293</f>
        <v>Veytaux</v>
      </c>
      <c r="C292" s="404">
        <v>1</v>
      </c>
      <c r="D292" s="377">
        <f>'B) D RI'!AR293</f>
        <v>845</v>
      </c>
      <c r="E292" s="378">
        <f>'B) D RI'!S293</f>
        <v>69</v>
      </c>
      <c r="F292" s="18">
        <f>'B) D RI'!R293</f>
        <v>2596990.5166666661</v>
      </c>
      <c r="G292" s="18">
        <f>'B) D RI'!U293</f>
        <v>37637.543719806752</v>
      </c>
      <c r="H292" s="73">
        <f>'B) D RI'!T293</f>
        <v>2361351.3499999996</v>
      </c>
      <c r="I292" s="18">
        <f t="shared" si="27"/>
        <v>68444.96666666666</v>
      </c>
      <c r="J292" s="18">
        <f t="shared" si="28"/>
        <v>72573.466074628261</v>
      </c>
      <c r="K292" s="18">
        <f t="shared" si="24"/>
        <v>0</v>
      </c>
      <c r="L292" s="18">
        <f t="shared" si="29"/>
        <v>72573.466074628261</v>
      </c>
      <c r="M292" s="18">
        <f>'D) Ecrêtage'!N291</f>
        <v>37637.543719806752</v>
      </c>
      <c r="N292" s="18">
        <f t="shared" si="25"/>
        <v>50805.776872795024</v>
      </c>
      <c r="O292" s="98">
        <f t="shared" si="26"/>
        <v>50805.776872795024</v>
      </c>
      <c r="P292" s="379"/>
      <c r="Q292" s="380"/>
      <c r="R292" s="379"/>
      <c r="T292" s="376"/>
      <c r="U292" s="381"/>
      <c r="V292" s="381"/>
      <c r="W292" s="382"/>
      <c r="X292" s="376"/>
      <c r="Y292" s="376"/>
      <c r="Z292" s="383"/>
    </row>
    <row r="293" spans="1:26" s="375" customFormat="1" x14ac:dyDescent="0.25">
      <c r="A293" s="391">
        <f>'A) Base RI'!A294</f>
        <v>5902</v>
      </c>
      <c r="B293" s="391" t="str">
        <f>'A) Base RI'!B294</f>
        <v>Belmont-sur-Yverdon</v>
      </c>
      <c r="C293" s="404">
        <v>0</v>
      </c>
      <c r="D293" s="377">
        <f>'B) D RI'!AR294</f>
        <v>357</v>
      </c>
      <c r="E293" s="378">
        <f>'B) D RI'!S294</f>
        <v>76</v>
      </c>
      <c r="F293" s="18">
        <f>'B) D RI'!R294</f>
        <v>669490.51</v>
      </c>
      <c r="G293" s="18">
        <f>'B) D RI'!U294</f>
        <v>8809.0856578947369</v>
      </c>
      <c r="H293" s="73">
        <f>'B) D RI'!T294</f>
        <v>625338.01</v>
      </c>
      <c r="I293" s="18">
        <f t="shared" si="27"/>
        <v>16456.26342105263</v>
      </c>
      <c r="J293" s="18">
        <f t="shared" si="28"/>
        <v>30661.215844547089</v>
      </c>
      <c r="K293" s="18">
        <f t="shared" si="24"/>
        <v>16456.26342105263</v>
      </c>
      <c r="L293" s="18">
        <f t="shared" si="29"/>
        <v>14204.952423494458</v>
      </c>
      <c r="M293" s="18">
        <f>'D) Ecrêtage'!N292</f>
        <v>8809.0856578947369</v>
      </c>
      <c r="N293" s="18">
        <f t="shared" si="25"/>
        <v>11891.117117528962</v>
      </c>
      <c r="O293" s="98">
        <f t="shared" si="26"/>
        <v>28347.380538581594</v>
      </c>
      <c r="P293" s="379"/>
      <c r="Q293" s="380"/>
      <c r="R293" s="379"/>
      <c r="T293" s="376"/>
      <c r="U293" s="381"/>
      <c r="V293" s="381"/>
      <c r="W293" s="382"/>
      <c r="X293" s="376"/>
      <c r="Y293" s="376"/>
      <c r="Z293" s="383"/>
    </row>
    <row r="294" spans="1:26" s="375" customFormat="1" x14ac:dyDescent="0.25">
      <c r="A294" s="391">
        <f>'A) Base RI'!A295</f>
        <v>5903</v>
      </c>
      <c r="B294" s="391" t="str">
        <f>'A) Base RI'!B295</f>
        <v>Bioley-Magnoux</v>
      </c>
      <c r="C294" s="404">
        <v>0</v>
      </c>
      <c r="D294" s="377">
        <f>'B) D RI'!AR295</f>
        <v>196</v>
      </c>
      <c r="E294" s="378">
        <f>'B) D RI'!S295</f>
        <v>74</v>
      </c>
      <c r="F294" s="18">
        <f>'B) D RI'!R295</f>
        <v>450574.60428571422</v>
      </c>
      <c r="G294" s="18">
        <f>'B) D RI'!U295</f>
        <v>6088.8460038610028</v>
      </c>
      <c r="H294" s="73">
        <f>'B) D RI'!T295</f>
        <v>420781.38999999996</v>
      </c>
      <c r="I294" s="18">
        <f t="shared" si="27"/>
        <v>11372.47</v>
      </c>
      <c r="J294" s="18">
        <f t="shared" si="28"/>
        <v>16833.608698967029</v>
      </c>
      <c r="K294" s="18">
        <f t="shared" si="24"/>
        <v>11372.47</v>
      </c>
      <c r="L294" s="18">
        <f t="shared" si="29"/>
        <v>5461.13869896703</v>
      </c>
      <c r="M294" s="18">
        <f>'D) Ecrêtage'!N293</f>
        <v>6088.8460038610028</v>
      </c>
      <c r="N294" s="18">
        <f t="shared" si="25"/>
        <v>8219.1482469717357</v>
      </c>
      <c r="O294" s="98">
        <f t="shared" si="26"/>
        <v>19591.618246971735</v>
      </c>
      <c r="P294" s="379"/>
      <c r="Q294" s="380"/>
      <c r="R294" s="379"/>
      <c r="T294" s="376"/>
      <c r="U294" s="381"/>
      <c r="V294" s="381"/>
      <c r="W294" s="382"/>
      <c r="X294" s="376"/>
      <c r="Y294" s="376"/>
      <c r="Z294" s="383"/>
    </row>
    <row r="295" spans="1:26" s="375" customFormat="1" x14ac:dyDescent="0.25">
      <c r="A295" s="391">
        <f>'A) Base RI'!A296</f>
        <v>5904</v>
      </c>
      <c r="B295" s="391" t="str">
        <f>'A) Base RI'!B296</f>
        <v>Chamblon</v>
      </c>
      <c r="C295" s="404">
        <v>1</v>
      </c>
      <c r="D295" s="377">
        <f>'B) D RI'!AR296</f>
        <v>590</v>
      </c>
      <c r="E295" s="378">
        <f>'B) D RI'!S296</f>
        <v>66</v>
      </c>
      <c r="F295" s="18">
        <f>'B) D RI'!R296</f>
        <v>1427053.05</v>
      </c>
      <c r="G295" s="18">
        <f>'B) D RI'!U296</f>
        <v>21622.015909090911</v>
      </c>
      <c r="H295" s="73">
        <f>'B) D RI'!T296</f>
        <v>1340420.45</v>
      </c>
      <c r="I295" s="18">
        <f t="shared" si="27"/>
        <v>40618.801515151514</v>
      </c>
      <c r="J295" s="18">
        <f t="shared" si="28"/>
        <v>50672.597614237486</v>
      </c>
      <c r="K295" s="18">
        <f t="shared" si="24"/>
        <v>0</v>
      </c>
      <c r="L295" s="18">
        <f t="shared" si="29"/>
        <v>50672.597614237486</v>
      </c>
      <c r="M295" s="18">
        <f>'D) Ecrêtage'!N294</f>
        <v>21622.015909090911</v>
      </c>
      <c r="N295" s="18">
        <f t="shared" si="25"/>
        <v>29186.902418374324</v>
      </c>
      <c r="O295" s="98">
        <f t="shared" si="26"/>
        <v>29186.902418374324</v>
      </c>
      <c r="P295" s="379"/>
      <c r="Q295" s="380"/>
      <c r="R295" s="379"/>
      <c r="T295" s="376"/>
      <c r="U295" s="381"/>
      <c r="V295" s="381"/>
      <c r="W295" s="382"/>
      <c r="X295" s="376"/>
      <c r="Y295" s="376"/>
      <c r="Z295" s="383"/>
    </row>
    <row r="296" spans="1:26" s="375" customFormat="1" x14ac:dyDescent="0.25">
      <c r="A296" s="391">
        <f>'A) Base RI'!A297</f>
        <v>5905</v>
      </c>
      <c r="B296" s="391" t="str">
        <f>'A) Base RI'!B297</f>
        <v>Champvent</v>
      </c>
      <c r="C296" s="404">
        <v>0</v>
      </c>
      <c r="D296" s="377">
        <f>'B) D RI'!AR297</f>
        <v>600</v>
      </c>
      <c r="E296" s="378">
        <f>'B) D RI'!S297</f>
        <v>71</v>
      </c>
      <c r="F296" s="18">
        <f>'B) D RI'!R297</f>
        <v>1442415.86</v>
      </c>
      <c r="G296" s="18">
        <f>'B) D RI'!U297</f>
        <v>20315.716338028171</v>
      </c>
      <c r="H296" s="73">
        <f>'B) D RI'!T297</f>
        <v>1356059.9100000001</v>
      </c>
      <c r="I296" s="18">
        <f t="shared" si="27"/>
        <v>38198.870704225359</v>
      </c>
      <c r="J296" s="18">
        <f t="shared" si="28"/>
        <v>51531.455200919481</v>
      </c>
      <c r="K296" s="18">
        <f t="shared" si="24"/>
        <v>38198.870704225359</v>
      </c>
      <c r="L296" s="18">
        <f t="shared" si="29"/>
        <v>13332.584496694122</v>
      </c>
      <c r="M296" s="18">
        <f>'D) Ecrêtage'!N295</f>
        <v>20315.716338028171</v>
      </c>
      <c r="N296" s="18">
        <f t="shared" si="25"/>
        <v>27423.568311597439</v>
      </c>
      <c r="O296" s="98">
        <f t="shared" si="26"/>
        <v>65622.439015822805</v>
      </c>
      <c r="P296" s="379"/>
      <c r="Q296" s="380"/>
      <c r="R296" s="379"/>
      <c r="T296" s="376"/>
      <c r="U296" s="381"/>
      <c r="V296" s="381"/>
      <c r="W296" s="382"/>
      <c r="X296" s="376"/>
      <c r="Y296" s="376"/>
      <c r="Z296" s="383"/>
    </row>
    <row r="297" spans="1:26" s="375" customFormat="1" x14ac:dyDescent="0.25">
      <c r="A297" s="391">
        <f>'A) Base RI'!A298</f>
        <v>5907</v>
      </c>
      <c r="B297" s="391" t="str">
        <f>'A) Base RI'!B298</f>
        <v>Chavannes-le-Chêne</v>
      </c>
      <c r="C297" s="404">
        <v>0</v>
      </c>
      <c r="D297" s="377">
        <f>'B) D RI'!AR298</f>
        <v>274</v>
      </c>
      <c r="E297" s="378">
        <f>'B) D RI'!S298</f>
        <v>78</v>
      </c>
      <c r="F297" s="18">
        <f>'B) D RI'!R298</f>
        <v>528102.26</v>
      </c>
      <c r="G297" s="18">
        <f>'B) D RI'!U298</f>
        <v>6770.541794871795</v>
      </c>
      <c r="H297" s="73">
        <f>'B) D RI'!T298</f>
        <v>492218.06</v>
      </c>
      <c r="I297" s="18">
        <f t="shared" si="27"/>
        <v>12620.975897435897</v>
      </c>
      <c r="J297" s="18">
        <f t="shared" si="28"/>
        <v>23532.69787508656</v>
      </c>
      <c r="K297" s="18">
        <f t="shared" si="24"/>
        <v>12620.975897435897</v>
      </c>
      <c r="L297" s="18">
        <f t="shared" si="29"/>
        <v>10911.721977650663</v>
      </c>
      <c r="M297" s="18">
        <f>'D) Ecrêtage'!N296</f>
        <v>6770.541794871795</v>
      </c>
      <c r="N297" s="18">
        <f t="shared" si="25"/>
        <v>9139.3486859549957</v>
      </c>
      <c r="O297" s="98">
        <f t="shared" si="26"/>
        <v>21760.324583390895</v>
      </c>
      <c r="P297" s="379"/>
      <c r="Q297" s="380"/>
      <c r="R297" s="379"/>
      <c r="T297" s="376"/>
      <c r="U297" s="381"/>
      <c r="V297" s="381"/>
      <c r="W297" s="382"/>
      <c r="X297" s="376"/>
      <c r="Y297" s="376"/>
      <c r="Z297" s="383"/>
    </row>
    <row r="298" spans="1:26" s="375" customFormat="1" x14ac:dyDescent="0.25">
      <c r="A298" s="391">
        <f>'A) Base RI'!A299</f>
        <v>5908</v>
      </c>
      <c r="B298" s="391" t="str">
        <f>'A) Base RI'!B299</f>
        <v>Chêne-Pâquier</v>
      </c>
      <c r="C298" s="404">
        <v>0</v>
      </c>
      <c r="D298" s="377">
        <f>'B) D RI'!AR299</f>
        <v>132</v>
      </c>
      <c r="E298" s="378">
        <f>'B) D RI'!S299</f>
        <v>79</v>
      </c>
      <c r="F298" s="18">
        <f>'B) D RI'!R299</f>
        <v>262797.01</v>
      </c>
      <c r="G298" s="18">
        <f>'B) D RI'!U299</f>
        <v>3326.5444303797472</v>
      </c>
      <c r="H298" s="73">
        <f>'B) D RI'!T299</f>
        <v>247391.01</v>
      </c>
      <c r="I298" s="18">
        <f t="shared" si="27"/>
        <v>6263.0635443037982</v>
      </c>
      <c r="J298" s="18">
        <f t="shared" si="28"/>
        <v>11336.920144202286</v>
      </c>
      <c r="K298" s="18">
        <f t="shared" si="24"/>
        <v>6263.0635443037982</v>
      </c>
      <c r="L298" s="18">
        <f t="shared" si="29"/>
        <v>5073.8565998984877</v>
      </c>
      <c r="M298" s="18">
        <f>'D) Ecrêtage'!N297</f>
        <v>3326.5444303797472</v>
      </c>
      <c r="N298" s="18">
        <f t="shared" si="25"/>
        <v>4490.401269155409</v>
      </c>
      <c r="O298" s="98">
        <f t="shared" si="26"/>
        <v>10753.464813459206</v>
      </c>
      <c r="P298" s="379"/>
      <c r="Q298" s="380"/>
      <c r="R298" s="379"/>
      <c r="T298" s="376"/>
      <c r="U298" s="381"/>
      <c r="V298" s="381"/>
      <c r="W298" s="382"/>
      <c r="X298" s="376"/>
      <c r="Y298" s="376"/>
      <c r="Z298" s="383"/>
    </row>
    <row r="299" spans="1:26" s="375" customFormat="1" x14ac:dyDescent="0.25">
      <c r="A299" s="391">
        <f>'A) Base RI'!A300</f>
        <v>5909</v>
      </c>
      <c r="B299" s="391" t="str">
        <f>'A) Base RI'!B300</f>
        <v>Cheseaux-Noréaz</v>
      </c>
      <c r="C299" s="404">
        <v>1</v>
      </c>
      <c r="D299" s="377">
        <f>'B) D RI'!AR300</f>
        <v>663</v>
      </c>
      <c r="E299" s="378">
        <f>'B) D RI'!S300</f>
        <v>64</v>
      </c>
      <c r="F299" s="18">
        <f>'B) D RI'!R300</f>
        <v>1962964.55</v>
      </c>
      <c r="G299" s="18">
        <f>'B) D RI'!U300</f>
        <v>30671.321093750001</v>
      </c>
      <c r="H299" s="73">
        <f>'B) D RI'!T300</f>
        <v>1825428.1500000001</v>
      </c>
      <c r="I299" s="18">
        <f t="shared" si="27"/>
        <v>57044.629687500004</v>
      </c>
      <c r="J299" s="18">
        <f t="shared" si="28"/>
        <v>56942.257997016022</v>
      </c>
      <c r="K299" s="18">
        <f t="shared" si="24"/>
        <v>0</v>
      </c>
      <c r="L299" s="18">
        <f t="shared" si="29"/>
        <v>56942.257997016022</v>
      </c>
      <c r="M299" s="18">
        <f>'D) Ecrêtage'!N298</f>
        <v>30671.321093750001</v>
      </c>
      <c r="N299" s="18">
        <f t="shared" si="25"/>
        <v>41402.284577430306</v>
      </c>
      <c r="O299" s="98">
        <f t="shared" si="26"/>
        <v>41402.284577430306</v>
      </c>
      <c r="P299" s="379"/>
      <c r="Q299" s="380"/>
      <c r="R299" s="379"/>
      <c r="T299" s="376"/>
      <c r="U299" s="381"/>
      <c r="V299" s="381"/>
      <c r="W299" s="382"/>
      <c r="X299" s="376"/>
      <c r="Y299" s="376"/>
      <c r="Z299" s="383"/>
    </row>
    <row r="300" spans="1:26" s="375" customFormat="1" x14ac:dyDescent="0.25">
      <c r="A300" s="391">
        <f>'A) Base RI'!A301</f>
        <v>5910</v>
      </c>
      <c r="B300" s="391" t="str">
        <f>'A) Base RI'!B301</f>
        <v>Cronay</v>
      </c>
      <c r="C300" s="404">
        <v>0</v>
      </c>
      <c r="D300" s="377">
        <f>'B) D RI'!AR301</f>
        <v>352</v>
      </c>
      <c r="E300" s="378">
        <f>'B) D RI'!S301</f>
        <v>81</v>
      </c>
      <c r="F300" s="18">
        <f>'B) D RI'!R301</f>
        <v>752708.85</v>
      </c>
      <c r="G300" s="18">
        <f>'B) D RI'!U301</f>
        <v>9292.7018518518507</v>
      </c>
      <c r="H300" s="73">
        <f>'B) D RI'!T301</f>
        <v>707722.85</v>
      </c>
      <c r="I300" s="18">
        <f t="shared" si="27"/>
        <v>17474.638271604937</v>
      </c>
      <c r="J300" s="18">
        <f t="shared" si="28"/>
        <v>30231.787051206094</v>
      </c>
      <c r="K300" s="18">
        <f t="shared" si="24"/>
        <v>17474.638271604937</v>
      </c>
      <c r="L300" s="18">
        <f t="shared" si="29"/>
        <v>12757.148779601157</v>
      </c>
      <c r="M300" s="18">
        <f>'D) Ecrêtage'!N299</f>
        <v>9292.7018518518507</v>
      </c>
      <c r="N300" s="18">
        <f t="shared" si="25"/>
        <v>12543.935925928652</v>
      </c>
      <c r="O300" s="98">
        <f t="shared" si="26"/>
        <v>30018.574197533591</v>
      </c>
      <c r="P300" s="379"/>
      <c r="Q300" s="380"/>
      <c r="R300" s="379"/>
      <c r="T300" s="376"/>
      <c r="U300" s="381"/>
      <c r="V300" s="381"/>
      <c r="W300" s="382"/>
      <c r="X300" s="376"/>
      <c r="Y300" s="376"/>
      <c r="Z300" s="383"/>
    </row>
    <row r="301" spans="1:26" s="375" customFormat="1" x14ac:dyDescent="0.25">
      <c r="A301" s="391">
        <f>'A) Base RI'!A302</f>
        <v>5911</v>
      </c>
      <c r="B301" s="391" t="str">
        <f>'A) Base RI'!B302</f>
        <v>Cuarny</v>
      </c>
      <c r="C301" s="404">
        <v>0</v>
      </c>
      <c r="D301" s="377">
        <f>'B) D RI'!AR302</f>
        <v>204</v>
      </c>
      <c r="E301" s="378">
        <f>'B) D RI'!S302</f>
        <v>81</v>
      </c>
      <c r="F301" s="18">
        <f>'B) D RI'!R302</f>
        <v>552044.2699999999</v>
      </c>
      <c r="G301" s="18">
        <f>'B) D RI'!U302</f>
        <v>6815.3613580246902</v>
      </c>
      <c r="H301" s="73">
        <f>'B) D RI'!T302</f>
        <v>529114.2699999999</v>
      </c>
      <c r="I301" s="18">
        <f t="shared" si="27"/>
        <v>13064.549876543208</v>
      </c>
      <c r="J301" s="18">
        <f t="shared" si="28"/>
        <v>17520.694768312624</v>
      </c>
      <c r="K301" s="18">
        <f t="shared" si="24"/>
        <v>13064.549876543208</v>
      </c>
      <c r="L301" s="18">
        <f t="shared" si="29"/>
        <v>4456.1448917694161</v>
      </c>
      <c r="M301" s="18">
        <f>'D) Ecrêtage'!N300</f>
        <v>6815.3613580246902</v>
      </c>
      <c r="N301" s="18">
        <f t="shared" si="25"/>
        <v>9199.8492526772552</v>
      </c>
      <c r="O301" s="98">
        <f t="shared" si="26"/>
        <v>22264.399129220463</v>
      </c>
      <c r="P301" s="379"/>
      <c r="Q301" s="380"/>
      <c r="R301" s="379"/>
      <c r="T301" s="376"/>
      <c r="U301" s="381"/>
      <c r="V301" s="381"/>
      <c r="W301" s="382"/>
      <c r="X301" s="376"/>
      <c r="Y301" s="376"/>
      <c r="Z301" s="383"/>
    </row>
    <row r="302" spans="1:26" s="375" customFormat="1" x14ac:dyDescent="0.25">
      <c r="A302" s="391">
        <f>'A) Base RI'!A303</f>
        <v>5912</v>
      </c>
      <c r="B302" s="391" t="str">
        <f>'A) Base RI'!B303</f>
        <v>Démoret</v>
      </c>
      <c r="C302" s="404">
        <v>0</v>
      </c>
      <c r="D302" s="377">
        <f>'B) D RI'!AR303</f>
        <v>126</v>
      </c>
      <c r="E302" s="378">
        <f>'B) D RI'!S303</f>
        <v>81</v>
      </c>
      <c r="F302" s="18">
        <f>'B) D RI'!R303</f>
        <v>255087.84999999998</v>
      </c>
      <c r="G302" s="18">
        <f>'B) D RI'!U303</f>
        <v>3149.2327160493824</v>
      </c>
      <c r="H302" s="73">
        <f>'B) D RI'!T303</f>
        <v>240262.24999999997</v>
      </c>
      <c r="I302" s="18">
        <f t="shared" si="27"/>
        <v>5932.4012345679002</v>
      </c>
      <c r="J302" s="18">
        <f t="shared" si="28"/>
        <v>10821.605592193091</v>
      </c>
      <c r="K302" s="18">
        <f t="shared" si="24"/>
        <v>5932.4012345679002</v>
      </c>
      <c r="L302" s="18">
        <f t="shared" si="29"/>
        <v>4889.2043576251908</v>
      </c>
      <c r="M302" s="18">
        <f>'D) Ecrêtage'!N301</f>
        <v>3149.2327160493824</v>
      </c>
      <c r="N302" s="18">
        <f t="shared" si="25"/>
        <v>4251.0535725505279</v>
      </c>
      <c r="O302" s="98">
        <f t="shared" si="26"/>
        <v>10183.454807118429</v>
      </c>
      <c r="P302" s="379"/>
      <c r="Q302" s="380"/>
      <c r="R302" s="379"/>
      <c r="T302" s="376"/>
      <c r="U302" s="381"/>
      <c r="V302" s="381"/>
      <c r="W302" s="382"/>
      <c r="X302" s="376"/>
      <c r="Y302" s="376"/>
      <c r="Z302" s="383"/>
    </row>
    <row r="303" spans="1:26" s="375" customFormat="1" x14ac:dyDescent="0.25">
      <c r="A303" s="391">
        <f>'A) Base RI'!A304</f>
        <v>5913</v>
      </c>
      <c r="B303" s="391" t="str">
        <f>'A) Base RI'!B304</f>
        <v>Donneloye</v>
      </c>
      <c r="C303" s="404">
        <v>0</v>
      </c>
      <c r="D303" s="377">
        <f>'B) D RI'!AR304</f>
        <v>728</v>
      </c>
      <c r="E303" s="378">
        <f>'B) D RI'!S304</f>
        <v>73</v>
      </c>
      <c r="F303" s="18">
        <f>'B) D RI'!R304</f>
        <v>1689789.7599999998</v>
      </c>
      <c r="G303" s="18">
        <f>'B) D RI'!U304</f>
        <v>23147.804931506846</v>
      </c>
      <c r="H303" s="73">
        <f>'B) D RI'!T304</f>
        <v>1600081.6599999997</v>
      </c>
      <c r="I303" s="18">
        <f t="shared" si="27"/>
        <v>43837.853698630126</v>
      </c>
      <c r="J303" s="18">
        <f t="shared" si="28"/>
        <v>62524.832310448968</v>
      </c>
      <c r="K303" s="18">
        <f t="shared" si="24"/>
        <v>43837.853698630126</v>
      </c>
      <c r="L303" s="18">
        <f t="shared" si="29"/>
        <v>18686.978611818842</v>
      </c>
      <c r="M303" s="18">
        <f>'D) Ecrêtage'!N302</f>
        <v>23147.804931506846</v>
      </c>
      <c r="N303" s="18">
        <f t="shared" si="25"/>
        <v>31246.518667641667</v>
      </c>
      <c r="O303" s="98">
        <f t="shared" si="26"/>
        <v>75084.372366271797</v>
      </c>
      <c r="P303" s="379"/>
      <c r="Q303" s="380"/>
      <c r="R303" s="379"/>
      <c r="T303" s="376"/>
      <c r="U303" s="381"/>
      <c r="V303" s="381"/>
      <c r="W303" s="382"/>
      <c r="X303" s="376"/>
      <c r="Y303" s="376"/>
      <c r="Z303" s="383"/>
    </row>
    <row r="304" spans="1:26" s="375" customFormat="1" x14ac:dyDescent="0.25">
      <c r="A304" s="391">
        <f>'A) Base RI'!A305</f>
        <v>5914</v>
      </c>
      <c r="B304" s="391" t="str">
        <f>'A) Base RI'!B305</f>
        <v>Ependes</v>
      </c>
      <c r="C304" s="404">
        <v>1</v>
      </c>
      <c r="D304" s="377">
        <f>'B) D RI'!AR305</f>
        <v>344</v>
      </c>
      <c r="E304" s="378">
        <f>'B) D RI'!S305</f>
        <v>75</v>
      </c>
      <c r="F304" s="18">
        <f>'B) D RI'!R305</f>
        <v>653857.03999999992</v>
      </c>
      <c r="G304" s="18">
        <f>'B) D RI'!U305</f>
        <v>8718.0938666666661</v>
      </c>
      <c r="H304" s="73">
        <f>'B) D RI'!T305</f>
        <v>605524.59</v>
      </c>
      <c r="I304" s="18">
        <f t="shared" si="27"/>
        <v>16147.322399999999</v>
      </c>
      <c r="J304" s="18">
        <f t="shared" si="28"/>
        <v>29544.7009818605</v>
      </c>
      <c r="K304" s="18">
        <f t="shared" si="24"/>
        <v>0</v>
      </c>
      <c r="L304" s="18">
        <f t="shared" si="29"/>
        <v>29544.7009818605</v>
      </c>
      <c r="M304" s="18">
        <f>'D) Ecrêtage'!N303</f>
        <v>8718.0938666666661</v>
      </c>
      <c r="N304" s="18">
        <f t="shared" si="25"/>
        <v>11768.290062798595</v>
      </c>
      <c r="O304" s="98">
        <f t="shared" si="26"/>
        <v>11768.290062798595</v>
      </c>
      <c r="P304" s="379"/>
      <c r="Q304" s="380"/>
      <c r="R304" s="379"/>
      <c r="T304" s="376"/>
      <c r="U304" s="381"/>
      <c r="V304" s="381"/>
      <c r="W304" s="382"/>
      <c r="X304" s="376"/>
      <c r="Y304" s="376"/>
      <c r="Z304" s="383"/>
    </row>
    <row r="305" spans="1:26" s="375" customFormat="1" x14ac:dyDescent="0.25">
      <c r="A305" s="391">
        <f>'A) Base RI'!A306</f>
        <v>5915</v>
      </c>
      <c r="B305" s="391" t="str">
        <f>'A) Base RI'!B306</f>
        <v>Essert-Pittet</v>
      </c>
      <c r="C305" s="404">
        <v>1</v>
      </c>
      <c r="D305" s="377">
        <f>'B) D RI'!AR306</f>
        <v>151</v>
      </c>
      <c r="E305" s="378">
        <f>'B) D RI'!S306</f>
        <v>75</v>
      </c>
      <c r="F305" s="18">
        <f>'B) D RI'!R306</f>
        <v>260182.62823529413</v>
      </c>
      <c r="G305" s="18">
        <f>'B) D RI'!U306</f>
        <v>3469.1017098039219</v>
      </c>
      <c r="H305" s="73">
        <f>'B) D RI'!T306</f>
        <v>240343.04000000001</v>
      </c>
      <c r="I305" s="18">
        <f t="shared" si="27"/>
        <v>6409.1477333333332</v>
      </c>
      <c r="J305" s="18">
        <f t="shared" si="28"/>
        <v>12968.749558898069</v>
      </c>
      <c r="K305" s="18">
        <f t="shared" si="24"/>
        <v>0</v>
      </c>
      <c r="L305" s="18">
        <f t="shared" si="29"/>
        <v>12968.749558898069</v>
      </c>
      <c r="M305" s="18">
        <f>'D) Ecrêtage'!N304</f>
        <v>3469.1017098039219</v>
      </c>
      <c r="N305" s="18">
        <f t="shared" si="25"/>
        <v>4682.8350098887568</v>
      </c>
      <c r="O305" s="98">
        <f t="shared" si="26"/>
        <v>4682.8350098887568</v>
      </c>
      <c r="P305" s="379"/>
      <c r="Q305" s="380"/>
      <c r="R305" s="379"/>
      <c r="T305" s="376"/>
      <c r="U305" s="381"/>
      <c r="V305" s="381"/>
      <c r="W305" s="382"/>
      <c r="X305" s="376"/>
      <c r="Y305" s="376"/>
      <c r="Z305" s="383"/>
    </row>
    <row r="306" spans="1:26" s="375" customFormat="1" x14ac:dyDescent="0.25">
      <c r="A306" s="391">
        <f>'A) Base RI'!A307</f>
        <v>5919</v>
      </c>
      <c r="B306" s="391" t="str">
        <f>'A) Base RI'!B307</f>
        <v>Mathod</v>
      </c>
      <c r="C306" s="404">
        <v>1</v>
      </c>
      <c r="D306" s="377">
        <f>'B) D RI'!AR307</f>
        <v>552</v>
      </c>
      <c r="E306" s="378">
        <f>'B) D RI'!S307</f>
        <v>74</v>
      </c>
      <c r="F306" s="18">
        <f>'B) D RI'!R307</f>
        <v>1087166.2050000001</v>
      </c>
      <c r="G306" s="18">
        <f>'B) D RI'!U307</f>
        <v>14691.435202702703</v>
      </c>
      <c r="H306" s="73">
        <f>'B) D RI'!T307</f>
        <v>1000094.8300000001</v>
      </c>
      <c r="I306" s="18">
        <f t="shared" si="27"/>
        <v>27029.590000000004</v>
      </c>
      <c r="J306" s="18">
        <f t="shared" si="28"/>
        <v>47408.938784845923</v>
      </c>
      <c r="K306" s="18">
        <f t="shared" si="24"/>
        <v>0</v>
      </c>
      <c r="L306" s="18">
        <f t="shared" si="29"/>
        <v>47408.938784845923</v>
      </c>
      <c r="M306" s="18">
        <f>'D) Ecrêtage'!N305</f>
        <v>14691.435202702703</v>
      </c>
      <c r="N306" s="18">
        <f t="shared" si="25"/>
        <v>19831.522067600858</v>
      </c>
      <c r="O306" s="98">
        <f t="shared" si="26"/>
        <v>19831.522067600858</v>
      </c>
      <c r="P306" s="379"/>
      <c r="Q306" s="380"/>
      <c r="R306" s="379"/>
      <c r="T306" s="376"/>
      <c r="U306" s="381"/>
      <c r="V306" s="381"/>
      <c r="W306" s="382"/>
      <c r="X306" s="376"/>
      <c r="Y306" s="376"/>
      <c r="Z306" s="383"/>
    </row>
    <row r="307" spans="1:26" s="375" customFormat="1" x14ac:dyDescent="0.25">
      <c r="A307" s="391">
        <f>'A) Base RI'!A308</f>
        <v>5921</v>
      </c>
      <c r="B307" s="391" t="str">
        <f>'A) Base RI'!B308</f>
        <v>Molondin</v>
      </c>
      <c r="C307" s="404">
        <v>0</v>
      </c>
      <c r="D307" s="377">
        <f>'B) D RI'!AR308</f>
        <v>228</v>
      </c>
      <c r="E307" s="378">
        <f>'B) D RI'!S308</f>
        <v>81</v>
      </c>
      <c r="F307" s="18">
        <f>'B) D RI'!R308</f>
        <v>377632.92</v>
      </c>
      <c r="G307" s="18">
        <f>'B) D RI'!U308</f>
        <v>4662.1348148148145</v>
      </c>
      <c r="H307" s="73">
        <f>'B) D RI'!T308</f>
        <v>351342.37</v>
      </c>
      <c r="I307" s="18">
        <f t="shared" si="27"/>
        <v>8675.1202469135806</v>
      </c>
      <c r="J307" s="18">
        <f t="shared" si="28"/>
        <v>19581.952976349403</v>
      </c>
      <c r="K307" s="18">
        <f t="shared" si="24"/>
        <v>8675.1202469135806</v>
      </c>
      <c r="L307" s="18">
        <f t="shared" si="29"/>
        <v>10906.832729435822</v>
      </c>
      <c r="M307" s="18">
        <f>'D) Ecrêtage'!N306</f>
        <v>4662.1348148148145</v>
      </c>
      <c r="N307" s="18">
        <f t="shared" si="25"/>
        <v>6293.2741550751543</v>
      </c>
      <c r="O307" s="98">
        <f t="shared" si="26"/>
        <v>14968.394401988735</v>
      </c>
      <c r="P307" s="379"/>
      <c r="Q307" s="380"/>
      <c r="R307" s="379"/>
      <c r="T307" s="376"/>
      <c r="U307" s="381"/>
      <c r="V307" s="381"/>
      <c r="W307" s="382"/>
      <c r="X307" s="376"/>
      <c r="Y307" s="376"/>
      <c r="Z307" s="383"/>
    </row>
    <row r="308" spans="1:26" s="375" customFormat="1" x14ac:dyDescent="0.25">
      <c r="A308" s="391">
        <f>'A) Base RI'!A309</f>
        <v>5922</v>
      </c>
      <c r="B308" s="391" t="str">
        <f>'A) Base RI'!B309</f>
        <v>Montagny-près-Yverdon</v>
      </c>
      <c r="C308" s="404">
        <v>0</v>
      </c>
      <c r="D308" s="377">
        <f>'B) D RI'!AR309</f>
        <v>725</v>
      </c>
      <c r="E308" s="378">
        <f>'B) D RI'!S309</f>
        <v>61</v>
      </c>
      <c r="F308" s="18">
        <f>'B) D RI'!R309</f>
        <v>2790199.9899999998</v>
      </c>
      <c r="G308" s="18">
        <f>'B) D RI'!U309</f>
        <v>45740.98344262295</v>
      </c>
      <c r="H308" s="73">
        <f>'B) D RI'!T309</f>
        <v>2462482.9899999998</v>
      </c>
      <c r="I308" s="18">
        <f t="shared" si="27"/>
        <v>80737.147213114746</v>
      </c>
      <c r="J308" s="18">
        <f t="shared" si="28"/>
        <v>62267.175034444372</v>
      </c>
      <c r="K308" s="18">
        <f t="shared" si="24"/>
        <v>62267.175034444372</v>
      </c>
      <c r="L308" s="18">
        <f t="shared" si="29"/>
        <v>0</v>
      </c>
      <c r="M308" s="18">
        <f>'D) Ecrêtage'!N307</f>
        <v>43685.066062100123</v>
      </c>
      <c r="N308" s="18">
        <f t="shared" si="25"/>
        <v>58969.143564392114</v>
      </c>
      <c r="O308" s="98">
        <f t="shared" si="26"/>
        <v>121236.31859883649</v>
      </c>
      <c r="P308" s="379"/>
      <c r="Q308" s="380"/>
      <c r="R308" s="379"/>
      <c r="T308" s="376"/>
      <c r="U308" s="381"/>
      <c r="V308" s="381"/>
      <c r="W308" s="382"/>
      <c r="X308" s="376"/>
      <c r="Y308" s="376"/>
      <c r="Z308" s="383"/>
    </row>
    <row r="309" spans="1:26" s="375" customFormat="1" x14ac:dyDescent="0.25">
      <c r="A309" s="391">
        <f>'A) Base RI'!A310</f>
        <v>5923</v>
      </c>
      <c r="B309" s="391" t="str">
        <f>'A) Base RI'!B310</f>
        <v>Oppens</v>
      </c>
      <c r="C309" s="404">
        <v>0</v>
      </c>
      <c r="D309" s="377">
        <f>'B) D RI'!AR310</f>
        <v>176</v>
      </c>
      <c r="E309" s="378">
        <f>'B) D RI'!S310</f>
        <v>81</v>
      </c>
      <c r="F309" s="18">
        <f>'B) D RI'!R310</f>
        <v>362139.70999999996</v>
      </c>
      <c r="G309" s="18">
        <f>'B) D RI'!U310</f>
        <v>4470.86061728395</v>
      </c>
      <c r="H309" s="73">
        <f>'B) D RI'!T310</f>
        <v>340430.30999999994</v>
      </c>
      <c r="I309" s="18">
        <f t="shared" si="27"/>
        <v>8405.6866666666647</v>
      </c>
      <c r="J309" s="18">
        <f t="shared" si="28"/>
        <v>15115.893525603047</v>
      </c>
      <c r="K309" s="18">
        <f t="shared" si="24"/>
        <v>8405.6866666666647</v>
      </c>
      <c r="L309" s="18">
        <f t="shared" si="29"/>
        <v>6710.2068589363826</v>
      </c>
      <c r="M309" s="18">
        <f>'D) Ecrêtage'!N308</f>
        <v>4470.86061728395</v>
      </c>
      <c r="N309" s="18">
        <f t="shared" si="25"/>
        <v>6035.0789265655421</v>
      </c>
      <c r="O309" s="98">
        <f t="shared" si="26"/>
        <v>14440.765593232207</v>
      </c>
      <c r="P309" s="379"/>
      <c r="Q309" s="380"/>
      <c r="R309" s="379"/>
      <c r="T309" s="376"/>
      <c r="U309" s="381"/>
      <c r="V309" s="381"/>
      <c r="W309" s="382"/>
      <c r="X309" s="376"/>
      <c r="Y309" s="376"/>
      <c r="Z309" s="383"/>
    </row>
    <row r="310" spans="1:26" s="375" customFormat="1" x14ac:dyDescent="0.25">
      <c r="A310" s="391">
        <f>'A) Base RI'!A311</f>
        <v>5924</v>
      </c>
      <c r="B310" s="391" t="str">
        <f>'A) Base RI'!B311</f>
        <v>Orges</v>
      </c>
      <c r="C310" s="404">
        <v>0</v>
      </c>
      <c r="D310" s="377">
        <f>'B) D RI'!AR311</f>
        <v>274</v>
      </c>
      <c r="E310" s="378">
        <f>'B) D RI'!S311</f>
        <v>74</v>
      </c>
      <c r="F310" s="18">
        <f>'B) D RI'!R311</f>
        <v>576195.89999999991</v>
      </c>
      <c r="G310" s="18">
        <f>'B) D RI'!U311</f>
        <v>7786.4310810810803</v>
      </c>
      <c r="H310" s="73">
        <f>'B) D RI'!T311</f>
        <v>536471.89999999991</v>
      </c>
      <c r="I310" s="18">
        <f t="shared" si="27"/>
        <v>14499.240540540539</v>
      </c>
      <c r="J310" s="18">
        <f t="shared" si="28"/>
        <v>23532.69787508656</v>
      </c>
      <c r="K310" s="18">
        <f t="shared" si="24"/>
        <v>14499.240540540539</v>
      </c>
      <c r="L310" s="18">
        <f t="shared" si="29"/>
        <v>9033.4573345460212</v>
      </c>
      <c r="M310" s="18">
        <f>'D) Ecrêtage'!N309</f>
        <v>7786.4310810810803</v>
      </c>
      <c r="N310" s="18">
        <f t="shared" si="25"/>
        <v>10510.666771610266</v>
      </c>
      <c r="O310" s="98">
        <f t="shared" si="26"/>
        <v>25009.907312150805</v>
      </c>
      <c r="P310" s="379"/>
      <c r="Q310" s="380"/>
      <c r="R310" s="379"/>
      <c r="T310" s="376"/>
      <c r="U310" s="381"/>
      <c r="V310" s="381"/>
      <c r="W310" s="382"/>
      <c r="X310" s="376"/>
      <c r="Y310" s="376"/>
      <c r="Z310" s="383"/>
    </row>
    <row r="311" spans="1:26" s="375" customFormat="1" x14ac:dyDescent="0.25">
      <c r="A311" s="391">
        <f>'A) Base RI'!A312</f>
        <v>5925</v>
      </c>
      <c r="B311" s="391" t="str">
        <f>'A) Base RI'!B312</f>
        <v>Orzens</v>
      </c>
      <c r="C311" s="404">
        <v>0</v>
      </c>
      <c r="D311" s="377">
        <f>'B) D RI'!AR312</f>
        <v>197</v>
      </c>
      <c r="E311" s="378">
        <f>'B) D RI'!S312</f>
        <v>79</v>
      </c>
      <c r="F311" s="18">
        <f>'B) D RI'!R312</f>
        <v>400529.79</v>
      </c>
      <c r="G311" s="18">
        <f>'B) D RI'!U312</f>
        <v>5069.9973417721512</v>
      </c>
      <c r="H311" s="73">
        <f>'B) D RI'!T312</f>
        <v>373707.99</v>
      </c>
      <c r="I311" s="18">
        <f t="shared" si="27"/>
        <v>9460.9617721518989</v>
      </c>
      <c r="J311" s="18">
        <f t="shared" si="28"/>
        <v>16919.494457635228</v>
      </c>
      <c r="K311" s="18">
        <f t="shared" si="24"/>
        <v>9460.9617721518989</v>
      </c>
      <c r="L311" s="18">
        <f t="shared" si="29"/>
        <v>7458.5326854833293</v>
      </c>
      <c r="M311" s="18">
        <f>'D) Ecrêtage'!N310</f>
        <v>5069.9973417721512</v>
      </c>
      <c r="N311" s="18">
        <f t="shared" si="25"/>
        <v>6843.835389719804</v>
      </c>
      <c r="O311" s="98">
        <f t="shared" si="26"/>
        <v>16304.797161871702</v>
      </c>
      <c r="P311" s="379"/>
      <c r="Q311" s="380"/>
      <c r="R311" s="379"/>
      <c r="T311" s="376"/>
      <c r="U311" s="381"/>
      <c r="V311" s="381"/>
      <c r="W311" s="382"/>
      <c r="X311" s="376"/>
      <c r="Y311" s="376"/>
      <c r="Z311" s="383"/>
    </row>
    <row r="312" spans="1:26" s="375" customFormat="1" x14ac:dyDescent="0.25">
      <c r="A312" s="391">
        <f>'A) Base RI'!A313</f>
        <v>5926</v>
      </c>
      <c r="B312" s="391" t="str">
        <f>'A) Base RI'!B313</f>
        <v>Pomy</v>
      </c>
      <c r="C312" s="404">
        <v>1</v>
      </c>
      <c r="D312" s="377">
        <f>'B) D RI'!AR313</f>
        <v>735</v>
      </c>
      <c r="E312" s="378">
        <f>'B) D RI'!S313</f>
        <v>71</v>
      </c>
      <c r="F312" s="18">
        <f>'B) D RI'!R313</f>
        <v>1570300.8099999998</v>
      </c>
      <c r="G312" s="18">
        <f>'B) D RI'!U313</f>
        <v>22116.912816901407</v>
      </c>
      <c r="H312" s="73">
        <f>'B) D RI'!T313</f>
        <v>1472650.8099999998</v>
      </c>
      <c r="I312" s="18">
        <f t="shared" si="27"/>
        <v>41483.121408450701</v>
      </c>
      <c r="J312" s="18">
        <f t="shared" si="28"/>
        <v>63126.03262112636</v>
      </c>
      <c r="K312" s="18">
        <f t="shared" si="24"/>
        <v>0</v>
      </c>
      <c r="L312" s="18">
        <f t="shared" si="29"/>
        <v>63126.03262112636</v>
      </c>
      <c r="M312" s="18">
        <f>'D) Ecrêtage'!N311</f>
        <v>22116.912816901407</v>
      </c>
      <c r="N312" s="18">
        <f t="shared" si="25"/>
        <v>29854.948719706801</v>
      </c>
      <c r="O312" s="98">
        <f t="shared" si="26"/>
        <v>29854.948719706801</v>
      </c>
      <c r="P312" s="379"/>
      <c r="Q312" s="380"/>
      <c r="R312" s="379"/>
      <c r="T312" s="376"/>
      <c r="U312" s="381"/>
      <c r="V312" s="381"/>
      <c r="W312" s="382"/>
      <c r="X312" s="376"/>
      <c r="Y312" s="376"/>
      <c r="Z312" s="383"/>
    </row>
    <row r="313" spans="1:26" s="375" customFormat="1" x14ac:dyDescent="0.25">
      <c r="A313" s="391">
        <f>'A) Base RI'!A314</f>
        <v>5928</v>
      </c>
      <c r="B313" s="391" t="str">
        <f>'A) Base RI'!B314</f>
        <v>Rovray</v>
      </c>
      <c r="C313" s="404">
        <v>0</v>
      </c>
      <c r="D313" s="377">
        <f>'B) D RI'!AR314</f>
        <v>165</v>
      </c>
      <c r="E313" s="378">
        <f>'B) D RI'!S314</f>
        <v>75</v>
      </c>
      <c r="F313" s="18">
        <f>'B) D RI'!R314</f>
        <v>308117.75</v>
      </c>
      <c r="G313" s="18">
        <f>'B) D RI'!U314</f>
        <v>4108.2366666666667</v>
      </c>
      <c r="H313" s="73">
        <f>'B) D RI'!T314</f>
        <v>291304.95</v>
      </c>
      <c r="I313" s="18">
        <f t="shared" si="27"/>
        <v>7768.1320000000005</v>
      </c>
      <c r="J313" s="18">
        <f t="shared" si="28"/>
        <v>14171.150180252856</v>
      </c>
      <c r="K313" s="18">
        <f t="shared" si="24"/>
        <v>7768.1320000000005</v>
      </c>
      <c r="L313" s="18">
        <f t="shared" si="29"/>
        <v>6403.0181802528559</v>
      </c>
      <c r="M313" s="18">
        <f>'D) Ecrêtage'!N312</f>
        <v>4108.2366666666667</v>
      </c>
      <c r="N313" s="18">
        <f t="shared" si="25"/>
        <v>5545.5838718152545</v>
      </c>
      <c r="O313" s="98">
        <f t="shared" si="26"/>
        <v>13313.715871815255</v>
      </c>
      <c r="P313" s="379"/>
      <c r="Q313" s="380"/>
      <c r="R313" s="379"/>
      <c r="T313" s="376"/>
      <c r="U313" s="381"/>
      <c r="V313" s="381"/>
      <c r="W313" s="382"/>
      <c r="X313" s="376"/>
      <c r="Y313" s="376"/>
      <c r="Z313" s="383"/>
    </row>
    <row r="314" spans="1:26" s="375" customFormat="1" x14ac:dyDescent="0.25">
      <c r="A314" s="391">
        <f>'A) Base RI'!A315</f>
        <v>5929</v>
      </c>
      <c r="B314" s="391" t="str">
        <f>'A) Base RI'!B315</f>
        <v>Suchy</v>
      </c>
      <c r="C314" s="404">
        <v>1</v>
      </c>
      <c r="D314" s="377">
        <f>'B) D RI'!AR315</f>
        <v>525</v>
      </c>
      <c r="E314" s="378">
        <f>'B) D RI'!S315</f>
        <v>68</v>
      </c>
      <c r="F314" s="18">
        <f>'B) D RI'!R315</f>
        <v>1099631.9233333333</v>
      </c>
      <c r="G314" s="18">
        <f>'B) D RI'!U315</f>
        <v>16171.057696078431</v>
      </c>
      <c r="H314" s="73">
        <f>'B) D RI'!T315</f>
        <v>1022515.34</v>
      </c>
      <c r="I314" s="18">
        <f t="shared" si="27"/>
        <v>30073.980588235292</v>
      </c>
      <c r="J314" s="18">
        <f t="shared" si="28"/>
        <v>45090.023300804547</v>
      </c>
      <c r="K314" s="18">
        <f t="shared" si="24"/>
        <v>0</v>
      </c>
      <c r="L314" s="18">
        <f t="shared" si="29"/>
        <v>45090.023300804547</v>
      </c>
      <c r="M314" s="18">
        <f>'D) Ecrêtage'!N313</f>
        <v>16171.057696078431</v>
      </c>
      <c r="N314" s="18">
        <f t="shared" si="25"/>
        <v>21828.819521814265</v>
      </c>
      <c r="O314" s="98">
        <f t="shared" si="26"/>
        <v>21828.819521814265</v>
      </c>
      <c r="P314" s="379"/>
      <c r="Q314" s="380"/>
      <c r="R314" s="379"/>
      <c r="T314" s="376"/>
      <c r="U314" s="381"/>
      <c r="V314" s="381"/>
      <c r="W314" s="382"/>
      <c r="X314" s="376"/>
      <c r="Y314" s="376"/>
      <c r="Z314" s="383"/>
    </row>
    <row r="315" spans="1:26" s="375" customFormat="1" x14ac:dyDescent="0.25">
      <c r="A315" s="391">
        <f>'A) Base RI'!A316</f>
        <v>5930</v>
      </c>
      <c r="B315" s="391" t="str">
        <f>'A) Base RI'!B316</f>
        <v>Suscévaz</v>
      </c>
      <c r="C315" s="404">
        <v>1</v>
      </c>
      <c r="D315" s="377">
        <f>'B) D RI'!AR316</f>
        <v>199</v>
      </c>
      <c r="E315" s="378">
        <f>'B) D RI'!S316</f>
        <v>66</v>
      </c>
      <c r="F315" s="18">
        <f>'B) D RI'!R316</f>
        <v>328249.50999999995</v>
      </c>
      <c r="G315" s="18">
        <f>'B) D RI'!U316</f>
        <v>4973.4774242424237</v>
      </c>
      <c r="H315" s="73">
        <f>'B) D RI'!T316</f>
        <v>302415.95999999996</v>
      </c>
      <c r="I315" s="18">
        <f t="shared" si="27"/>
        <v>9164.119999999999</v>
      </c>
      <c r="J315" s="18">
        <f t="shared" si="28"/>
        <v>17091.265974971626</v>
      </c>
      <c r="K315" s="18">
        <f t="shared" si="24"/>
        <v>0</v>
      </c>
      <c r="L315" s="18">
        <f t="shared" si="29"/>
        <v>17091.265974971626</v>
      </c>
      <c r="M315" s="18">
        <f>'D) Ecrêtage'!N314</f>
        <v>4973.4774242424237</v>
      </c>
      <c r="N315" s="18">
        <f t="shared" si="25"/>
        <v>6713.5460852343122</v>
      </c>
      <c r="O315" s="98">
        <f t="shared" si="26"/>
        <v>6713.5460852343122</v>
      </c>
      <c r="P315" s="379"/>
      <c r="Q315" s="380"/>
      <c r="R315" s="379"/>
      <c r="T315" s="376"/>
      <c r="U315" s="381"/>
      <c r="V315" s="381"/>
      <c r="W315" s="382"/>
      <c r="X315" s="376"/>
      <c r="Y315" s="376"/>
      <c r="Z315" s="383"/>
    </row>
    <row r="316" spans="1:26" s="375" customFormat="1" x14ac:dyDescent="0.25">
      <c r="A316" s="391">
        <f>'A) Base RI'!A317</f>
        <v>5931</v>
      </c>
      <c r="B316" s="391" t="str">
        <f>'A) Base RI'!B317</f>
        <v>Treycovagnes</v>
      </c>
      <c r="C316" s="404">
        <v>1</v>
      </c>
      <c r="D316" s="377">
        <f>'B) D RI'!AR317</f>
        <v>471</v>
      </c>
      <c r="E316" s="378">
        <f>'B) D RI'!S317</f>
        <v>77</v>
      </c>
      <c r="F316" s="18">
        <f>'B) D RI'!R317</f>
        <v>883553.74</v>
      </c>
      <c r="G316" s="18">
        <f>'B) D RI'!U317</f>
        <v>11474.723896103897</v>
      </c>
      <c r="H316" s="73">
        <f>'B) D RI'!T317</f>
        <v>814828.54</v>
      </c>
      <c r="I316" s="18">
        <f>+H316/E316*$I$5</f>
        <v>21164.377662337662</v>
      </c>
      <c r="J316" s="18">
        <f t="shared" si="28"/>
        <v>40452.192332721788</v>
      </c>
      <c r="K316" s="18">
        <f t="shared" si="24"/>
        <v>0</v>
      </c>
      <c r="L316" s="18">
        <f t="shared" si="29"/>
        <v>40452.192332721788</v>
      </c>
      <c r="M316" s="18">
        <f>'D) Ecrêtage'!N315</f>
        <v>11474.723896103897</v>
      </c>
      <c r="N316" s="18">
        <f t="shared" si="25"/>
        <v>15489.381195606275</v>
      </c>
      <c r="O316" s="98">
        <f t="shared" si="26"/>
        <v>15489.381195606275</v>
      </c>
      <c r="P316" s="379"/>
      <c r="Q316" s="380"/>
      <c r="R316" s="379"/>
      <c r="T316" s="376"/>
      <c r="U316" s="381"/>
      <c r="V316" s="381"/>
      <c r="W316" s="382"/>
      <c r="X316" s="376"/>
      <c r="Y316" s="376"/>
      <c r="Z316" s="383"/>
    </row>
    <row r="317" spans="1:26" s="375" customFormat="1" x14ac:dyDescent="0.25">
      <c r="A317" s="391">
        <f>'A) Base RI'!A318</f>
        <v>5932</v>
      </c>
      <c r="B317" s="391" t="str">
        <f>'A) Base RI'!B318</f>
        <v>Ursins</v>
      </c>
      <c r="C317" s="404">
        <v>0</v>
      </c>
      <c r="D317" s="377">
        <f>'B) D RI'!AR318</f>
        <v>208</v>
      </c>
      <c r="E317" s="378">
        <f>'B) D RI'!S318</f>
        <v>78</v>
      </c>
      <c r="F317" s="18">
        <f>'B) D RI'!R318</f>
        <v>410075.62</v>
      </c>
      <c r="G317" s="18">
        <f>'B) D RI'!U318</f>
        <v>5257.3797435897432</v>
      </c>
      <c r="H317" s="73">
        <f>'B) D RI'!T318</f>
        <v>383576.62</v>
      </c>
      <c r="I317" s="18">
        <f t="shared" si="27"/>
        <v>9835.2979487179491</v>
      </c>
      <c r="J317" s="18">
        <f t="shared" si="28"/>
        <v>17864.237802985419</v>
      </c>
      <c r="K317" s="18">
        <f t="shared" si="24"/>
        <v>9835.2979487179491</v>
      </c>
      <c r="L317" s="18">
        <f t="shared" si="29"/>
        <v>8028.9398542674699</v>
      </c>
      <c r="M317" s="18">
        <f>'D) Ecrêtage'!N316</f>
        <v>5257.3797435897432</v>
      </c>
      <c r="N317" s="18">
        <f t="shared" si="25"/>
        <v>7096.7772014253069</v>
      </c>
      <c r="O317" s="98">
        <f t="shared" si="26"/>
        <v>16932.075150143257</v>
      </c>
      <c r="P317" s="379"/>
      <c r="Q317" s="380"/>
      <c r="R317" s="379"/>
      <c r="T317" s="376"/>
      <c r="U317" s="381"/>
      <c r="V317" s="381"/>
      <c r="W317" s="382"/>
      <c r="X317" s="376"/>
      <c r="Y317" s="376"/>
      <c r="Z317" s="383"/>
    </row>
    <row r="318" spans="1:26" s="375" customFormat="1" x14ac:dyDescent="0.25">
      <c r="A318" s="391">
        <f>'A) Base RI'!A319</f>
        <v>5933</v>
      </c>
      <c r="B318" s="391" t="str">
        <f>'A) Base RI'!B319</f>
        <v>Valeyres-sous-Montagny</v>
      </c>
      <c r="C318" s="404">
        <v>0</v>
      </c>
      <c r="D318" s="377">
        <f>'B) D RI'!AR319</f>
        <v>642</v>
      </c>
      <c r="E318" s="378">
        <f>'B) D RI'!S319</f>
        <v>72</v>
      </c>
      <c r="F318" s="18">
        <f>'B) D RI'!R319</f>
        <v>1419285.16</v>
      </c>
      <c r="G318" s="18">
        <f>'B) D RI'!U319</f>
        <v>19712.293888888889</v>
      </c>
      <c r="H318" s="73">
        <f>'B) D RI'!T319</f>
        <v>1321412.4099999999</v>
      </c>
      <c r="I318" s="18">
        <f t="shared" si="27"/>
        <v>36705.900277777779</v>
      </c>
      <c r="J318" s="18">
        <f t="shared" si="28"/>
        <v>55138.65706498384</v>
      </c>
      <c r="K318" s="18">
        <f t="shared" si="24"/>
        <v>36705.900277777779</v>
      </c>
      <c r="L318" s="18">
        <f t="shared" si="29"/>
        <v>18432.756787206061</v>
      </c>
      <c r="M318" s="18">
        <f>'D) Ecrêtage'!N317</f>
        <v>19712.293888888889</v>
      </c>
      <c r="N318" s="18">
        <f t="shared" si="25"/>
        <v>26609.026678933125</v>
      </c>
      <c r="O318" s="98">
        <f t="shared" si="26"/>
        <v>63314.9269567109</v>
      </c>
      <c r="P318" s="379"/>
      <c r="Q318" s="380"/>
      <c r="R318" s="379"/>
      <c r="T318" s="376"/>
      <c r="U318" s="381"/>
      <c r="V318" s="381"/>
      <c r="W318" s="382"/>
      <c r="X318" s="376"/>
      <c r="Y318" s="376"/>
      <c r="Z318" s="383"/>
    </row>
    <row r="319" spans="1:26" s="375" customFormat="1" x14ac:dyDescent="0.25">
      <c r="A319" s="391">
        <f>'A) Base RI'!A320</f>
        <v>5934</v>
      </c>
      <c r="B319" s="391" t="str">
        <f>'A) Base RI'!B320</f>
        <v>Valeyres-sous-Ursins</v>
      </c>
      <c r="C319" s="404">
        <v>0</v>
      </c>
      <c r="D319" s="377">
        <f>'B) D RI'!AR320</f>
        <v>241</v>
      </c>
      <c r="E319" s="378">
        <f>'B) D RI'!S320</f>
        <v>78</v>
      </c>
      <c r="F319" s="18">
        <f>'B) D RI'!R320</f>
        <v>463712.02999999997</v>
      </c>
      <c r="G319" s="18">
        <f>'B) D RI'!U320</f>
        <v>5945.0260256410256</v>
      </c>
      <c r="H319" s="73">
        <f>'B) D RI'!T320</f>
        <v>436775.73</v>
      </c>
      <c r="I319" s="18">
        <f t="shared" si="27"/>
        <v>11199.377692307691</v>
      </c>
      <c r="J319" s="18">
        <f t="shared" si="28"/>
        <v>20698.467839035991</v>
      </c>
      <c r="K319" s="18">
        <f t="shared" si="24"/>
        <v>11199.377692307691</v>
      </c>
      <c r="L319" s="18">
        <f t="shared" si="29"/>
        <v>9499.0901467283002</v>
      </c>
      <c r="M319" s="18">
        <f>'D) Ecrêtage'!N318</f>
        <v>5945.0260256410256</v>
      </c>
      <c r="N319" s="18">
        <f t="shared" si="25"/>
        <v>8025.010027493583</v>
      </c>
      <c r="O319" s="98">
        <f t="shared" si="26"/>
        <v>19224.387719801274</v>
      </c>
      <c r="P319" s="379"/>
      <c r="Q319" s="380"/>
      <c r="R319" s="379"/>
      <c r="T319" s="376"/>
      <c r="U319" s="381"/>
      <c r="V319" s="381"/>
      <c r="W319" s="382"/>
      <c r="X319" s="376"/>
      <c r="Y319" s="376"/>
      <c r="Z319" s="383"/>
    </row>
    <row r="320" spans="1:26" s="375" customFormat="1" x14ac:dyDescent="0.25">
      <c r="A320" s="391">
        <f>'A) Base RI'!A321</f>
        <v>5935</v>
      </c>
      <c r="B320" s="391" t="str">
        <f>'A) Base RI'!B321</f>
        <v>Villars-Epeney</v>
      </c>
      <c r="C320" s="404">
        <v>0</v>
      </c>
      <c r="D320" s="377">
        <f>'B) D RI'!AR321</f>
        <v>89</v>
      </c>
      <c r="E320" s="378">
        <f>'B) D RI'!S321</f>
        <v>60</v>
      </c>
      <c r="F320" s="18">
        <f>'B) D RI'!R321</f>
        <v>238868.22000000006</v>
      </c>
      <c r="G320" s="18">
        <f>'B) D RI'!U321</f>
        <v>3981.1370000000011</v>
      </c>
      <c r="H320" s="73">
        <f>'B) D RI'!T321</f>
        <v>222548.27000000005</v>
      </c>
      <c r="I320" s="18">
        <f t="shared" si="27"/>
        <v>7418.2756666666683</v>
      </c>
      <c r="J320" s="18">
        <f t="shared" si="28"/>
        <v>7643.8325214697225</v>
      </c>
      <c r="K320" s="18">
        <f t="shared" si="24"/>
        <v>7418.2756666666683</v>
      </c>
      <c r="L320" s="18">
        <f t="shared" si="29"/>
        <v>225.55685480305419</v>
      </c>
      <c r="M320" s="18">
        <f>'D) Ecrêtage'!N319</f>
        <v>3981.1370000000011</v>
      </c>
      <c r="N320" s="18">
        <f t="shared" si="25"/>
        <v>5374.0158929549598</v>
      </c>
      <c r="O320" s="98">
        <f t="shared" si="26"/>
        <v>12792.291559621628</v>
      </c>
      <c r="P320" s="379"/>
      <c r="Q320" s="380"/>
      <c r="R320" s="379"/>
      <c r="T320" s="376"/>
      <c r="U320" s="381"/>
      <c r="V320" s="381"/>
      <c r="W320" s="382"/>
      <c r="X320" s="376"/>
      <c r="Y320" s="376"/>
      <c r="Z320" s="383"/>
    </row>
    <row r="321" spans="1:26" s="375" customFormat="1" x14ac:dyDescent="0.25">
      <c r="A321" s="391">
        <f>'A) Base RI'!A322</f>
        <v>5937</v>
      </c>
      <c r="B321" s="391" t="str">
        <f>'A) Base RI'!B322</f>
        <v>Vugelles-La Mothe</v>
      </c>
      <c r="C321" s="404">
        <v>0</v>
      </c>
      <c r="D321" s="377">
        <f>'B) D RI'!AR322</f>
        <v>137</v>
      </c>
      <c r="E321" s="378">
        <f>'B) D RI'!S322</f>
        <v>70</v>
      </c>
      <c r="F321" s="18">
        <f>'B) D RI'!R322</f>
        <v>145499.83428571429</v>
      </c>
      <c r="G321" s="18">
        <f>'B) D RI'!U322</f>
        <v>2078.5690612244898</v>
      </c>
      <c r="H321" s="73">
        <f>'B) D RI'!T322</f>
        <v>130942.12000000001</v>
      </c>
      <c r="I321" s="18">
        <f t="shared" si="27"/>
        <v>3741.203428571429</v>
      </c>
      <c r="J321" s="18">
        <f t="shared" si="28"/>
        <v>11766.34893754328</v>
      </c>
      <c r="K321" s="18">
        <f t="shared" si="24"/>
        <v>3741.203428571429</v>
      </c>
      <c r="L321" s="18">
        <f t="shared" si="29"/>
        <v>8025.1455089718511</v>
      </c>
      <c r="M321" s="18">
        <f>'D) Ecrêtage'!N320</f>
        <v>2078.5690612244898</v>
      </c>
      <c r="N321" s="18">
        <f t="shared" si="25"/>
        <v>2805.7972306968777</v>
      </c>
      <c r="O321" s="98">
        <f t="shared" si="26"/>
        <v>6547.0006592683067</v>
      </c>
      <c r="P321" s="379"/>
      <c r="Q321" s="380"/>
      <c r="R321" s="379"/>
      <c r="T321" s="376"/>
      <c r="U321" s="381"/>
      <c r="V321" s="381"/>
      <c r="W321" s="382"/>
      <c r="X321" s="376"/>
      <c r="Y321" s="376"/>
      <c r="Z321" s="383"/>
    </row>
    <row r="322" spans="1:26" s="375" customFormat="1" x14ac:dyDescent="0.25">
      <c r="A322" s="391">
        <f>'A) Base RI'!A323</f>
        <v>5938</v>
      </c>
      <c r="B322" s="391" t="str">
        <f>'A) Base RI'!B323</f>
        <v>Yverdon-les-Bains</v>
      </c>
      <c r="C322" s="404">
        <v>1</v>
      </c>
      <c r="D322" s="377">
        <f>'B) D RI'!AR323</f>
        <v>28972</v>
      </c>
      <c r="E322" s="378">
        <f>'B) D RI'!S323</f>
        <v>76.5</v>
      </c>
      <c r="F322" s="18">
        <f>'B) D RI'!R323</f>
        <v>57903092.319999993</v>
      </c>
      <c r="G322" s="18">
        <f>'B) D RI'!U323</f>
        <v>756903.16758169921</v>
      </c>
      <c r="H322" s="73">
        <f>'B) D RI'!T323</f>
        <v>53677454.419999994</v>
      </c>
      <c r="I322" s="18">
        <f>+H322/E322*$I$5</f>
        <v>1403332.1416993462</v>
      </c>
      <c r="J322" s="18">
        <f t="shared" si="28"/>
        <v>2488282.2001350652</v>
      </c>
      <c r="K322" s="18">
        <f t="shared" si="24"/>
        <v>0</v>
      </c>
      <c r="L322" s="18">
        <f t="shared" si="29"/>
        <v>2488282.2001350652</v>
      </c>
      <c r="M322" s="18">
        <f>'D) Ecrêtage'!N321</f>
        <v>756903.16758169921</v>
      </c>
      <c r="N322" s="18">
        <f t="shared" si="25"/>
        <v>1021720.5918841782</v>
      </c>
      <c r="O322" s="98">
        <f t="shared" si="26"/>
        <v>1021720.5918841782</v>
      </c>
      <c r="P322" s="379"/>
      <c r="Q322" s="380"/>
      <c r="R322" s="379"/>
      <c r="T322" s="376"/>
      <c r="U322" s="381"/>
      <c r="V322" s="381"/>
      <c r="W322" s="382"/>
      <c r="X322" s="376"/>
      <c r="Y322" s="376"/>
      <c r="Z322" s="383"/>
    </row>
    <row r="323" spans="1:26" s="375" customFormat="1" x14ac:dyDescent="0.25">
      <c r="A323" s="392">
        <f>'A) Base RI'!A324</f>
        <v>5939</v>
      </c>
      <c r="B323" s="391" t="str">
        <f>'A) Base RI'!B324</f>
        <v>Yvonand</v>
      </c>
      <c r="C323" s="404">
        <v>0</v>
      </c>
      <c r="D323" s="377">
        <f>'B) D RI'!AR324</f>
        <v>3095</v>
      </c>
      <c r="E323" s="378">
        <f>'B) D RI'!S324</f>
        <v>73</v>
      </c>
      <c r="F323" s="18">
        <f>'B) D RI'!R324</f>
        <v>5938030.3200000012</v>
      </c>
      <c r="G323" s="18">
        <f>'B) D RI'!U324</f>
        <v>81342.881095890421</v>
      </c>
      <c r="H323" s="73">
        <f>'B) D RI'!T324</f>
        <v>5532406.1700000009</v>
      </c>
      <c r="I323" s="43">
        <f t="shared" si="27"/>
        <v>151572.77178082193</v>
      </c>
      <c r="J323" s="43">
        <f t="shared" si="28"/>
        <v>265816.42307807633</v>
      </c>
      <c r="K323" s="18">
        <f t="shared" si="24"/>
        <v>151572.77178082193</v>
      </c>
      <c r="L323" s="43">
        <f t="shared" si="29"/>
        <v>114243.6512972544</v>
      </c>
      <c r="M323" s="43">
        <f>'D) Ecrêtage'!N322</f>
        <v>81342.881095890421</v>
      </c>
      <c r="N323" s="43">
        <f>+$N$5*M323</f>
        <v>109802.28406810932</v>
      </c>
      <c r="O323" s="172">
        <f t="shared" si="26"/>
        <v>261375.05584893125</v>
      </c>
      <c r="P323" s="379"/>
      <c r="Q323" s="380"/>
      <c r="R323" s="379"/>
      <c r="T323" s="376"/>
      <c r="U323" s="381"/>
      <c r="V323" s="381"/>
      <c r="W323" s="382"/>
      <c r="X323" s="376"/>
      <c r="Y323" s="376"/>
      <c r="Z323" s="383"/>
    </row>
    <row r="324" spans="1:26" s="375" customFormat="1" x14ac:dyDescent="0.25">
      <c r="A324" s="60"/>
      <c r="B324" s="213">
        <f>COUNTA(B6:B323)</f>
        <v>318</v>
      </c>
      <c r="C324" s="405">
        <f>SUM(C6:C323)</f>
        <v>54</v>
      </c>
      <c r="D324" s="395">
        <f>SUM(D6:D323)</f>
        <v>755369</v>
      </c>
      <c r="E324" s="395"/>
      <c r="F324" s="395">
        <f t="shared" ref="F324:H324" si="30">SUM(F6:F323)</f>
        <v>2359307186.0025568</v>
      </c>
      <c r="G324" s="395">
        <f t="shared" si="30"/>
        <v>34755744.815253168</v>
      </c>
      <c r="H324" s="395">
        <f t="shared" si="30"/>
        <v>2201790063.9399991</v>
      </c>
      <c r="I324" s="395">
        <f>SUM(I6:I323)</f>
        <v>64875439.639438905</v>
      </c>
      <c r="J324" s="395">
        <f>SUM(J6:J323)</f>
        <v>64875439.639438875</v>
      </c>
      <c r="K324" s="478">
        <f>SUM(K6:K323)</f>
        <v>20238179.414970305</v>
      </c>
      <c r="L324" s="397">
        <f>SUM(L6:L323)</f>
        <v>44637260.224468574</v>
      </c>
      <c r="M324" s="395">
        <f>SUM(M6:M323)</f>
        <v>33127335.331169713</v>
      </c>
      <c r="N324" s="406">
        <f>Paramètres!B59-K324</f>
        <v>44717583.585029691</v>
      </c>
      <c r="O324" s="399">
        <f>SUM(O6:O323)</f>
        <v>64955762.999999993</v>
      </c>
      <c r="P324" s="379"/>
      <c r="Q324" s="379"/>
      <c r="R324" s="379"/>
      <c r="T324" s="376"/>
      <c r="U324" s="376"/>
      <c r="V324" s="376"/>
      <c r="X324" s="376"/>
      <c r="Y324" s="376"/>
    </row>
    <row r="325" spans="1:26" s="375" customFormat="1" x14ac:dyDescent="0.25">
      <c r="A325" s="374"/>
      <c r="B325" s="374"/>
      <c r="C325" s="374"/>
      <c r="D325" s="374"/>
      <c r="E325" s="374"/>
      <c r="F325" s="374"/>
      <c r="G325" s="374"/>
      <c r="H325" s="374"/>
      <c r="I325" s="374"/>
      <c r="J325" s="374"/>
      <c r="K325" s="374"/>
      <c r="L325" s="384"/>
      <c r="M325" s="374"/>
      <c r="N325" s="384"/>
      <c r="O325" s="374"/>
      <c r="T325" s="376"/>
      <c r="U325" s="376"/>
      <c r="V325" s="376"/>
      <c r="X325" s="376"/>
      <c r="Y325" s="376"/>
    </row>
  </sheetData>
  <sheetProtection sheet="1" objects="1" scenarios="1"/>
  <protectedRanges>
    <protectedRange sqref="C6:C323" name="Plage1"/>
  </protectedRanges>
  <mergeCells count="13">
    <mergeCell ref="O4:O5"/>
    <mergeCell ref="B4:B5"/>
    <mergeCell ref="A4:A5"/>
    <mergeCell ref="M4:M5"/>
    <mergeCell ref="L4:L5"/>
    <mergeCell ref="K4:K5"/>
    <mergeCell ref="J4:J5"/>
    <mergeCell ref="H4:H5"/>
    <mergeCell ref="G4:G5"/>
    <mergeCell ref="F4:F5"/>
    <mergeCell ref="E4:E5"/>
    <mergeCell ref="D4:D5"/>
    <mergeCell ref="C4:C5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8" fitToHeight="9" orientation="landscape" r:id="rId1"/>
  <headerFooter alignWithMargins="0">
    <oddFooter>&amp;L&amp;8SCL - Division finances communales&amp;C- &amp;N -&amp;R&amp;8ASFiCo/FW/Juillet 2014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326"/>
  <sheetViews>
    <sheetView workbookViewId="0">
      <selection sqref="A1:E1"/>
    </sheetView>
  </sheetViews>
  <sheetFormatPr baseColWidth="10" defaultColWidth="10.75" defaultRowHeight="15" x14ac:dyDescent="0.25"/>
  <cols>
    <col min="1" max="1" width="6.875" style="24" customWidth="1"/>
    <col min="2" max="2" width="14.625" style="24" customWidth="1"/>
    <col min="3" max="3" width="4.875" style="24" customWidth="1"/>
    <col min="4" max="5" width="9.875" style="274" customWidth="1"/>
    <col min="6" max="6" width="9.875" style="24" customWidth="1"/>
    <col min="7" max="7" width="11" style="24" customWidth="1"/>
    <col min="8" max="8" width="10.625" style="24" customWidth="1"/>
    <col min="9" max="11" width="9.875" style="24" customWidth="1"/>
    <col min="12" max="12" width="11.625" style="24" customWidth="1"/>
    <col min="13" max="14" width="9.875" style="24" customWidth="1"/>
    <col min="15" max="16384" width="10.75" style="24"/>
  </cols>
  <sheetData>
    <row r="1" spans="1:14" s="75" customFormat="1" ht="20.25" customHeight="1" x14ac:dyDescent="0.2">
      <c r="A1" s="476" t="s">
        <v>548</v>
      </c>
      <c r="B1" s="477"/>
      <c r="C1" s="477"/>
      <c r="D1" s="477"/>
      <c r="E1" s="477"/>
      <c r="F1" s="123"/>
      <c r="G1" s="123"/>
      <c r="H1" s="123"/>
      <c r="I1" s="123"/>
      <c r="J1" s="123"/>
      <c r="K1" s="123"/>
      <c r="L1" s="123"/>
      <c r="M1" s="123"/>
      <c r="N1" s="123"/>
    </row>
    <row r="2" spans="1:14" s="75" customFormat="1" ht="20.25" customHeight="1" x14ac:dyDescent="0.2">
      <c r="A2" s="283" t="str">
        <f>Paramètres!B5</f>
        <v>Acomptes 2016</v>
      </c>
      <c r="C2" s="282"/>
      <c r="D2" s="282"/>
      <c r="E2" s="282"/>
      <c r="F2" s="123"/>
      <c r="G2" s="123"/>
      <c r="H2" s="123"/>
      <c r="I2" s="123"/>
      <c r="J2" s="123"/>
      <c r="K2" s="123"/>
      <c r="L2" s="123"/>
      <c r="M2" s="123"/>
      <c r="N2" s="123"/>
    </row>
    <row r="3" spans="1:14" x14ac:dyDescent="0.25">
      <c r="D3" s="24"/>
      <c r="E3" s="24"/>
    </row>
    <row r="4" spans="1:14" ht="53.25" customHeight="1" x14ac:dyDescent="0.25">
      <c r="A4" s="435" t="s">
        <v>53</v>
      </c>
      <c r="B4" s="435" t="s">
        <v>123</v>
      </c>
      <c r="C4" s="435" t="s">
        <v>409</v>
      </c>
      <c r="D4" s="468" t="s">
        <v>410</v>
      </c>
      <c r="E4" s="468" t="s">
        <v>490</v>
      </c>
      <c r="F4" s="468" t="s">
        <v>120</v>
      </c>
      <c r="G4" s="468" t="s">
        <v>181</v>
      </c>
      <c r="H4" s="468" t="s">
        <v>175</v>
      </c>
      <c r="I4" s="468" t="s">
        <v>464</v>
      </c>
      <c r="J4" s="468" t="s">
        <v>249</v>
      </c>
      <c r="K4" s="468" t="s">
        <v>162</v>
      </c>
      <c r="L4" s="468" t="s">
        <v>250</v>
      </c>
      <c r="M4" s="468" t="s">
        <v>578</v>
      </c>
      <c r="N4" s="474" t="s">
        <v>174</v>
      </c>
    </row>
    <row r="5" spans="1:14" ht="14.25" customHeight="1" x14ac:dyDescent="0.25">
      <c r="A5" s="436"/>
      <c r="B5" s="436"/>
      <c r="C5" s="436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75"/>
    </row>
    <row r="6" spans="1:14" s="279" customFormat="1" x14ac:dyDescent="0.25">
      <c r="A6" s="275">
        <f>'B) D RI'!A7</f>
        <v>5401</v>
      </c>
      <c r="B6" s="276" t="str">
        <f>'B) D RI'!B7</f>
        <v>Aigle</v>
      </c>
      <c r="C6" s="277">
        <f>'B) D RI'!S7</f>
        <v>67.5</v>
      </c>
      <c r="D6" s="278">
        <f>'B) D RI'!AR7</f>
        <v>9771</v>
      </c>
      <c r="E6" s="284">
        <f>'D) Ecrêtage'!N5</f>
        <v>256314.41797530872</v>
      </c>
      <c r="F6" s="288">
        <f>'E) Fact soc'!G11</f>
        <v>4440521.1435461491</v>
      </c>
      <c r="G6" s="288">
        <f>'H) Péréquation directe'!I16</f>
        <v>-3219884.266209472</v>
      </c>
      <c r="H6" s="288">
        <f>'I) Dépenses thématiques'!O5</f>
        <v>-2116892</v>
      </c>
      <c r="I6" s="288">
        <f>'K) Plafonnement aide'!J5</f>
        <v>0</v>
      </c>
      <c r="J6" s="288">
        <f>'J) Plafonnement effort'!I5</f>
        <v>0</v>
      </c>
      <c r="K6" s="288">
        <f>'L) Plafonnement taux'!Q6</f>
        <v>0</v>
      </c>
      <c r="L6" s="400">
        <f>F6+G6+H6+I6+J6+K6</f>
        <v>-896255.12266332284</v>
      </c>
      <c r="M6" s="401">
        <f>'M) Police'!O6</f>
        <v>345991.04622443515</v>
      </c>
      <c r="N6" s="400">
        <f>L6+M6</f>
        <v>-550264.07643888774</v>
      </c>
    </row>
    <row r="7" spans="1:14" s="279" customFormat="1" x14ac:dyDescent="0.25">
      <c r="A7" s="275">
        <f>'B) D RI'!A8</f>
        <v>5402</v>
      </c>
      <c r="B7" s="276" t="str">
        <f>'B) D RI'!B8</f>
        <v>Bex</v>
      </c>
      <c r="C7" s="277">
        <f>'B) D RI'!S8</f>
        <v>71</v>
      </c>
      <c r="D7" s="278">
        <f>'B) D RI'!AR8</f>
        <v>7007</v>
      </c>
      <c r="E7" s="285">
        <f>'D) Ecrêtage'!N6</f>
        <v>163724.47859154927</v>
      </c>
      <c r="F7" s="289">
        <f>'E) Fact soc'!G12</f>
        <v>3025899.8811206319</v>
      </c>
      <c r="G7" s="289">
        <f>'H) Péréquation directe'!I17</f>
        <v>-2844845.5873405635</v>
      </c>
      <c r="H7" s="289">
        <f>'I) Dépenses thématiques'!O6</f>
        <v>-1972140</v>
      </c>
      <c r="I7" s="289">
        <f>'K) Plafonnement aide'!J6</f>
        <v>0</v>
      </c>
      <c r="J7" s="289">
        <f>'J) Plafonnement effort'!I6</f>
        <v>0</v>
      </c>
      <c r="K7" s="289">
        <f>'L) Plafonnement taux'!Q7</f>
        <v>0</v>
      </c>
      <c r="L7" s="401">
        <f t="shared" ref="L7:L61" si="0">F7+G7+H7+I7+J7+K7</f>
        <v>-1791085.7062199316</v>
      </c>
      <c r="M7" s="401">
        <f>'M) Police'!O7</f>
        <v>221006.69984900032</v>
      </c>
      <c r="N7" s="401">
        <f t="shared" ref="N7:N70" si="1">L7+M7</f>
        <v>-1570079.0063709314</v>
      </c>
    </row>
    <row r="8" spans="1:14" s="279" customFormat="1" x14ac:dyDescent="0.25">
      <c r="A8" s="275">
        <f>'B) D RI'!A9</f>
        <v>5403</v>
      </c>
      <c r="B8" s="276" t="str">
        <f>'B) D RI'!B9</f>
        <v>Chessel</v>
      </c>
      <c r="C8" s="277">
        <f>'B) D RI'!S9</f>
        <v>76</v>
      </c>
      <c r="D8" s="278">
        <f>'B) D RI'!AR9</f>
        <v>362</v>
      </c>
      <c r="E8" s="285">
        <f>'D) Ecrêtage'!N7</f>
        <v>7826.6322368421061</v>
      </c>
      <c r="F8" s="289">
        <f>'E) Fact soc'!G13</f>
        <v>138943.90732521223</v>
      </c>
      <c r="G8" s="289">
        <f>'H) Péréquation directe'!I18</f>
        <v>-75890.314937618852</v>
      </c>
      <c r="H8" s="289">
        <f>'I) Dépenses thématiques'!O7</f>
        <v>-35998</v>
      </c>
      <c r="I8" s="289">
        <f>'K) Plafonnement aide'!J7</f>
        <v>0</v>
      </c>
      <c r="J8" s="289">
        <f>'J) Plafonnement effort'!I7</f>
        <v>0</v>
      </c>
      <c r="K8" s="289">
        <f>'L) Plafonnement taux'!Q8</f>
        <v>0</v>
      </c>
      <c r="L8" s="401">
        <f t="shared" si="0"/>
        <v>27055.59238759338</v>
      </c>
      <c r="M8" s="401">
        <f>'M) Police'!O8</f>
        <v>24995.456774707811</v>
      </c>
      <c r="N8" s="401">
        <f t="shared" si="1"/>
        <v>52051.049162301191</v>
      </c>
    </row>
    <row r="9" spans="1:14" s="279" customFormat="1" x14ac:dyDescent="0.25">
      <c r="A9" s="275">
        <f>'B) D RI'!A10</f>
        <v>5404</v>
      </c>
      <c r="B9" s="276" t="str">
        <f>'B) D RI'!B10</f>
        <v>Corbeyrier</v>
      </c>
      <c r="C9" s="277">
        <f>'B) D RI'!S10</f>
        <v>70</v>
      </c>
      <c r="D9" s="278">
        <f>'B) D RI'!AR10</f>
        <v>421</v>
      </c>
      <c r="E9" s="285">
        <f>'D) Ecrêtage'!N8</f>
        <v>8762.5650952380947</v>
      </c>
      <c r="F9" s="289">
        <f>'E) Fact soc'!G14</f>
        <v>222625.02159776547</v>
      </c>
      <c r="G9" s="289">
        <f>'H) Péréquation directe'!I19</f>
        <v>-68566.115632092813</v>
      </c>
      <c r="H9" s="289">
        <f>'I) Dépenses thématiques'!O8</f>
        <v>-218305</v>
      </c>
      <c r="I9" s="289">
        <f>'K) Plafonnement aide'!J8</f>
        <v>0</v>
      </c>
      <c r="J9" s="289">
        <f>'J) Plafonnement effort'!I8</f>
        <v>0</v>
      </c>
      <c r="K9" s="289">
        <f>'L) Plafonnement taux'!Q9</f>
        <v>0</v>
      </c>
      <c r="L9" s="401">
        <f t="shared" si="0"/>
        <v>-64246.09403432734</v>
      </c>
      <c r="M9" s="401">
        <f>'M) Police'!O9</f>
        <v>27425.737280394278</v>
      </c>
      <c r="N9" s="401">
        <f t="shared" si="1"/>
        <v>-36820.356753933062</v>
      </c>
    </row>
    <row r="10" spans="1:14" s="279" customFormat="1" x14ac:dyDescent="0.25">
      <c r="A10" s="275">
        <f>'B) D RI'!A11</f>
        <v>5405</v>
      </c>
      <c r="B10" s="276" t="str">
        <f>'B) D RI'!B11</f>
        <v>Gryon</v>
      </c>
      <c r="C10" s="277">
        <f>'B) D RI'!S11</f>
        <v>75</v>
      </c>
      <c r="D10" s="278">
        <f>'B) D RI'!AR11</f>
        <v>1248</v>
      </c>
      <c r="E10" s="285">
        <f>'D) Ecrêtage'!N9</f>
        <v>67187.701777777766</v>
      </c>
      <c r="F10" s="289">
        <f>'E) Fact soc'!G15</f>
        <v>1396957.1373063545</v>
      </c>
      <c r="G10" s="289">
        <f>'H) Péréquation directe'!I20</f>
        <v>1059928</v>
      </c>
      <c r="H10" s="289">
        <f>'I) Dépenses thématiques'!O9</f>
        <v>-617240</v>
      </c>
      <c r="I10" s="289">
        <f>'K) Plafonnement aide'!J9</f>
        <v>0</v>
      </c>
      <c r="J10" s="289">
        <f>'J) Plafonnement effort'!I9</f>
        <v>0</v>
      </c>
      <c r="K10" s="289">
        <f>'L) Plafonnement taux'!Q10</f>
        <v>0</v>
      </c>
      <c r="L10" s="401">
        <f t="shared" si="0"/>
        <v>1839645.1373063545</v>
      </c>
      <c r="M10" s="401">
        <f>'M) Police'!O10</f>
        <v>197880.06434605984</v>
      </c>
      <c r="N10" s="401">
        <f t="shared" si="1"/>
        <v>2037525.2016524144</v>
      </c>
    </row>
    <row r="11" spans="1:14" s="279" customFormat="1" x14ac:dyDescent="0.25">
      <c r="A11" s="275">
        <f>'B) D RI'!A12</f>
        <v>5406</v>
      </c>
      <c r="B11" s="276" t="str">
        <f>'B) D RI'!B12</f>
        <v>Lavey-Morcles</v>
      </c>
      <c r="C11" s="277">
        <f>'B) D RI'!S12</f>
        <v>71</v>
      </c>
      <c r="D11" s="278">
        <f>'B) D RI'!AR12</f>
        <v>885</v>
      </c>
      <c r="E11" s="285">
        <f>'D) Ecrêtage'!N10</f>
        <v>19209.951419284946</v>
      </c>
      <c r="F11" s="289">
        <f>'E) Fact soc'!G16</f>
        <v>347821.40268950962</v>
      </c>
      <c r="G11" s="289">
        <f>'H) Péréquation directe'!I21</f>
        <v>-125078.72172126267</v>
      </c>
      <c r="H11" s="289">
        <f>'I) Dépenses thématiques'!O10</f>
        <v>-80517</v>
      </c>
      <c r="I11" s="289">
        <f>'K) Plafonnement aide'!J10</f>
        <v>0</v>
      </c>
      <c r="J11" s="289">
        <f>'J) Plafonnement effort'!I10</f>
        <v>0</v>
      </c>
      <c r="K11" s="289">
        <f>'L) Plafonnement taux'!Q11</f>
        <v>0</v>
      </c>
      <c r="L11" s="401">
        <f t="shared" si="0"/>
        <v>142225.68096824695</v>
      </c>
      <c r="M11" s="401">
        <f>'M) Police'!O11</f>
        <v>60502.48814978428</v>
      </c>
      <c r="N11" s="401">
        <f t="shared" si="1"/>
        <v>202728.16911803122</v>
      </c>
    </row>
    <row r="12" spans="1:14" s="279" customFormat="1" x14ac:dyDescent="0.25">
      <c r="A12" s="275">
        <f>'B) D RI'!A13</f>
        <v>5407</v>
      </c>
      <c r="B12" s="276" t="str">
        <f>'B) D RI'!B13</f>
        <v>Leysin</v>
      </c>
      <c r="C12" s="277">
        <f>'B) D RI'!S13</f>
        <v>78</v>
      </c>
      <c r="D12" s="278">
        <f>'B) D RI'!AR13</f>
        <v>4050</v>
      </c>
      <c r="E12" s="285">
        <f>'D) Ecrêtage'!N11</f>
        <v>99721.08303418805</v>
      </c>
      <c r="F12" s="289">
        <f>'E) Fact soc'!G17</f>
        <v>1986054.966392369</v>
      </c>
      <c r="G12" s="289">
        <f>'H) Péréquation directe'!I22</f>
        <v>-1359557.7489335244</v>
      </c>
      <c r="H12" s="289">
        <f>'I) Dépenses thématiques'!O11</f>
        <v>-2043057</v>
      </c>
      <c r="I12" s="289">
        <f>'K) Plafonnement aide'!J11</f>
        <v>0</v>
      </c>
      <c r="J12" s="289">
        <f>'J) Plafonnement effort'!I11</f>
        <v>0</v>
      </c>
      <c r="K12" s="289">
        <f>'L) Plafonnement taux'!Q12</f>
        <v>0</v>
      </c>
      <c r="L12" s="401">
        <f t="shared" si="0"/>
        <v>-1416559.7825411553</v>
      </c>
      <c r="M12" s="401">
        <f>'M) Police'!O12</f>
        <v>312678.65055144741</v>
      </c>
      <c r="N12" s="401">
        <f t="shared" si="1"/>
        <v>-1103881.1319897079</v>
      </c>
    </row>
    <row r="13" spans="1:14" s="279" customFormat="1" x14ac:dyDescent="0.25">
      <c r="A13" s="275">
        <f>'B) D RI'!A14</f>
        <v>5408</v>
      </c>
      <c r="B13" s="276" t="str">
        <f>'B) D RI'!B14</f>
        <v>Noville</v>
      </c>
      <c r="C13" s="277">
        <f>'B) D RI'!S14</f>
        <v>78.5</v>
      </c>
      <c r="D13" s="278">
        <f>'B) D RI'!AR14</f>
        <v>971</v>
      </c>
      <c r="E13" s="285">
        <f>'D) Ecrêtage'!N12</f>
        <v>27782.072271762208</v>
      </c>
      <c r="F13" s="289">
        <f>'E) Fact soc'!G18</f>
        <v>512311.31256617577</v>
      </c>
      <c r="G13" s="289">
        <f>'H) Péréquation directe'!I23</f>
        <v>55623.888789555465</v>
      </c>
      <c r="H13" s="289">
        <f>'I) Dépenses thématiques'!O12</f>
        <v>-192341</v>
      </c>
      <c r="I13" s="289">
        <f>'K) Plafonnement aide'!J12</f>
        <v>0</v>
      </c>
      <c r="J13" s="289">
        <f>'J) Plafonnement effort'!I12</f>
        <v>0</v>
      </c>
      <c r="K13" s="289">
        <f>'L) Plafonnement taux'!Q13</f>
        <v>0</v>
      </c>
      <c r="L13" s="401">
        <f t="shared" si="0"/>
        <v>375594.20135573123</v>
      </c>
      <c r="M13" s="401">
        <f>'M) Police'!O13</f>
        <v>89382.657913168412</v>
      </c>
      <c r="N13" s="401">
        <f t="shared" si="1"/>
        <v>464976.85926889966</v>
      </c>
    </row>
    <row r="14" spans="1:14" s="279" customFormat="1" x14ac:dyDescent="0.25">
      <c r="A14" s="275">
        <f>'B) D RI'!A15</f>
        <v>5409</v>
      </c>
      <c r="B14" s="276" t="str">
        <f>'B) D RI'!B15</f>
        <v>Ollon</v>
      </c>
      <c r="C14" s="277">
        <f>'B) D RI'!S15</f>
        <v>68</v>
      </c>
      <c r="D14" s="278">
        <f>'B) D RI'!AR15</f>
        <v>7152</v>
      </c>
      <c r="E14" s="285">
        <f>'D) Ecrêtage'!N13</f>
        <v>373016.06252262433</v>
      </c>
      <c r="F14" s="289">
        <f>'E) Fact soc'!G19</f>
        <v>6998026.0375354476</v>
      </c>
      <c r="G14" s="289">
        <f>'H) Péréquation directe'!I24</f>
        <v>3830446</v>
      </c>
      <c r="H14" s="289">
        <f>'I) Dépenses thématiques'!O13</f>
        <v>-1770647</v>
      </c>
      <c r="I14" s="289">
        <f>'K) Plafonnement aide'!J13</f>
        <v>0</v>
      </c>
      <c r="J14" s="289">
        <f>'J) Plafonnement effort'!I13</f>
        <v>0</v>
      </c>
      <c r="K14" s="289">
        <f>'L) Plafonnement taux'!Q14</f>
        <v>0</v>
      </c>
      <c r="L14" s="401">
        <f t="shared" si="0"/>
        <v>9057825.0375354476</v>
      </c>
      <c r="M14" s="401">
        <f>'M) Police'!O14</f>
        <v>503523.05090833682</v>
      </c>
      <c r="N14" s="401">
        <f t="shared" si="1"/>
        <v>9561348.088443784</v>
      </c>
    </row>
    <row r="15" spans="1:14" s="279" customFormat="1" x14ac:dyDescent="0.25">
      <c r="A15" s="275">
        <f>'B) D RI'!A16</f>
        <v>5410</v>
      </c>
      <c r="B15" s="276" t="str">
        <f>'B) D RI'!B16</f>
        <v>Ormont-Dessous</v>
      </c>
      <c r="C15" s="277">
        <f>'B) D RI'!S16</f>
        <v>78.5</v>
      </c>
      <c r="D15" s="278">
        <f>'B) D RI'!AR16</f>
        <v>1072</v>
      </c>
      <c r="E15" s="285">
        <f>'D) Ecrêtage'!N14</f>
        <v>31634.392526539275</v>
      </c>
      <c r="F15" s="289">
        <f>'E) Fact soc'!G20</f>
        <v>594135.29369914043</v>
      </c>
      <c r="G15" s="289">
        <f>'H) Péréquation directe'!I25</f>
        <v>84861.648531836516</v>
      </c>
      <c r="H15" s="289">
        <f>'I) Dépenses thématiques'!O14</f>
        <v>-802997</v>
      </c>
      <c r="I15" s="289">
        <f>'K) Plafonnement aide'!J14</f>
        <v>0</v>
      </c>
      <c r="J15" s="289">
        <f>'J) Plafonnement effort'!I14</f>
        <v>0</v>
      </c>
      <c r="K15" s="289">
        <f>'L) Plafonnement taux'!Q15</f>
        <v>0</v>
      </c>
      <c r="L15" s="401">
        <f t="shared" si="0"/>
        <v>-124000.05776902311</v>
      </c>
      <c r="M15" s="401">
        <f>'M) Police'!O15</f>
        <v>97491.415765783895</v>
      </c>
      <c r="N15" s="401">
        <f t="shared" si="1"/>
        <v>-26508.64200323922</v>
      </c>
    </row>
    <row r="16" spans="1:14" s="279" customFormat="1" x14ac:dyDescent="0.25">
      <c r="A16" s="275">
        <f>'B) D RI'!A17</f>
        <v>5411</v>
      </c>
      <c r="B16" s="276" t="str">
        <f>'B) D RI'!B17</f>
        <v>Ormont-Dessus</v>
      </c>
      <c r="C16" s="277">
        <f>'B) D RI'!S17</f>
        <v>74</v>
      </c>
      <c r="D16" s="278">
        <f>'B) D RI'!AR17</f>
        <v>1457</v>
      </c>
      <c r="E16" s="285">
        <f>'D) Ecrêtage'!N15</f>
        <v>68022.060675675675</v>
      </c>
      <c r="F16" s="289">
        <f>'E) Fact soc'!G21</f>
        <v>1341369.5469881108</v>
      </c>
      <c r="G16" s="289">
        <f>'H) Péréquation directe'!I26</f>
        <v>1002260</v>
      </c>
      <c r="H16" s="289">
        <f>'I) Dépenses thématiques'!O15</f>
        <v>-943577</v>
      </c>
      <c r="I16" s="289">
        <f>'K) Plafonnement aide'!J15</f>
        <v>0</v>
      </c>
      <c r="J16" s="289">
        <f>'J) Plafonnement effort'!I15</f>
        <v>0</v>
      </c>
      <c r="K16" s="289">
        <f>'L) Plafonnement taux'!Q16</f>
        <v>0</v>
      </c>
      <c r="L16" s="401">
        <f t="shared" si="0"/>
        <v>1400052.546988111</v>
      </c>
      <c r="M16" s="401">
        <f>'M) Police'!O16</f>
        <v>207573.00758167455</v>
      </c>
      <c r="N16" s="401">
        <f t="shared" si="1"/>
        <v>1607625.5545697855</v>
      </c>
    </row>
    <row r="17" spans="1:14" s="279" customFormat="1" x14ac:dyDescent="0.25">
      <c r="A17" s="275">
        <f>'B) D RI'!A18</f>
        <v>5412</v>
      </c>
      <c r="B17" s="276" t="str">
        <f>'B) D RI'!B18</f>
        <v>Rennaz</v>
      </c>
      <c r="C17" s="277">
        <f>'B) D RI'!S18</f>
        <v>63.5</v>
      </c>
      <c r="D17" s="278">
        <f>'B) D RI'!AR18</f>
        <v>802</v>
      </c>
      <c r="E17" s="285">
        <f>'D) Ecrêtage'!N16</f>
        <v>24549.662992125981</v>
      </c>
      <c r="F17" s="289">
        <f>'E) Fact soc'!G22</f>
        <v>579628.97377734375</v>
      </c>
      <c r="G17" s="289">
        <f>'H) Péréquation directe'!I27</f>
        <v>204972.69728180746</v>
      </c>
      <c r="H17" s="289">
        <f>'I) Dépenses thématiques'!O16</f>
        <v>-46147</v>
      </c>
      <c r="I17" s="289">
        <f>'K) Plafonnement aide'!J16</f>
        <v>0</v>
      </c>
      <c r="J17" s="289">
        <f>'J) Plafonnement effort'!I16</f>
        <v>0</v>
      </c>
      <c r="K17" s="289">
        <f>'L) Plafonnement taux'!Q17</f>
        <v>0</v>
      </c>
      <c r="L17" s="401">
        <f t="shared" si="0"/>
        <v>738454.67105915118</v>
      </c>
      <c r="M17" s="401">
        <f>'M) Police'!O17</f>
        <v>76904.671048143689</v>
      </c>
      <c r="N17" s="401">
        <f t="shared" si="1"/>
        <v>815359.34210729483</v>
      </c>
    </row>
    <row r="18" spans="1:14" s="279" customFormat="1" x14ac:dyDescent="0.25">
      <c r="A18" s="275">
        <f>'B) D RI'!A19</f>
        <v>5413</v>
      </c>
      <c r="B18" s="276" t="str">
        <f>'B) D RI'!B19</f>
        <v>Roche</v>
      </c>
      <c r="C18" s="277">
        <f>'B) D RI'!S19</f>
        <v>68</v>
      </c>
      <c r="D18" s="278">
        <f>'B) D RI'!AR19</f>
        <v>1499</v>
      </c>
      <c r="E18" s="285">
        <f>'D) Ecrêtage'!N17</f>
        <v>35383.920882352941</v>
      </c>
      <c r="F18" s="289">
        <f>'E) Fact soc'!G23</f>
        <v>734599.73219872103</v>
      </c>
      <c r="G18" s="289">
        <f>'H) Péréquation directe'!I28</f>
        <v>-176370.23981076607</v>
      </c>
      <c r="H18" s="289">
        <f>'I) Dépenses thématiques'!O17</f>
        <v>0</v>
      </c>
      <c r="I18" s="289">
        <f>'K) Plafonnement aide'!J17</f>
        <v>0</v>
      </c>
      <c r="J18" s="289">
        <f>'J) Plafonnement effort'!I17</f>
        <v>0</v>
      </c>
      <c r="K18" s="289">
        <f>'L) Plafonnement taux'!Q18</f>
        <v>0</v>
      </c>
      <c r="L18" s="401">
        <f t="shared" si="0"/>
        <v>558229.49238795496</v>
      </c>
      <c r="M18" s="401">
        <f>'M) Police'!O18</f>
        <v>111776.5378087182</v>
      </c>
      <c r="N18" s="401">
        <f t="shared" si="1"/>
        <v>670006.03019667312</v>
      </c>
    </row>
    <row r="19" spans="1:14" s="279" customFormat="1" x14ac:dyDescent="0.25">
      <c r="A19" s="275">
        <f>'B) D RI'!A20</f>
        <v>5414</v>
      </c>
      <c r="B19" s="276" t="str">
        <f>'B) D RI'!B20</f>
        <v>Villeneuve</v>
      </c>
      <c r="C19" s="277">
        <f>'B) D RI'!S20</f>
        <v>69</v>
      </c>
      <c r="D19" s="278">
        <f>'B) D RI'!AR20</f>
        <v>5188</v>
      </c>
      <c r="E19" s="285">
        <f>'D) Ecrêtage'!N18</f>
        <v>178367.91043478262</v>
      </c>
      <c r="F19" s="289">
        <f>'E) Fact soc'!G24</f>
        <v>3580698.8634700216</v>
      </c>
      <c r="G19" s="289">
        <f>'H) Péréquation directe'!I29</f>
        <v>466121.41543429904</v>
      </c>
      <c r="H19" s="289">
        <f>'I) Dépenses thématiques'!O18</f>
        <v>-1289841</v>
      </c>
      <c r="I19" s="289">
        <f>'K) Plafonnement aide'!J18</f>
        <v>0</v>
      </c>
      <c r="J19" s="289">
        <f>'J) Plafonnement effort'!I18</f>
        <v>0</v>
      </c>
      <c r="K19" s="289">
        <f>'L) Plafonnement taux'!Q19</f>
        <v>0</v>
      </c>
      <c r="L19" s="401">
        <f t="shared" si="0"/>
        <v>2756979.2789043207</v>
      </c>
      <c r="M19" s="401">
        <f>'M) Police'!O19</f>
        <v>567421.80537908257</v>
      </c>
      <c r="N19" s="401">
        <f t="shared" si="1"/>
        <v>3324401.0842834031</v>
      </c>
    </row>
    <row r="20" spans="1:14" s="279" customFormat="1" x14ac:dyDescent="0.25">
      <c r="A20" s="275">
        <f>'B) D RI'!A21</f>
        <v>5415</v>
      </c>
      <c r="B20" s="276" t="str">
        <f>'B) D RI'!B21</f>
        <v>Yvorne</v>
      </c>
      <c r="C20" s="277">
        <f>'B) D RI'!S21</f>
        <v>68.5</v>
      </c>
      <c r="D20" s="278">
        <f>'B) D RI'!AR21</f>
        <v>1039</v>
      </c>
      <c r="E20" s="285">
        <f>'D) Ecrêtage'!N19</f>
        <v>40073.521995133822</v>
      </c>
      <c r="F20" s="289">
        <f>'E) Fact soc'!G25</f>
        <v>754084.6761665754</v>
      </c>
      <c r="G20" s="289">
        <f>'H) Péréquation directe'!I30</f>
        <v>527438.67777046515</v>
      </c>
      <c r="H20" s="289">
        <f>'I) Dépenses thématiques'!O19</f>
        <v>-369773</v>
      </c>
      <c r="I20" s="289">
        <f>'K) Plafonnement aide'!J19</f>
        <v>0</v>
      </c>
      <c r="J20" s="289">
        <f>'J) Plafonnement effort'!I19</f>
        <v>0</v>
      </c>
      <c r="K20" s="289">
        <f>'L) Plafonnement taux'!Q20</f>
        <v>0</v>
      </c>
      <c r="L20" s="401">
        <f t="shared" si="0"/>
        <v>911750.35393704055</v>
      </c>
      <c r="M20" s="401">
        <f>'M) Police'!O20</f>
        <v>128181.72308252612</v>
      </c>
      <c r="N20" s="401">
        <f t="shared" si="1"/>
        <v>1039932.0770195667</v>
      </c>
    </row>
    <row r="21" spans="1:14" s="279" customFormat="1" x14ac:dyDescent="0.25">
      <c r="A21" s="275">
        <f>'B) D RI'!A22</f>
        <v>5421</v>
      </c>
      <c r="B21" s="276" t="str">
        <f>'B) D RI'!B22</f>
        <v>Apples</v>
      </c>
      <c r="C21" s="277">
        <f>'B) D RI'!S22</f>
        <v>71</v>
      </c>
      <c r="D21" s="278">
        <f>'B) D RI'!AR22</f>
        <v>1341</v>
      </c>
      <c r="E21" s="285">
        <f>'D) Ecrêtage'!N20</f>
        <v>49174.834507042251</v>
      </c>
      <c r="F21" s="289">
        <f>'E) Fact soc'!G26</f>
        <v>872356.95204905374</v>
      </c>
      <c r="G21" s="289">
        <f>'H) Péréquation directe'!I31</f>
        <v>499930.86134767218</v>
      </c>
      <c r="H21" s="289">
        <f>'I) Dépenses thématiques'!O20</f>
        <v>-132904</v>
      </c>
      <c r="I21" s="289">
        <f>'K) Plafonnement aide'!J20</f>
        <v>0</v>
      </c>
      <c r="J21" s="289">
        <f>'J) Plafonnement effort'!I20</f>
        <v>0</v>
      </c>
      <c r="K21" s="289">
        <f>'L) Plafonnement taux'!Q21</f>
        <v>0</v>
      </c>
      <c r="L21" s="401">
        <f t="shared" si="0"/>
        <v>1239383.8133967258</v>
      </c>
      <c r="M21" s="401">
        <f>'M) Police'!O21</f>
        <v>157693.23915767617</v>
      </c>
      <c r="N21" s="401">
        <f t="shared" si="1"/>
        <v>1397077.052554402</v>
      </c>
    </row>
    <row r="22" spans="1:14" s="279" customFormat="1" x14ac:dyDescent="0.25">
      <c r="A22" s="275">
        <f>'B) D RI'!A23</f>
        <v>5422</v>
      </c>
      <c r="B22" s="276" t="str">
        <f>'B) D RI'!B23</f>
        <v>Aubonne</v>
      </c>
      <c r="C22" s="277">
        <f>'B) D RI'!S23</f>
        <v>68</v>
      </c>
      <c r="D22" s="278">
        <f>'B) D RI'!AR23</f>
        <v>3051</v>
      </c>
      <c r="E22" s="285">
        <f>'D) Ecrêtage'!N21</f>
        <v>220314.48888331067</v>
      </c>
      <c r="F22" s="289">
        <f>'E) Fact soc'!G27</f>
        <v>6300165.7399612498</v>
      </c>
      <c r="G22" s="289">
        <f>'H) Péréquation directe'!I32</f>
        <v>3262632</v>
      </c>
      <c r="H22" s="289">
        <f>'I) Dépenses thématiques'!O21</f>
        <v>0</v>
      </c>
      <c r="I22" s="289">
        <f>'K) Plafonnement aide'!J21</f>
        <v>0</v>
      </c>
      <c r="J22" s="289">
        <f>'J) Plafonnement effort'!I21</f>
        <v>0</v>
      </c>
      <c r="K22" s="289">
        <f>'L) Plafonnement taux'!Q22</f>
        <v>0</v>
      </c>
      <c r="L22" s="401">
        <f t="shared" si="0"/>
        <v>9562797.7399612498</v>
      </c>
      <c r="M22" s="401">
        <f>'M) Police'!O22</f>
        <v>559433.2852851419</v>
      </c>
      <c r="N22" s="401">
        <f t="shared" si="1"/>
        <v>10122231.025246391</v>
      </c>
    </row>
    <row r="23" spans="1:14" s="279" customFormat="1" x14ac:dyDescent="0.25">
      <c r="A23" s="275">
        <f>'B) D RI'!A24</f>
        <v>5423</v>
      </c>
      <c r="B23" s="276" t="str">
        <f>'B) D RI'!B24</f>
        <v>Ballens</v>
      </c>
      <c r="C23" s="277">
        <f>'B) D RI'!S24</f>
        <v>69</v>
      </c>
      <c r="D23" s="278">
        <f>'B) D RI'!AR24</f>
        <v>507</v>
      </c>
      <c r="E23" s="285">
        <f>'D) Ecrêtage'!N22</f>
        <v>16056.117971014495</v>
      </c>
      <c r="F23" s="289">
        <f>'E) Fact soc'!G28</f>
        <v>254934.99562344252</v>
      </c>
      <c r="G23" s="289">
        <f>'H) Péréquation directe'!I33</f>
        <v>130230.20288409854</v>
      </c>
      <c r="H23" s="289">
        <f>'I) Dépenses thématiques'!O22</f>
        <v>-53029</v>
      </c>
      <c r="I23" s="289">
        <f>'K) Plafonnement aide'!J22</f>
        <v>0</v>
      </c>
      <c r="J23" s="289">
        <f>'J) Plafonnement effort'!I22</f>
        <v>0</v>
      </c>
      <c r="K23" s="289">
        <f>'L) Plafonnement taux'!Q23</f>
        <v>0</v>
      </c>
      <c r="L23" s="401">
        <f t="shared" si="0"/>
        <v>332136.19850754109</v>
      </c>
      <c r="M23" s="401">
        <f>'M) Police'!O23</f>
        <v>51805.469936686473</v>
      </c>
      <c r="N23" s="401">
        <f t="shared" si="1"/>
        <v>383941.66844422754</v>
      </c>
    </row>
    <row r="24" spans="1:14" s="279" customFormat="1" x14ac:dyDescent="0.25">
      <c r="A24" s="275">
        <f>'B) D RI'!A25</f>
        <v>5424</v>
      </c>
      <c r="B24" s="276" t="str">
        <f>'B) D RI'!B25</f>
        <v>Berolle</v>
      </c>
      <c r="C24" s="277">
        <f>'B) D RI'!S25</f>
        <v>77</v>
      </c>
      <c r="D24" s="278">
        <f>'B) D RI'!AR25</f>
        <v>302</v>
      </c>
      <c r="E24" s="285">
        <f>'D) Ecrêtage'!N23</f>
        <v>9358.0229870129861</v>
      </c>
      <c r="F24" s="289">
        <f>'E) Fact soc'!G29</f>
        <v>144838.5885931064</v>
      </c>
      <c r="G24" s="289">
        <f>'H) Péréquation directe'!I34</f>
        <v>51794.606925831453</v>
      </c>
      <c r="H24" s="289">
        <f>'I) Dépenses thématiques'!O23</f>
        <v>-33860</v>
      </c>
      <c r="I24" s="289">
        <f>'K) Plafonnement aide'!J23</f>
        <v>0</v>
      </c>
      <c r="J24" s="289">
        <f>'J) Plafonnement effort'!I23</f>
        <v>0</v>
      </c>
      <c r="K24" s="289">
        <f>'L) Plafonnement taux'!Q24</f>
        <v>0</v>
      </c>
      <c r="L24" s="401">
        <f t="shared" si="0"/>
        <v>162773.19551893784</v>
      </c>
      <c r="M24" s="401">
        <f>'M) Police'!O24</f>
        <v>30255.512760067417</v>
      </c>
      <c r="N24" s="401">
        <f t="shared" si="1"/>
        <v>193028.70827900525</v>
      </c>
    </row>
    <row r="25" spans="1:14" s="279" customFormat="1" x14ac:dyDescent="0.25">
      <c r="A25" s="275">
        <f>'B) D RI'!A26</f>
        <v>5425</v>
      </c>
      <c r="B25" s="276" t="str">
        <f>'B) D RI'!B26</f>
        <v>Bière</v>
      </c>
      <c r="C25" s="277">
        <f>'B) D RI'!S26</f>
        <v>68</v>
      </c>
      <c r="D25" s="278">
        <f>'B) D RI'!AR26</f>
        <v>1526</v>
      </c>
      <c r="E25" s="285">
        <f>'D) Ecrêtage'!N24</f>
        <v>37126.422058823526</v>
      </c>
      <c r="F25" s="289">
        <f>'E) Fact soc'!G30</f>
        <v>612676.5586655701</v>
      </c>
      <c r="G25" s="289">
        <f>'H) Péréquation directe'!I35</f>
        <v>-143216.38660484704</v>
      </c>
      <c r="H25" s="289">
        <f>'I) Dépenses thématiques'!O24</f>
        <v>-458569</v>
      </c>
      <c r="I25" s="289">
        <f>'K) Plafonnement aide'!J24</f>
        <v>0</v>
      </c>
      <c r="J25" s="289">
        <f>'J) Plafonnement effort'!I24</f>
        <v>0</v>
      </c>
      <c r="K25" s="289">
        <f>'L) Plafonnement taux'!Q25</f>
        <v>0</v>
      </c>
      <c r="L25" s="401">
        <f t="shared" si="0"/>
        <v>10891.172060723067</v>
      </c>
      <c r="M25" s="401">
        <f>'M) Police'!O25</f>
        <v>118835.66456416567</v>
      </c>
      <c r="N25" s="401">
        <f t="shared" si="1"/>
        <v>129726.83662488873</v>
      </c>
    </row>
    <row r="26" spans="1:14" s="279" customFormat="1" x14ac:dyDescent="0.25">
      <c r="A26" s="275">
        <f>'B) D RI'!A27</f>
        <v>5426</v>
      </c>
      <c r="B26" s="276" t="str">
        <f>'B) D RI'!B27</f>
        <v>Bougy-Villars</v>
      </c>
      <c r="C26" s="277">
        <f>'B) D RI'!S27</f>
        <v>62</v>
      </c>
      <c r="D26" s="278">
        <f>'B) D RI'!AR27</f>
        <v>444</v>
      </c>
      <c r="E26" s="285">
        <f>'D) Ecrêtage'!N25</f>
        <v>39200.766193939591</v>
      </c>
      <c r="F26" s="289">
        <f>'E) Fact soc'!G31</f>
        <v>1658408.3733189474</v>
      </c>
      <c r="G26" s="289">
        <f>'H) Péréquation directe'!I36</f>
        <v>683005</v>
      </c>
      <c r="H26" s="289">
        <f>'I) Dépenses thématiques'!O25</f>
        <v>0</v>
      </c>
      <c r="I26" s="289">
        <f>'K) Plafonnement aide'!J25</f>
        <v>0</v>
      </c>
      <c r="J26" s="289">
        <f>'J) Plafonnement effort'!I25</f>
        <v>0</v>
      </c>
      <c r="K26" s="289">
        <f>'L) Plafonnement taux'!Q26</f>
        <v>0</v>
      </c>
      <c r="L26" s="401">
        <f t="shared" si="0"/>
        <v>2341413.3733189474</v>
      </c>
      <c r="M26" s="401">
        <f>'M) Police'!O26</f>
        <v>91049.200250020978</v>
      </c>
      <c r="N26" s="401">
        <f t="shared" si="1"/>
        <v>2432462.5735689686</v>
      </c>
    </row>
    <row r="27" spans="1:14" s="279" customFormat="1" x14ac:dyDescent="0.25">
      <c r="A27" s="275">
        <f>'B) D RI'!A28</f>
        <v>5427</v>
      </c>
      <c r="B27" s="276" t="str">
        <f>'B) D RI'!B28</f>
        <v>Féchy</v>
      </c>
      <c r="C27" s="277">
        <f>'B) D RI'!S28</f>
        <v>64</v>
      </c>
      <c r="D27" s="278">
        <f>'B) D RI'!AR28</f>
        <v>857</v>
      </c>
      <c r="E27" s="285">
        <f>'D) Ecrêtage'!N26</f>
        <v>63481.570392372421</v>
      </c>
      <c r="F27" s="289">
        <f>'E) Fact soc'!G32</f>
        <v>1870118.2329741861</v>
      </c>
      <c r="G27" s="289">
        <f>'H) Péréquation directe'!I37</f>
        <v>1092257</v>
      </c>
      <c r="H27" s="289">
        <f>'I) Dépenses thématiques'!O26</f>
        <v>0</v>
      </c>
      <c r="I27" s="289">
        <f>'K) Plafonnement aide'!J26</f>
        <v>0</v>
      </c>
      <c r="J27" s="289">
        <f>'J) Plafonnement effort'!I26</f>
        <v>0</v>
      </c>
      <c r="K27" s="289">
        <f>'L) Plafonnement taux'!Q27</f>
        <v>0</v>
      </c>
      <c r="L27" s="401">
        <f t="shared" si="0"/>
        <v>2962375.2329741861</v>
      </c>
      <c r="M27" s="401">
        <f>'M) Police'!O27</f>
        <v>159295.93853855826</v>
      </c>
      <c r="N27" s="401">
        <f t="shared" si="1"/>
        <v>3121671.1715127444</v>
      </c>
    </row>
    <row r="28" spans="1:14" s="279" customFormat="1" x14ac:dyDescent="0.25">
      <c r="A28" s="275">
        <f>'B) D RI'!A29</f>
        <v>5428</v>
      </c>
      <c r="B28" s="276" t="str">
        <f>'B) D RI'!B29</f>
        <v>Gimel</v>
      </c>
      <c r="C28" s="277">
        <f>'B) D RI'!S29</f>
        <v>71.5</v>
      </c>
      <c r="D28" s="278">
        <f>'B) D RI'!AR29</f>
        <v>1923</v>
      </c>
      <c r="E28" s="285">
        <f>'D) Ecrêtage'!N27</f>
        <v>54244.883403263411</v>
      </c>
      <c r="F28" s="289">
        <f>'E) Fact soc'!G33</f>
        <v>1002744.3583812624</v>
      </c>
      <c r="G28" s="289">
        <f>'H) Péréquation directe'!I38</f>
        <v>-28328.768631430925</v>
      </c>
      <c r="H28" s="289">
        <f>'I) Dépenses thématiques'!O27</f>
        <v>-266435</v>
      </c>
      <c r="I28" s="289">
        <f>'K) Plafonnement aide'!J27</f>
        <v>0</v>
      </c>
      <c r="J28" s="289">
        <f>'J) Plafonnement effort'!I27</f>
        <v>0</v>
      </c>
      <c r="K28" s="289">
        <f>'L) Plafonnement taux'!Q28</f>
        <v>0</v>
      </c>
      <c r="L28" s="401">
        <f t="shared" si="0"/>
        <v>707980.58974983147</v>
      </c>
      <c r="M28" s="401">
        <f>'M) Police'!O28</f>
        <v>173496.16578992415</v>
      </c>
      <c r="N28" s="401">
        <f t="shared" si="1"/>
        <v>881476.75553975557</v>
      </c>
    </row>
    <row r="29" spans="1:14" s="279" customFormat="1" x14ac:dyDescent="0.25">
      <c r="A29" s="275">
        <f>'B) D RI'!A30</f>
        <v>5429</v>
      </c>
      <c r="B29" s="276" t="str">
        <f>'B) D RI'!B30</f>
        <v>Longirod</v>
      </c>
      <c r="C29" s="277">
        <f>'B) D RI'!S30</f>
        <v>81</v>
      </c>
      <c r="D29" s="278">
        <f>'B) D RI'!AR30</f>
        <v>441</v>
      </c>
      <c r="E29" s="285">
        <f>'D) Ecrêtage'!N28</f>
        <v>14621.746419753083</v>
      </c>
      <c r="F29" s="289">
        <f>'E) Fact soc'!G34</f>
        <v>262562.31872078881</v>
      </c>
      <c r="G29" s="289">
        <f>'H) Péréquation directe'!I39</f>
        <v>104080.89607429696</v>
      </c>
      <c r="H29" s="289">
        <f>'I) Dépenses thématiques'!O28</f>
        <v>-73295</v>
      </c>
      <c r="I29" s="289">
        <f>'K) Plafonnement aide'!J28</f>
        <v>0</v>
      </c>
      <c r="J29" s="289">
        <f>'J) Plafonnement effort'!I28</f>
        <v>0</v>
      </c>
      <c r="K29" s="289">
        <f>'L) Plafonnement taux'!Q29</f>
        <v>0</v>
      </c>
      <c r="L29" s="401">
        <f t="shared" si="0"/>
        <v>293348.21479508578</v>
      </c>
      <c r="M29" s="401">
        <f>'M) Police'!O29</f>
        <v>47029.665123739906</v>
      </c>
      <c r="N29" s="401">
        <f t="shared" si="1"/>
        <v>340377.8799188257</v>
      </c>
    </row>
    <row r="30" spans="1:14" s="279" customFormat="1" x14ac:dyDescent="0.25">
      <c r="A30" s="275">
        <f>'B) D RI'!A31</f>
        <v>5430</v>
      </c>
      <c r="B30" s="276" t="str">
        <f>'B) D RI'!B31</f>
        <v>Marchissy</v>
      </c>
      <c r="C30" s="277">
        <f>'B) D RI'!S31</f>
        <v>81</v>
      </c>
      <c r="D30" s="278">
        <f>'B) D RI'!AR31</f>
        <v>444</v>
      </c>
      <c r="E30" s="285">
        <f>'D) Ecrêtage'!N29</f>
        <v>13069.378271604934</v>
      </c>
      <c r="F30" s="289">
        <f>'E) Fact soc'!G35</f>
        <v>234434.20245942898</v>
      </c>
      <c r="G30" s="289">
        <f>'H) Péréquation directe'!I40</f>
        <v>31030.712477517081</v>
      </c>
      <c r="H30" s="289">
        <f>'I) Dépenses thématiques'!O29</f>
        <v>-274277</v>
      </c>
      <c r="I30" s="289">
        <f>'K) Plafonnement aide'!J29</f>
        <v>0</v>
      </c>
      <c r="J30" s="289">
        <f>'J) Plafonnement effort'!I29</f>
        <v>0</v>
      </c>
      <c r="K30" s="289">
        <f>'L) Plafonnement taux'!Q30</f>
        <v>0</v>
      </c>
      <c r="L30" s="401">
        <f t="shared" si="0"/>
        <v>-8812.0850630539353</v>
      </c>
      <c r="M30" s="401">
        <f>'M) Police'!O30</f>
        <v>41905.595952195246</v>
      </c>
      <c r="N30" s="401">
        <f t="shared" si="1"/>
        <v>33093.510889141311</v>
      </c>
    </row>
    <row r="31" spans="1:14" s="279" customFormat="1" x14ac:dyDescent="0.25">
      <c r="A31" s="275">
        <f>'B) D RI'!A32</f>
        <v>5431</v>
      </c>
      <c r="B31" s="276" t="str">
        <f>'B) D RI'!B32</f>
        <v>Mollens</v>
      </c>
      <c r="C31" s="277">
        <f>'B) D RI'!S32</f>
        <v>74</v>
      </c>
      <c r="D31" s="278">
        <f>'B) D RI'!AR32</f>
        <v>288</v>
      </c>
      <c r="E31" s="285">
        <f>'D) Ecrêtage'!N30</f>
        <v>8024.3136486486483</v>
      </c>
      <c r="F31" s="289">
        <f>'E) Fact soc'!G36</f>
        <v>140073.74547733818</v>
      </c>
      <c r="G31" s="289">
        <f>'H) Péréquation directe'!I41</f>
        <v>19773.068344624902</v>
      </c>
      <c r="H31" s="289">
        <f>'I) Dépenses thématiques'!O30</f>
        <v>-11636</v>
      </c>
      <c r="I31" s="289">
        <f>'K) Plafonnement aide'!J30</f>
        <v>0</v>
      </c>
      <c r="J31" s="289">
        <f>'J) Plafonnement effort'!I30</f>
        <v>0</v>
      </c>
      <c r="K31" s="289">
        <f>'L) Plafonnement taux'!Q31</f>
        <v>0</v>
      </c>
      <c r="L31" s="401">
        <f t="shared" si="0"/>
        <v>148210.81382196309</v>
      </c>
      <c r="M31" s="401">
        <f>'M) Police'!O31</f>
        <v>25644.728844533875</v>
      </c>
      <c r="N31" s="401">
        <f t="shared" si="1"/>
        <v>173855.54266649697</v>
      </c>
    </row>
    <row r="32" spans="1:14" s="279" customFormat="1" x14ac:dyDescent="0.25">
      <c r="A32" s="275">
        <f>'B) D RI'!A33</f>
        <v>5432</v>
      </c>
      <c r="B32" s="276" t="str">
        <f>'B) D RI'!B33</f>
        <v>Montherod</v>
      </c>
      <c r="C32" s="277">
        <f>'B) D RI'!S33</f>
        <v>74</v>
      </c>
      <c r="D32" s="278">
        <f>'B) D RI'!AR33</f>
        <v>521</v>
      </c>
      <c r="E32" s="285">
        <f>'D) Ecrêtage'!N31</f>
        <v>17799.430540540543</v>
      </c>
      <c r="F32" s="289">
        <f>'E) Fact soc'!G37</f>
        <v>334188.72908448591</v>
      </c>
      <c r="G32" s="289">
        <f>'H) Péréquation directe'!I42</f>
        <v>168203.91932957942</v>
      </c>
      <c r="H32" s="289">
        <f>'I) Dépenses thématiques'!O31</f>
        <v>0</v>
      </c>
      <c r="I32" s="289">
        <f>'K) Plafonnement aide'!J31</f>
        <v>0</v>
      </c>
      <c r="J32" s="289">
        <f>'J) Plafonnement effort'!I31</f>
        <v>0</v>
      </c>
      <c r="K32" s="289">
        <f>'L) Plafonnement taux'!Q32</f>
        <v>0</v>
      </c>
      <c r="L32" s="401">
        <f t="shared" si="0"/>
        <v>502392.64841406536</v>
      </c>
      <c r="M32" s="401">
        <f>'M) Police'!O32</f>
        <v>57265.950015517374</v>
      </c>
      <c r="N32" s="401">
        <f t="shared" si="1"/>
        <v>559658.59842958278</v>
      </c>
    </row>
    <row r="33" spans="1:14" s="279" customFormat="1" x14ac:dyDescent="0.25">
      <c r="A33" s="275">
        <f>'B) D RI'!A34</f>
        <v>5434</v>
      </c>
      <c r="B33" s="276" t="str">
        <f>'B) D RI'!B34</f>
        <v>Saint-George</v>
      </c>
      <c r="C33" s="277">
        <f>'B) D RI'!S34</f>
        <v>68.5</v>
      </c>
      <c r="D33" s="278">
        <f>'B) D RI'!AR34</f>
        <v>951</v>
      </c>
      <c r="E33" s="285">
        <f>'D) Ecrêtage'!N32</f>
        <v>35135.099562043797</v>
      </c>
      <c r="F33" s="289">
        <f>'E) Fact soc'!G38</f>
        <v>715047.61096866324</v>
      </c>
      <c r="G33" s="289">
        <f>'H) Péréquation directe'!I43</f>
        <v>434212.00322455028</v>
      </c>
      <c r="H33" s="289">
        <f>'I) Dépenses thématiques'!O32</f>
        <v>-56866</v>
      </c>
      <c r="I33" s="289">
        <f>'K) Plafonnement aide'!J32</f>
        <v>0</v>
      </c>
      <c r="J33" s="289">
        <f>'J) Plafonnement effort'!I32</f>
        <v>0</v>
      </c>
      <c r="K33" s="289">
        <f>'L) Plafonnement taux'!Q33</f>
        <v>0</v>
      </c>
      <c r="L33" s="401">
        <f t="shared" si="0"/>
        <v>1092393.6141932136</v>
      </c>
      <c r="M33" s="401">
        <f>'M) Police'!O33</f>
        <v>112078.1311174642</v>
      </c>
      <c r="N33" s="401">
        <f t="shared" si="1"/>
        <v>1204471.7453106779</v>
      </c>
    </row>
    <row r="34" spans="1:14" s="279" customFormat="1" x14ac:dyDescent="0.25">
      <c r="A34" s="275">
        <f>'B) D RI'!A35</f>
        <v>5435</v>
      </c>
      <c r="B34" s="276" t="str">
        <f>'B) D RI'!B35</f>
        <v>Saint-Livres</v>
      </c>
      <c r="C34" s="277">
        <f>'B) D RI'!S35</f>
        <v>69</v>
      </c>
      <c r="D34" s="278">
        <f>'B) D RI'!AR35</f>
        <v>699</v>
      </c>
      <c r="E34" s="285">
        <f>'D) Ecrêtage'!N33</f>
        <v>21558.748985507245</v>
      </c>
      <c r="F34" s="289">
        <f>'E) Fact soc'!G39</f>
        <v>396031.61066266429</v>
      </c>
      <c r="G34" s="289">
        <f>'H) Péréquation directe'!I44</f>
        <v>157884.84079880654</v>
      </c>
      <c r="H34" s="289">
        <f>'I) Dépenses thématiques'!O33</f>
        <v>-89812</v>
      </c>
      <c r="I34" s="289">
        <f>'K) Plafonnement aide'!J33</f>
        <v>0</v>
      </c>
      <c r="J34" s="289">
        <f>'J) Plafonnement effort'!I33</f>
        <v>0</v>
      </c>
      <c r="K34" s="289">
        <f>'L) Plafonnement taux'!Q34</f>
        <v>0</v>
      </c>
      <c r="L34" s="401">
        <f t="shared" si="0"/>
        <v>464104.4514614708</v>
      </c>
      <c r="M34" s="401">
        <f>'M) Police'!O34</f>
        <v>69022.659160800424</v>
      </c>
      <c r="N34" s="401">
        <f t="shared" si="1"/>
        <v>533127.1106222712</v>
      </c>
    </row>
    <row r="35" spans="1:14" s="279" customFormat="1" x14ac:dyDescent="0.25">
      <c r="A35" s="275">
        <f>'B) D RI'!A36</f>
        <v>5436</v>
      </c>
      <c r="B35" s="276" t="str">
        <f>'B) D RI'!B36</f>
        <v>Saint-Oyens</v>
      </c>
      <c r="C35" s="277">
        <f>'B) D RI'!S36</f>
        <v>81</v>
      </c>
      <c r="D35" s="278">
        <f>'B) D RI'!AR36</f>
        <v>326</v>
      </c>
      <c r="E35" s="285">
        <f>'D) Ecrêtage'!N34</f>
        <v>11369.478086419756</v>
      </c>
      <c r="F35" s="289">
        <f>'E) Fact soc'!G40</f>
        <v>221160.11041380261</v>
      </c>
      <c r="G35" s="289">
        <f>'H) Péréquation directe'!I45</f>
        <v>101974.01697536356</v>
      </c>
      <c r="H35" s="289">
        <f>'I) Dépenses thématiques'!O34</f>
        <v>-227495</v>
      </c>
      <c r="I35" s="289">
        <f>'K) Plafonnement aide'!J34</f>
        <v>0</v>
      </c>
      <c r="J35" s="289">
        <f>'J) Plafonnement effort'!I34</f>
        <v>0</v>
      </c>
      <c r="K35" s="289">
        <f>'L) Plafonnement taux'!Q35</f>
        <v>0</v>
      </c>
      <c r="L35" s="401">
        <f t="shared" si="0"/>
        <v>95639.127389166155</v>
      </c>
      <c r="M35" s="401">
        <f>'M) Police'!O35</f>
        <v>36693.679741052933</v>
      </c>
      <c r="N35" s="401">
        <f t="shared" si="1"/>
        <v>132332.80713021909</v>
      </c>
    </row>
    <row r="36" spans="1:14" s="279" customFormat="1" x14ac:dyDescent="0.25">
      <c r="A36" s="275">
        <f>'B) D RI'!A37</f>
        <v>5437</v>
      </c>
      <c r="B36" s="276" t="str">
        <f>'B) D RI'!B37</f>
        <v>Saubraz</v>
      </c>
      <c r="C36" s="277">
        <f>'B) D RI'!S37</f>
        <v>83</v>
      </c>
      <c r="D36" s="278">
        <f>'B) D RI'!AR37</f>
        <v>385</v>
      </c>
      <c r="E36" s="285">
        <f>'D) Ecrêtage'!N35</f>
        <v>8208.7877108433731</v>
      </c>
      <c r="F36" s="289">
        <f>'E) Fact soc'!G41</f>
        <v>179749.06904757852</v>
      </c>
      <c r="G36" s="289">
        <f>'H) Péréquation directe'!I46</f>
        <v>-123899.67190212198</v>
      </c>
      <c r="H36" s="289">
        <f>'I) Dépenses thématiques'!O35</f>
        <v>-63138</v>
      </c>
      <c r="I36" s="289">
        <f>'K) Plafonnement aide'!J35</f>
        <v>0</v>
      </c>
      <c r="J36" s="289">
        <f>'J) Plafonnement effort'!I35</f>
        <v>0</v>
      </c>
      <c r="K36" s="289">
        <f>'L) Plafonnement taux'!Q36</f>
        <v>0</v>
      </c>
      <c r="L36" s="401">
        <f t="shared" si="0"/>
        <v>-7288.6028545434528</v>
      </c>
      <c r="M36" s="401">
        <f>'M) Police'!O36</f>
        <v>26186.674601096711</v>
      </c>
      <c r="N36" s="401">
        <f t="shared" si="1"/>
        <v>18898.071746553258</v>
      </c>
    </row>
    <row r="37" spans="1:14" s="279" customFormat="1" x14ac:dyDescent="0.25">
      <c r="A37" s="275">
        <f>'B) D RI'!A38</f>
        <v>5451</v>
      </c>
      <c r="B37" s="276" t="str">
        <f>'B) D RI'!B38</f>
        <v>Avenches</v>
      </c>
      <c r="C37" s="277">
        <f>'B) D RI'!S38</f>
        <v>68</v>
      </c>
      <c r="D37" s="278">
        <f>'B) D RI'!AR38</f>
        <v>4030</v>
      </c>
      <c r="E37" s="285">
        <f>'D) Ecrêtage'!N36</f>
        <v>103750.47926470588</v>
      </c>
      <c r="F37" s="289">
        <f>'E) Fact soc'!G42</f>
        <v>2030077.4603920116</v>
      </c>
      <c r="G37" s="289">
        <f>'H) Péréquation directe'!I47</f>
        <v>-732205.60949454224</v>
      </c>
      <c r="H37" s="289">
        <f>'I) Dépenses thématiques'!O36</f>
        <v>-1515313</v>
      </c>
      <c r="I37" s="289">
        <f>'K) Plafonnement aide'!J36</f>
        <v>0</v>
      </c>
      <c r="J37" s="289">
        <f>'J) Plafonnement effort'!I36</f>
        <v>0</v>
      </c>
      <c r="K37" s="289">
        <f>'L) Plafonnement taux'!Q37</f>
        <v>0</v>
      </c>
      <c r="L37" s="401">
        <f t="shared" si="0"/>
        <v>-217441.14910253068</v>
      </c>
      <c r="M37" s="401">
        <f>'M) Police'!O37</f>
        <v>323613.52570184181</v>
      </c>
      <c r="N37" s="401">
        <f t="shared" si="1"/>
        <v>106172.37659931113</v>
      </c>
    </row>
    <row r="38" spans="1:14" s="279" customFormat="1" x14ac:dyDescent="0.25">
      <c r="A38" s="275">
        <f>'B) D RI'!A39</f>
        <v>5456</v>
      </c>
      <c r="B38" s="276" t="str">
        <f>'B) D RI'!B39</f>
        <v>Cudrefin</v>
      </c>
      <c r="C38" s="277">
        <f>'B) D RI'!S39</f>
        <v>59</v>
      </c>
      <c r="D38" s="278">
        <f>'B) D RI'!AR39</f>
        <v>1464</v>
      </c>
      <c r="E38" s="285">
        <f>'D) Ecrêtage'!N37</f>
        <v>45260.404011299433</v>
      </c>
      <c r="F38" s="289">
        <f>'E) Fact soc'!G43</f>
        <v>900676.18406529492</v>
      </c>
      <c r="G38" s="289">
        <f>'H) Péréquation directe'!I48</f>
        <v>315149.7142383121</v>
      </c>
      <c r="H38" s="289">
        <f>'I) Dépenses thématiques'!O37</f>
        <v>-298578</v>
      </c>
      <c r="I38" s="289">
        <f>'K) Plafonnement aide'!J37</f>
        <v>0</v>
      </c>
      <c r="J38" s="289">
        <f>'J) Plafonnement effort'!I37</f>
        <v>0</v>
      </c>
      <c r="K38" s="289">
        <f>'L) Plafonnement taux'!Q38</f>
        <v>0</v>
      </c>
      <c r="L38" s="401">
        <f t="shared" si="0"/>
        <v>917247.89830360701</v>
      </c>
      <c r="M38" s="401">
        <f>'M) Police'!O38</f>
        <v>143216.23321823202</v>
      </c>
      <c r="N38" s="401">
        <f t="shared" si="1"/>
        <v>1060464.1315218389</v>
      </c>
    </row>
    <row r="39" spans="1:14" s="279" customFormat="1" x14ac:dyDescent="0.25">
      <c r="A39" s="275">
        <f>'B) D RI'!A40</f>
        <v>5458</v>
      </c>
      <c r="B39" s="276" t="str">
        <f>'B) D RI'!B40</f>
        <v>Faoug</v>
      </c>
      <c r="C39" s="277">
        <f>'B) D RI'!S40</f>
        <v>61</v>
      </c>
      <c r="D39" s="278">
        <f>'B) D RI'!AR40</f>
        <v>825</v>
      </c>
      <c r="E39" s="285">
        <f>'D) Ecrêtage'!N38</f>
        <v>26731.83262295082</v>
      </c>
      <c r="F39" s="289">
        <f>'E) Fact soc'!G44</f>
        <v>569278.69521502848</v>
      </c>
      <c r="G39" s="289">
        <f>'H) Péréquation directe'!I49</f>
        <v>273683.19156850036</v>
      </c>
      <c r="H39" s="289">
        <f>'I) Dépenses thématiques'!O38</f>
        <v>-118653</v>
      </c>
      <c r="I39" s="289">
        <f>'K) Plafonnement aide'!J38</f>
        <v>0</v>
      </c>
      <c r="J39" s="289">
        <f>'J) Plafonnement effort'!I38</f>
        <v>0</v>
      </c>
      <c r="K39" s="289">
        <f>'L) Plafonnement taux'!Q39</f>
        <v>0</v>
      </c>
      <c r="L39" s="401">
        <f t="shared" si="0"/>
        <v>724308.88678352884</v>
      </c>
      <c r="M39" s="401">
        <f>'M) Police'!O39</f>
        <v>84542.413031093922</v>
      </c>
      <c r="N39" s="401">
        <f t="shared" si="1"/>
        <v>808851.29981462273</v>
      </c>
    </row>
    <row r="40" spans="1:14" s="279" customFormat="1" x14ac:dyDescent="0.25">
      <c r="A40" s="275">
        <f>'B) D RI'!A41</f>
        <v>5464</v>
      </c>
      <c r="B40" s="276" t="str">
        <f>'B) D RI'!B41</f>
        <v>Vully-les-Lacs</v>
      </c>
      <c r="C40" s="277">
        <f>'B) D RI'!S41</f>
        <v>67</v>
      </c>
      <c r="D40" s="278">
        <f>'B) D RI'!AR41</f>
        <v>2798</v>
      </c>
      <c r="E40" s="285">
        <f>'D) Ecrêtage'!N39</f>
        <v>91629.911044776149</v>
      </c>
      <c r="F40" s="289">
        <f>'E) Fact soc'!G45</f>
        <v>1647817.7052027155</v>
      </c>
      <c r="G40" s="289">
        <f>'H) Péréquation directe'!I50</f>
        <v>416070.32095218287</v>
      </c>
      <c r="H40" s="289">
        <f>'I) Dépenses thématiques'!O39</f>
        <v>-692737</v>
      </c>
      <c r="I40" s="289">
        <f>'K) Plafonnement aide'!J39</f>
        <v>0</v>
      </c>
      <c r="J40" s="289">
        <f>'J) Plafonnement effort'!I39</f>
        <v>0</v>
      </c>
      <c r="K40" s="289">
        <f>'L) Plafonnement taux'!Q40</f>
        <v>0</v>
      </c>
      <c r="L40" s="401">
        <f t="shared" si="0"/>
        <v>1371151.0261548983</v>
      </c>
      <c r="M40" s="401">
        <f>'M) Police'!O40</f>
        <v>291316.99567349453</v>
      </c>
      <c r="N40" s="401">
        <f t="shared" si="1"/>
        <v>1662468.021828393</v>
      </c>
    </row>
    <row r="41" spans="1:14" s="279" customFormat="1" x14ac:dyDescent="0.25">
      <c r="A41" s="275">
        <f>'B) D RI'!A42</f>
        <v>5471</v>
      </c>
      <c r="B41" s="276" t="str">
        <f>'B) D RI'!B42</f>
        <v>Bettens</v>
      </c>
      <c r="C41" s="277">
        <f>'B) D RI'!S42</f>
        <v>70</v>
      </c>
      <c r="D41" s="278">
        <f>'B) D RI'!AR42</f>
        <v>531</v>
      </c>
      <c r="E41" s="285">
        <f>'D) Ecrêtage'!N40</f>
        <v>18668.279507936502</v>
      </c>
      <c r="F41" s="289">
        <f>'E) Fact soc'!G46</f>
        <v>405063.01773217699</v>
      </c>
      <c r="G41" s="289">
        <f>'H) Péréquation directe'!I51</f>
        <v>203281.48748771078</v>
      </c>
      <c r="H41" s="289">
        <f>'I) Dépenses thématiques'!O40</f>
        <v>0</v>
      </c>
      <c r="I41" s="289">
        <f>'K) Plafonnement aide'!J40</f>
        <v>0</v>
      </c>
      <c r="J41" s="289">
        <f>'J) Plafonnement effort'!I40</f>
        <v>0</v>
      </c>
      <c r="K41" s="289">
        <f>'L) Plafonnement taux'!Q41</f>
        <v>0</v>
      </c>
      <c r="L41" s="401">
        <f t="shared" si="0"/>
        <v>608344.50521988771</v>
      </c>
      <c r="M41" s="401">
        <f>'M) Police'!O41</f>
        <v>60346.87223944196</v>
      </c>
      <c r="N41" s="401">
        <f t="shared" si="1"/>
        <v>668691.37745932967</v>
      </c>
    </row>
    <row r="42" spans="1:14" s="279" customFormat="1" x14ac:dyDescent="0.25">
      <c r="A42" s="275">
        <f>'B) D RI'!A43</f>
        <v>5472</v>
      </c>
      <c r="B42" s="276" t="str">
        <f>'B) D RI'!B43</f>
        <v>Bournens</v>
      </c>
      <c r="C42" s="277">
        <f>'B) D RI'!S43</f>
        <v>80</v>
      </c>
      <c r="D42" s="278">
        <f>'B) D RI'!AR43</f>
        <v>362</v>
      </c>
      <c r="E42" s="285">
        <f>'D) Ecrêtage'!N41</f>
        <v>12834.669250000001</v>
      </c>
      <c r="F42" s="289">
        <f>'E) Fact soc'!G47</f>
        <v>218027.57609462808</v>
      </c>
      <c r="G42" s="289">
        <f>'H) Péréquation directe'!I52</f>
        <v>124544.46775102925</v>
      </c>
      <c r="H42" s="289">
        <f>'I) Dépenses thématiques'!O41</f>
        <v>-30257</v>
      </c>
      <c r="I42" s="289">
        <f>'K) Plafonnement aide'!J41</f>
        <v>0</v>
      </c>
      <c r="J42" s="289">
        <f>'J) Plafonnement effort'!I41</f>
        <v>0</v>
      </c>
      <c r="K42" s="289">
        <f>'L) Plafonnement taux'!Q42</f>
        <v>0</v>
      </c>
      <c r="L42" s="401">
        <f t="shared" si="0"/>
        <v>312315.04384565732</v>
      </c>
      <c r="M42" s="401">
        <f>'M) Police'!O42</f>
        <v>41341.077364919503</v>
      </c>
      <c r="N42" s="401">
        <f t="shared" si="1"/>
        <v>353656.12121057685</v>
      </c>
    </row>
    <row r="43" spans="1:14" s="279" customFormat="1" x14ac:dyDescent="0.25">
      <c r="A43" s="275">
        <f>'B) D RI'!A44</f>
        <v>5473</v>
      </c>
      <c r="B43" s="276" t="str">
        <f>'B) D RI'!B44</f>
        <v>Boussens</v>
      </c>
      <c r="C43" s="277">
        <f>'B) D RI'!S44</f>
        <v>69</v>
      </c>
      <c r="D43" s="278">
        <f>'B) D RI'!AR44</f>
        <v>944</v>
      </c>
      <c r="E43" s="285">
        <f>'D) Ecrêtage'!N42</f>
        <v>32904.507681159426</v>
      </c>
      <c r="F43" s="289">
        <f>'E) Fact soc'!G48</f>
        <v>548235.16386814648</v>
      </c>
      <c r="G43" s="289">
        <f>'H) Péréquation directe'!I53</f>
        <v>355297.30718085123</v>
      </c>
      <c r="H43" s="289">
        <f>'I) Dépenses thématiques'!O42</f>
        <v>0</v>
      </c>
      <c r="I43" s="289">
        <f>'K) Plafonnement aide'!J42</f>
        <v>0</v>
      </c>
      <c r="J43" s="289">
        <f>'J) Plafonnement effort'!I42</f>
        <v>0</v>
      </c>
      <c r="K43" s="289">
        <f>'L) Plafonnement taux'!Q43</f>
        <v>0</v>
      </c>
      <c r="L43" s="401">
        <f t="shared" si="0"/>
        <v>903532.47104899772</v>
      </c>
      <c r="M43" s="401">
        <f>'M) Police'!O43</f>
        <v>105405.23965740958</v>
      </c>
      <c r="N43" s="401">
        <f t="shared" si="1"/>
        <v>1008937.7107064073</v>
      </c>
    </row>
    <row r="44" spans="1:14" s="279" customFormat="1" x14ac:dyDescent="0.25">
      <c r="A44" s="275">
        <f>'B) D RI'!A45</f>
        <v>5474</v>
      </c>
      <c r="B44" s="276" t="str">
        <f>'B) D RI'!B45</f>
        <v>La Chaux (Cossonay)</v>
      </c>
      <c r="C44" s="277">
        <f>'B) D RI'!S45</f>
        <v>77</v>
      </c>
      <c r="D44" s="278">
        <f>'B) D RI'!AR45</f>
        <v>422</v>
      </c>
      <c r="E44" s="285">
        <f>'D) Ecrêtage'!N43</f>
        <v>12942.370952380952</v>
      </c>
      <c r="F44" s="289">
        <f>'E) Fact soc'!G49</f>
        <v>223108.8434867411</v>
      </c>
      <c r="G44" s="289">
        <f>'H) Péréquation directe'!I54</f>
        <v>66726.105795725511</v>
      </c>
      <c r="H44" s="289">
        <f>'I) Dépenses thématiques'!O43</f>
        <v>-140049</v>
      </c>
      <c r="I44" s="289">
        <f>'K) Plafonnement aide'!J43</f>
        <v>0</v>
      </c>
      <c r="J44" s="289">
        <f>'J) Plafonnement effort'!I43</f>
        <v>0</v>
      </c>
      <c r="K44" s="289">
        <f>'L) Plafonnement taux'!Q44</f>
        <v>0</v>
      </c>
      <c r="L44" s="401">
        <f t="shared" si="0"/>
        <v>149785.94928246661</v>
      </c>
      <c r="M44" s="401">
        <f>'M) Police'!O44</f>
        <v>41801.642721732496</v>
      </c>
      <c r="N44" s="401">
        <f t="shared" si="1"/>
        <v>191587.5920041991</v>
      </c>
    </row>
    <row r="45" spans="1:14" s="279" customFormat="1" x14ac:dyDescent="0.25">
      <c r="A45" s="275">
        <f>'B) D RI'!A46</f>
        <v>5475</v>
      </c>
      <c r="B45" s="276" t="str">
        <f>'B) D RI'!B46</f>
        <v>Chavannes-le-Veyron</v>
      </c>
      <c r="C45" s="277">
        <f>'B) D RI'!S46</f>
        <v>77</v>
      </c>
      <c r="D45" s="278">
        <f>'B) D RI'!AR46</f>
        <v>127</v>
      </c>
      <c r="E45" s="285">
        <f>'D) Ecrêtage'!N44</f>
        <v>2876.9510389610391</v>
      </c>
      <c r="F45" s="289">
        <f>'E) Fact soc'!G50</f>
        <v>59026.713687714306</v>
      </c>
      <c r="G45" s="289">
        <f>'H) Péréquation directe'!I55</f>
        <v>-22817.161353095915</v>
      </c>
      <c r="H45" s="289">
        <f>'I) Dépenses thématiques'!O44</f>
        <v>-29256</v>
      </c>
      <c r="I45" s="289">
        <f>'K) Plafonnement aide'!J44</f>
        <v>0</v>
      </c>
      <c r="J45" s="289">
        <f>'J) Plafonnement effort'!I44</f>
        <v>0</v>
      </c>
      <c r="K45" s="289">
        <f>'L) Plafonnement taux'!Q45</f>
        <v>0</v>
      </c>
      <c r="L45" s="401">
        <f t="shared" si="0"/>
        <v>6953.5523346183909</v>
      </c>
      <c r="M45" s="401">
        <f>'M) Police'!O45</f>
        <v>9123.7069901384948</v>
      </c>
      <c r="N45" s="401">
        <f t="shared" si="1"/>
        <v>16077.259324756886</v>
      </c>
    </row>
    <row r="46" spans="1:14" s="279" customFormat="1" x14ac:dyDescent="0.25">
      <c r="A46" s="275">
        <f>'B) D RI'!A47</f>
        <v>5476</v>
      </c>
      <c r="B46" s="276" t="str">
        <f>'B) D RI'!B47</f>
        <v>Chevilly</v>
      </c>
      <c r="C46" s="277">
        <f>'B) D RI'!S47</f>
        <v>74</v>
      </c>
      <c r="D46" s="278">
        <f>'B) D RI'!AR47</f>
        <v>249</v>
      </c>
      <c r="E46" s="285">
        <f>'D) Ecrêtage'!N45</f>
        <v>7286.6650000000009</v>
      </c>
      <c r="F46" s="289">
        <f>'E) Fact soc'!G51</f>
        <v>150680.68713148718</v>
      </c>
      <c r="G46" s="289">
        <f>'H) Péréquation directe'!I56</f>
        <v>31172.658848316642</v>
      </c>
      <c r="H46" s="289">
        <f>'I) Dépenses thématiques'!O45</f>
        <v>-37280</v>
      </c>
      <c r="I46" s="289">
        <f>'K) Plafonnement aide'!J45</f>
        <v>0</v>
      </c>
      <c r="J46" s="289">
        <f>'J) Plafonnement effort'!I45</f>
        <v>0</v>
      </c>
      <c r="K46" s="289">
        <f>'L) Plafonnement taux'!Q46</f>
        <v>0</v>
      </c>
      <c r="L46" s="401">
        <f t="shared" si="0"/>
        <v>144573.34597980382</v>
      </c>
      <c r="M46" s="401">
        <f>'M) Police'!O46</f>
        <v>23156.95339687659</v>
      </c>
      <c r="N46" s="401">
        <f t="shared" si="1"/>
        <v>167730.2993766804</v>
      </c>
    </row>
    <row r="47" spans="1:14" s="279" customFormat="1" x14ac:dyDescent="0.25">
      <c r="A47" s="275">
        <f>'B) D RI'!A48</f>
        <v>5477</v>
      </c>
      <c r="B47" s="276" t="str">
        <f>'B) D RI'!B48</f>
        <v>Cossonay</v>
      </c>
      <c r="C47" s="277">
        <f>'B) D RI'!S48</f>
        <v>67.3</v>
      </c>
      <c r="D47" s="278">
        <f>'B) D RI'!AR48</f>
        <v>3608</v>
      </c>
      <c r="E47" s="285">
        <f>'D) Ecrêtage'!N46</f>
        <v>125737.979346211</v>
      </c>
      <c r="F47" s="289">
        <f>'E) Fact soc'!G52</f>
        <v>2187067.0755105871</v>
      </c>
      <c r="G47" s="289">
        <f>'H) Péréquation directe'!I57</f>
        <v>643800.78186827339</v>
      </c>
      <c r="H47" s="289">
        <f>'I) Dépenses thématiques'!O46</f>
        <v>-560522</v>
      </c>
      <c r="I47" s="289">
        <f>'K) Plafonnement aide'!J46</f>
        <v>0</v>
      </c>
      <c r="J47" s="289">
        <f>'J) Plafonnement effort'!I46</f>
        <v>0</v>
      </c>
      <c r="K47" s="289">
        <f>'L) Plafonnement taux'!Q47</f>
        <v>0</v>
      </c>
      <c r="L47" s="401">
        <f t="shared" si="0"/>
        <v>2270345.8573788605</v>
      </c>
      <c r="M47" s="401">
        <f>'M) Police'!O47</f>
        <v>405597.15667074756</v>
      </c>
      <c r="N47" s="401">
        <f t="shared" si="1"/>
        <v>2675943.0140496083</v>
      </c>
    </row>
    <row r="48" spans="1:14" s="279" customFormat="1" x14ac:dyDescent="0.25">
      <c r="A48" s="275">
        <f>'B) D RI'!A49</f>
        <v>5478</v>
      </c>
      <c r="B48" s="276" t="str">
        <f>'B) D RI'!B49</f>
        <v>Cottens</v>
      </c>
      <c r="C48" s="277">
        <f>'B) D RI'!S49</f>
        <v>72</v>
      </c>
      <c r="D48" s="278">
        <f>'B) D RI'!AR49</f>
        <v>472</v>
      </c>
      <c r="E48" s="285">
        <f>'D) Ecrêtage'!N47</f>
        <v>15613.399583333334</v>
      </c>
      <c r="F48" s="289">
        <f>'E) Fact soc'!G53</f>
        <v>253998.83032899059</v>
      </c>
      <c r="G48" s="289">
        <f>'H) Péréquation directe'!I58</f>
        <v>137640.58017922196</v>
      </c>
      <c r="H48" s="289">
        <f>'I) Dépenses thématiques'!O47</f>
        <v>0</v>
      </c>
      <c r="I48" s="289">
        <f>'K) Plafonnement aide'!J47</f>
        <v>0</v>
      </c>
      <c r="J48" s="289">
        <f>'J) Plafonnement effort'!I47</f>
        <v>0</v>
      </c>
      <c r="K48" s="289">
        <f>'L) Plafonnement taux'!Q48</f>
        <v>0</v>
      </c>
      <c r="L48" s="401">
        <f t="shared" si="0"/>
        <v>391639.41050821252</v>
      </c>
      <c r="M48" s="401">
        <f>'M) Police'!O48</f>
        <v>50306.455721013714</v>
      </c>
      <c r="N48" s="401">
        <f t="shared" si="1"/>
        <v>441945.86622922623</v>
      </c>
    </row>
    <row r="49" spans="1:14" s="279" customFormat="1" x14ac:dyDescent="0.25">
      <c r="A49" s="275">
        <f>'B) D RI'!A50</f>
        <v>5479</v>
      </c>
      <c r="B49" s="276" t="str">
        <f>'B) D RI'!B50</f>
        <v>Cuarnens</v>
      </c>
      <c r="C49" s="277">
        <f>'B) D RI'!S50</f>
        <v>77</v>
      </c>
      <c r="D49" s="278">
        <f>'B) D RI'!AR50</f>
        <v>435</v>
      </c>
      <c r="E49" s="285">
        <f>'D) Ecrêtage'!N48</f>
        <v>12479.493246753247</v>
      </c>
      <c r="F49" s="289">
        <f>'E) Fact soc'!G54</f>
        <v>260481.4840644623</v>
      </c>
      <c r="G49" s="289">
        <f>'H) Péréquation directe'!I59</f>
        <v>32476.441812632314</v>
      </c>
      <c r="H49" s="289">
        <f>'I) Dépenses thématiques'!O48</f>
        <v>-225667</v>
      </c>
      <c r="I49" s="289">
        <f>'K) Plafonnement aide'!J48</f>
        <v>0</v>
      </c>
      <c r="J49" s="289">
        <f>'J) Plafonnement effort'!I48</f>
        <v>0</v>
      </c>
      <c r="K49" s="289">
        <f>'L) Plafonnement taux'!Q49</f>
        <v>0</v>
      </c>
      <c r="L49" s="401">
        <f t="shared" si="0"/>
        <v>67290.925877094618</v>
      </c>
      <c r="M49" s="401">
        <f>'M) Police'!O49</f>
        <v>40114.732454426419</v>
      </c>
      <c r="N49" s="401">
        <f t="shared" si="1"/>
        <v>107405.65833152103</v>
      </c>
    </row>
    <row r="50" spans="1:14" s="279" customFormat="1" x14ac:dyDescent="0.25">
      <c r="A50" s="275">
        <f>'B) D RI'!A51</f>
        <v>5480</v>
      </c>
      <c r="B50" s="276" t="str">
        <f>'B) D RI'!B51</f>
        <v>Daillens</v>
      </c>
      <c r="C50" s="277">
        <f>'B) D RI'!S51</f>
        <v>71</v>
      </c>
      <c r="D50" s="278">
        <f>'B) D RI'!AR51</f>
        <v>940</v>
      </c>
      <c r="E50" s="285">
        <f>'D) Ecrêtage'!N49</f>
        <v>38475.41492957747</v>
      </c>
      <c r="F50" s="289">
        <f>'E) Fact soc'!G55</f>
        <v>702233.42412747489</v>
      </c>
      <c r="G50" s="289">
        <f>'H) Péréquation directe'!I60</f>
        <v>564826.17941323435</v>
      </c>
      <c r="H50" s="289">
        <f>'I) Dépenses thématiques'!O49</f>
        <v>-151870</v>
      </c>
      <c r="I50" s="289">
        <f>'K) Plafonnement aide'!J49</f>
        <v>0</v>
      </c>
      <c r="J50" s="289">
        <f>'J) Plafonnement effort'!I49</f>
        <v>0</v>
      </c>
      <c r="K50" s="289">
        <f>'L) Plafonnement taux'!Q50</f>
        <v>0</v>
      </c>
      <c r="L50" s="401">
        <f t="shared" si="0"/>
        <v>1115189.6035407092</v>
      </c>
      <c r="M50" s="401">
        <f>'M) Police'!O50</f>
        <v>119909.17010312236</v>
      </c>
      <c r="N50" s="401">
        <f t="shared" si="1"/>
        <v>1235098.7736438317</v>
      </c>
    </row>
    <row r="51" spans="1:14" s="279" customFormat="1" x14ac:dyDescent="0.25">
      <c r="A51" s="275">
        <f>'B) D RI'!A52</f>
        <v>5481</v>
      </c>
      <c r="B51" s="276" t="str">
        <f>'B) D RI'!B52</f>
        <v>Dizy</v>
      </c>
      <c r="C51" s="277">
        <f>'B) D RI'!S52</f>
        <v>74</v>
      </c>
      <c r="D51" s="278">
        <f>'B) D RI'!AR52</f>
        <v>224</v>
      </c>
      <c r="E51" s="285">
        <f>'D) Ecrêtage'!N50</f>
        <v>8070.2010810810825</v>
      </c>
      <c r="F51" s="289">
        <f>'E) Fact soc'!G56</f>
        <v>144333.02214999247</v>
      </c>
      <c r="G51" s="289">
        <f>'H) Péréquation directe'!I61</f>
        <v>89157.653104006531</v>
      </c>
      <c r="H51" s="289">
        <f>'I) Dépenses thématiques'!O50</f>
        <v>-14922</v>
      </c>
      <c r="I51" s="289">
        <f>'K) Plafonnement aide'!J50</f>
        <v>0</v>
      </c>
      <c r="J51" s="289">
        <f>'J) Plafonnement effort'!I50</f>
        <v>0</v>
      </c>
      <c r="K51" s="289">
        <f>'L) Plafonnement taux'!Q51</f>
        <v>0</v>
      </c>
      <c r="L51" s="401">
        <f t="shared" si="0"/>
        <v>218568.67525399901</v>
      </c>
      <c r="M51" s="401">
        <f>'M) Police'!O51</f>
        <v>26133.003868528656</v>
      </c>
      <c r="N51" s="401">
        <f t="shared" si="1"/>
        <v>244701.67912252765</v>
      </c>
    </row>
    <row r="52" spans="1:14" s="279" customFormat="1" x14ac:dyDescent="0.25">
      <c r="A52" s="275">
        <f>'B) D RI'!A53</f>
        <v>5482</v>
      </c>
      <c r="B52" s="276" t="str">
        <f>'B) D RI'!B53</f>
        <v>Eclépens</v>
      </c>
      <c r="C52" s="277">
        <f>'B) D RI'!S53</f>
        <v>46</v>
      </c>
      <c r="D52" s="278">
        <f>'B) D RI'!AR53</f>
        <v>1010</v>
      </c>
      <c r="E52" s="285">
        <f>'D) Ecrêtage'!N51</f>
        <v>63915.275354987818</v>
      </c>
      <c r="F52" s="289">
        <f>'E) Fact soc'!G57</f>
        <v>1315413.1467061539</v>
      </c>
      <c r="G52" s="289">
        <f>'H) Péréquation directe'!I62</f>
        <v>1082505</v>
      </c>
      <c r="H52" s="289">
        <f>'I) Dépenses thématiques'!O51</f>
        <v>-158879</v>
      </c>
      <c r="I52" s="289">
        <f>'K) Plafonnement aide'!J51</f>
        <v>0</v>
      </c>
      <c r="J52" s="289">
        <f>'J) Plafonnement effort'!I51</f>
        <v>0</v>
      </c>
      <c r="K52" s="289">
        <f>'L) Plafonnement taux'!Q52</f>
        <v>0</v>
      </c>
      <c r="L52" s="401">
        <f t="shared" si="0"/>
        <v>2239039.1467061536</v>
      </c>
      <c r="M52" s="401">
        <f>'M) Police'!O52</f>
        <v>173021.90476826232</v>
      </c>
      <c r="N52" s="401">
        <f t="shared" si="1"/>
        <v>2412061.0514744162</v>
      </c>
    </row>
    <row r="53" spans="1:14" s="279" customFormat="1" x14ac:dyDescent="0.25">
      <c r="A53" s="275">
        <f>'B) D RI'!A54</f>
        <v>5483</v>
      </c>
      <c r="B53" s="276" t="str">
        <f>'B) D RI'!B54</f>
        <v>Ferreyres</v>
      </c>
      <c r="C53" s="277">
        <f>'B) D RI'!S54</f>
        <v>76</v>
      </c>
      <c r="D53" s="278">
        <f>'B) D RI'!AR54</f>
        <v>302</v>
      </c>
      <c r="E53" s="285">
        <f>'D) Ecrêtage'!N52</f>
        <v>10043.857368421051</v>
      </c>
      <c r="F53" s="289">
        <f>'E) Fact soc'!G58</f>
        <v>156330.26301174352</v>
      </c>
      <c r="G53" s="289">
        <f>'H) Péréquation directe'!I63</f>
        <v>82642.934407345136</v>
      </c>
      <c r="H53" s="289">
        <f>'I) Dépenses thématiques'!O52</f>
        <v>-5210</v>
      </c>
      <c r="I53" s="289">
        <f>'K) Plafonnement aide'!J52</f>
        <v>0</v>
      </c>
      <c r="J53" s="289">
        <f>'J) Plafonnement effort'!I52</f>
        <v>0</v>
      </c>
      <c r="K53" s="289">
        <f>'L) Plafonnement taux'!Q53</f>
        <v>0</v>
      </c>
      <c r="L53" s="401">
        <f t="shared" si="0"/>
        <v>233763.19741908865</v>
      </c>
      <c r="M53" s="401">
        <f>'M) Police'!O53</f>
        <v>32390.612675161607</v>
      </c>
      <c r="N53" s="401">
        <f t="shared" si="1"/>
        <v>266153.81009425025</v>
      </c>
    </row>
    <row r="54" spans="1:14" s="279" customFormat="1" x14ac:dyDescent="0.25">
      <c r="A54" s="275">
        <f>'B) D RI'!A55</f>
        <v>5484</v>
      </c>
      <c r="B54" s="276" t="str">
        <f>'B) D RI'!B55</f>
        <v>Gollion</v>
      </c>
      <c r="C54" s="277">
        <f>'B) D RI'!S55</f>
        <v>74</v>
      </c>
      <c r="D54" s="278">
        <f>'B) D RI'!AR55</f>
        <v>813</v>
      </c>
      <c r="E54" s="285">
        <f>'D) Ecrêtage'!N53</f>
        <v>24450.824189189188</v>
      </c>
      <c r="F54" s="289">
        <f>'E) Fact soc'!G59</f>
        <v>451247.70033792511</v>
      </c>
      <c r="G54" s="289">
        <f>'H) Péréquation directe'!I64</f>
        <v>128378.18192386779</v>
      </c>
      <c r="H54" s="289">
        <f>'I) Dépenses thématiques'!O53</f>
        <v>-166196</v>
      </c>
      <c r="I54" s="289">
        <f>'K) Plafonnement aide'!J53</f>
        <v>0</v>
      </c>
      <c r="J54" s="289">
        <f>'J) Plafonnement effort'!I53</f>
        <v>0</v>
      </c>
      <c r="K54" s="289">
        <f>'L) Plafonnement taux'!Q54</f>
        <v>0</v>
      </c>
      <c r="L54" s="401">
        <f t="shared" si="0"/>
        <v>413429.8822617929</v>
      </c>
      <c r="M54" s="401">
        <f>'M) Police'!O54</f>
        <v>78459.202887147432</v>
      </c>
      <c r="N54" s="401">
        <f t="shared" si="1"/>
        <v>491889.08514894033</v>
      </c>
    </row>
    <row r="55" spans="1:14" s="279" customFormat="1" x14ac:dyDescent="0.25">
      <c r="A55" s="275">
        <f>'B) D RI'!A56</f>
        <v>5485</v>
      </c>
      <c r="B55" s="276" t="str">
        <f>'B) D RI'!B56</f>
        <v>Grancy</v>
      </c>
      <c r="C55" s="277">
        <f>'B) D RI'!S56</f>
        <v>70</v>
      </c>
      <c r="D55" s="278">
        <f>'B) D RI'!AR56</f>
        <v>388</v>
      </c>
      <c r="E55" s="285">
        <f>'D) Ecrêtage'!N54</f>
        <v>18011.997142857144</v>
      </c>
      <c r="F55" s="289">
        <f>'E) Fact soc'!G60</f>
        <v>312987.0948290907</v>
      </c>
      <c r="G55" s="289">
        <f>'H) Péréquation directe'!I65</f>
        <v>295429</v>
      </c>
      <c r="H55" s="289">
        <f>'I) Dépenses thématiques'!O54</f>
        <v>-123401</v>
      </c>
      <c r="I55" s="289">
        <f>'K) Plafonnement aide'!J54</f>
        <v>0</v>
      </c>
      <c r="J55" s="289">
        <f>'J) Plafonnement effort'!I54</f>
        <v>0</v>
      </c>
      <c r="K55" s="289">
        <f>'L) Plafonnement taux'!Q55</f>
        <v>0</v>
      </c>
      <c r="L55" s="401">
        <f t="shared" si="0"/>
        <v>485015.09482909064</v>
      </c>
      <c r="M55" s="401">
        <f>'M) Police'!O55</f>
        <v>57637.522118205037</v>
      </c>
      <c r="N55" s="401">
        <f t="shared" si="1"/>
        <v>542652.61694729573</v>
      </c>
    </row>
    <row r="56" spans="1:14" s="279" customFormat="1" x14ac:dyDescent="0.25">
      <c r="A56" s="275">
        <f>'B) D RI'!A57</f>
        <v>5486</v>
      </c>
      <c r="B56" s="276" t="str">
        <f>'B) D RI'!B57</f>
        <v>L'Isle</v>
      </c>
      <c r="C56" s="277">
        <f>'B) D RI'!S57</f>
        <v>72</v>
      </c>
      <c r="D56" s="278">
        <f>'B) D RI'!AR57</f>
        <v>1004</v>
      </c>
      <c r="E56" s="285">
        <f>'D) Ecrêtage'!N55</f>
        <v>26627.790138888886</v>
      </c>
      <c r="F56" s="289">
        <f>'E) Fact soc'!G61</f>
        <v>551132.01183654182</v>
      </c>
      <c r="G56" s="289">
        <f>'H) Péréquation directe'!I66</f>
        <v>33857.268493019044</v>
      </c>
      <c r="H56" s="289">
        <f>'I) Dépenses thématiques'!O55</f>
        <v>-274254</v>
      </c>
      <c r="I56" s="289">
        <f>'K) Plafonnement aide'!J55</f>
        <v>0</v>
      </c>
      <c r="J56" s="289">
        <f>'J) Plafonnement effort'!I55</f>
        <v>0</v>
      </c>
      <c r="K56" s="289">
        <f>'L) Plafonnement taux'!Q56</f>
        <v>0</v>
      </c>
      <c r="L56" s="401">
        <f t="shared" si="0"/>
        <v>310735.28032956086</v>
      </c>
      <c r="M56" s="401">
        <f>'M) Police'!O56</f>
        <v>84474.762758058088</v>
      </c>
      <c r="N56" s="401">
        <f t="shared" si="1"/>
        <v>395210.04308761895</v>
      </c>
    </row>
    <row r="57" spans="1:14" s="279" customFormat="1" x14ac:dyDescent="0.25">
      <c r="A57" s="275">
        <f>'B) D RI'!A58</f>
        <v>5487</v>
      </c>
      <c r="B57" s="276" t="str">
        <f>'B) D RI'!B58</f>
        <v>Lussery-Villars</v>
      </c>
      <c r="C57" s="277">
        <f>'B) D RI'!S58</f>
        <v>65</v>
      </c>
      <c r="D57" s="278">
        <f>'B) D RI'!AR58</f>
        <v>404</v>
      </c>
      <c r="E57" s="285">
        <f>'D) Ecrêtage'!N56</f>
        <v>14161.564</v>
      </c>
      <c r="F57" s="289">
        <f>'E) Fact soc'!G62</f>
        <v>266915.18592007895</v>
      </c>
      <c r="G57" s="289">
        <f>'H) Péréquation directe'!I67</f>
        <v>162619.01295686315</v>
      </c>
      <c r="H57" s="289">
        <f>'I) Dépenses thématiques'!O56</f>
        <v>-17800</v>
      </c>
      <c r="I57" s="289">
        <f>'K) Plafonnement aide'!J56</f>
        <v>0</v>
      </c>
      <c r="J57" s="289">
        <f>'J) Plafonnement effort'!I56</f>
        <v>0</v>
      </c>
      <c r="K57" s="289">
        <f>'L) Plafonnement taux'!Q57</f>
        <v>0</v>
      </c>
      <c r="L57" s="401">
        <f t="shared" si="0"/>
        <v>411734.1988769421</v>
      </c>
      <c r="M57" s="401">
        <f>'M) Police'!O57</f>
        <v>45592.823797311641</v>
      </c>
      <c r="N57" s="401">
        <f t="shared" si="1"/>
        <v>457327.02267425373</v>
      </c>
    </row>
    <row r="58" spans="1:14" s="279" customFormat="1" x14ac:dyDescent="0.25">
      <c r="A58" s="275">
        <f>'B) D RI'!A59</f>
        <v>5488</v>
      </c>
      <c r="B58" s="276" t="str">
        <f>'B) D RI'!B59</f>
        <v>Mauraz</v>
      </c>
      <c r="C58" s="277">
        <f>'B) D RI'!S59</f>
        <v>74</v>
      </c>
      <c r="D58" s="278">
        <f>'B) D RI'!AR59</f>
        <v>49</v>
      </c>
      <c r="E58" s="285">
        <f>'D) Ecrêtage'!N57</f>
        <v>1648.4024324324325</v>
      </c>
      <c r="F58" s="289">
        <f>'E) Fact soc'!G63</f>
        <v>24372.742998832317</v>
      </c>
      <c r="G58" s="289">
        <f>'H) Péréquation directe'!I68</f>
        <v>14786.09773363941</v>
      </c>
      <c r="H58" s="289">
        <f>'I) Dépenses thématiques'!O57</f>
        <v>-2433</v>
      </c>
      <c r="I58" s="289">
        <f>'K) Plafonnement aide'!J57</f>
        <v>0</v>
      </c>
      <c r="J58" s="289">
        <f>'J) Plafonnement effort'!I57</f>
        <v>0</v>
      </c>
      <c r="K58" s="289">
        <f>'L) Plafonnement taux'!Q58</f>
        <v>0</v>
      </c>
      <c r="L58" s="401">
        <f t="shared" si="0"/>
        <v>36725.840732471726</v>
      </c>
      <c r="M58" s="401">
        <f>'M) Police'!O58</f>
        <v>5292.9062044018383</v>
      </c>
      <c r="N58" s="401">
        <f t="shared" si="1"/>
        <v>42018.746936873562</v>
      </c>
    </row>
    <row r="59" spans="1:14" s="279" customFormat="1" x14ac:dyDescent="0.25">
      <c r="A59" s="275">
        <f>'B) D RI'!A60</f>
        <v>5489</v>
      </c>
      <c r="B59" s="276" t="str">
        <f>'B) D RI'!B60</f>
        <v>Mex</v>
      </c>
      <c r="C59" s="277">
        <f>'B) D RI'!S60</f>
        <v>61</v>
      </c>
      <c r="D59" s="278">
        <f>'B) D RI'!AR60</f>
        <v>670</v>
      </c>
      <c r="E59" s="285">
        <f>'D) Ecrêtage'!N58</f>
        <v>47065.380385310324</v>
      </c>
      <c r="F59" s="289">
        <f>'E) Fact soc'!G64</f>
        <v>1205808.0500083894</v>
      </c>
      <c r="G59" s="289">
        <f>'H) Péréquation directe'!I69</f>
        <v>806340</v>
      </c>
      <c r="H59" s="289">
        <f>'I) Dépenses thématiques'!O58</f>
        <v>-12448</v>
      </c>
      <c r="I59" s="289">
        <f>'K) Plafonnement aide'!J58</f>
        <v>0</v>
      </c>
      <c r="J59" s="289">
        <f>'J) Plafonnement effort'!I58</f>
        <v>0</v>
      </c>
      <c r="K59" s="289">
        <f>'L) Plafonnement taux'!Q59</f>
        <v>0</v>
      </c>
      <c r="L59" s="401">
        <f t="shared" si="0"/>
        <v>1999700.0500083894</v>
      </c>
      <c r="M59" s="401">
        <f>'M) Police'!O59</f>
        <v>121075.58548609199</v>
      </c>
      <c r="N59" s="401">
        <f t="shared" si="1"/>
        <v>2120775.6354944813</v>
      </c>
    </row>
    <row r="60" spans="1:14" s="279" customFormat="1" x14ac:dyDescent="0.25">
      <c r="A60" s="275">
        <f>'B) D RI'!A61</f>
        <v>5490</v>
      </c>
      <c r="B60" s="276" t="str">
        <f>'B) D RI'!B61</f>
        <v>Moiry</v>
      </c>
      <c r="C60" s="277">
        <f>'B) D RI'!S61</f>
        <v>81</v>
      </c>
      <c r="D60" s="278">
        <f>'B) D RI'!AR61</f>
        <v>263</v>
      </c>
      <c r="E60" s="285">
        <f>'D) Ecrêtage'!N59</f>
        <v>7150.2259259259263</v>
      </c>
      <c r="F60" s="289">
        <f>'E) Fact soc'!G65</f>
        <v>141306.96829482529</v>
      </c>
      <c r="G60" s="289">
        <f>'H) Péréquation directe'!I70</f>
        <v>-8022.6680730770458</v>
      </c>
      <c r="H60" s="289">
        <f>'I) Dépenses thématiques'!O59</f>
        <v>-18424</v>
      </c>
      <c r="I60" s="289">
        <f>'K) Plafonnement aide'!J59</f>
        <v>0</v>
      </c>
      <c r="J60" s="289">
        <f>'J) Plafonnement effort'!I59</f>
        <v>0</v>
      </c>
      <c r="K60" s="289">
        <f>'L) Plafonnement taux'!Q60</f>
        <v>-11243.24568316968</v>
      </c>
      <c r="L60" s="401">
        <f t="shared" si="0"/>
        <v>103617.05453857857</v>
      </c>
      <c r="M60" s="401">
        <f>'M) Police'!O60</f>
        <v>23073.971525436216</v>
      </c>
      <c r="N60" s="401">
        <f t="shared" si="1"/>
        <v>126691.02606401479</v>
      </c>
    </row>
    <row r="61" spans="1:14" s="279" customFormat="1" x14ac:dyDescent="0.25">
      <c r="A61" s="275">
        <f>'B) D RI'!A62</f>
        <v>5491</v>
      </c>
      <c r="B61" s="276" t="str">
        <f>'B) D RI'!B62</f>
        <v>Mont-la-Ville</v>
      </c>
      <c r="C61" s="277">
        <f>'B) D RI'!S62</f>
        <v>76</v>
      </c>
      <c r="D61" s="278">
        <f>'B) D RI'!AR62</f>
        <v>372</v>
      </c>
      <c r="E61" s="285">
        <f>'D) Ecrêtage'!N60</f>
        <v>9158.0513157894729</v>
      </c>
      <c r="F61" s="289">
        <f>'E) Fact soc'!G66</f>
        <v>215729.02240907014</v>
      </c>
      <c r="G61" s="289">
        <f>'H) Péréquation directe'!I71</f>
        <v>-31671.899749738048</v>
      </c>
      <c r="H61" s="289">
        <f>'I) Dépenses thématiques'!O60</f>
        <v>-92135</v>
      </c>
      <c r="I61" s="289">
        <f>'K) Plafonnement aide'!J60</f>
        <v>0</v>
      </c>
      <c r="J61" s="289">
        <f>'J) Plafonnement effort'!I60</f>
        <v>0</v>
      </c>
      <c r="K61" s="289">
        <f>'L) Plafonnement taux'!Q61</f>
        <v>0</v>
      </c>
      <c r="L61" s="401">
        <f t="shared" si="0"/>
        <v>91922.12265933209</v>
      </c>
      <c r="M61" s="401">
        <f>'M) Police'!O61</f>
        <v>29106.63446838599</v>
      </c>
      <c r="N61" s="401">
        <f t="shared" si="1"/>
        <v>121028.75712771808</v>
      </c>
    </row>
    <row r="62" spans="1:14" s="279" customFormat="1" x14ac:dyDescent="0.25">
      <c r="A62" s="275">
        <f>'B) D RI'!A63</f>
        <v>5492</v>
      </c>
      <c r="B62" s="276" t="str">
        <f>'B) D RI'!B63</f>
        <v>Montricher</v>
      </c>
      <c r="C62" s="277">
        <f>'B) D RI'!S63</f>
        <v>64</v>
      </c>
      <c r="D62" s="278">
        <f>'B) D RI'!AR63</f>
        <v>930</v>
      </c>
      <c r="E62" s="285">
        <f>'D) Ecrêtage'!N61</f>
        <v>97460.937276275261</v>
      </c>
      <c r="F62" s="289">
        <f>'E) Fact soc'!G67</f>
        <v>5047627.7895829827</v>
      </c>
      <c r="G62" s="289">
        <f>'H) Péréquation directe'!I72</f>
        <v>1715475</v>
      </c>
      <c r="H62" s="289">
        <f>'I) Dépenses thématiques'!O61</f>
        <v>-306998</v>
      </c>
      <c r="I62" s="289">
        <f>'K) Plafonnement aide'!J61</f>
        <v>0</v>
      </c>
      <c r="J62" s="289">
        <f>'J) Plafonnement effort'!I61</f>
        <v>0</v>
      </c>
      <c r="K62" s="289">
        <f>'L) Plafonnement taux'!Q62</f>
        <v>0</v>
      </c>
      <c r="L62" s="401">
        <f t="shared" ref="L62:L116" si="2">F62+G62+H62+I62+J62+K62</f>
        <v>6456104.7895829827</v>
      </c>
      <c r="M62" s="401">
        <f>'M) Police'!O62</f>
        <v>211433.31401545217</v>
      </c>
      <c r="N62" s="401">
        <f t="shared" si="1"/>
        <v>6667538.1035984345</v>
      </c>
    </row>
    <row r="63" spans="1:14" s="279" customFormat="1" x14ac:dyDescent="0.25">
      <c r="A63" s="275">
        <f>'B) D RI'!A64</f>
        <v>5493</v>
      </c>
      <c r="B63" s="276" t="str">
        <f>'B) D RI'!B64</f>
        <v>Orny</v>
      </c>
      <c r="C63" s="277">
        <f>'B) D RI'!S64</f>
        <v>73</v>
      </c>
      <c r="D63" s="278">
        <f>'B) D RI'!AR64</f>
        <v>364</v>
      </c>
      <c r="E63" s="285">
        <f>'D) Ecrêtage'!N62</f>
        <v>9474.9746364594321</v>
      </c>
      <c r="F63" s="289">
        <f>'E) Fact soc'!G68</f>
        <v>185689.69769833778</v>
      </c>
      <c r="G63" s="289">
        <f>'H) Péréquation directe'!I73</f>
        <v>1886.4723082601267</v>
      </c>
      <c r="H63" s="289">
        <f>'I) Dépenses thématiques'!O62</f>
        <v>-53237</v>
      </c>
      <c r="I63" s="289">
        <f>'K) Plafonnement aide'!J62</f>
        <v>0</v>
      </c>
      <c r="J63" s="289">
        <f>'J) Plafonnement effort'!I62</f>
        <v>0</v>
      </c>
      <c r="K63" s="289">
        <f>'L) Plafonnement taux'!Q63</f>
        <v>0</v>
      </c>
      <c r="L63" s="401">
        <f t="shared" si="2"/>
        <v>134339.17000659791</v>
      </c>
      <c r="M63" s="401">
        <f>'M) Police'!O63</f>
        <v>30408.065626067368</v>
      </c>
      <c r="N63" s="401">
        <f t="shared" si="1"/>
        <v>164747.23563266528</v>
      </c>
    </row>
    <row r="64" spans="1:14" s="279" customFormat="1" x14ac:dyDescent="0.25">
      <c r="A64" s="275">
        <f>'B) D RI'!A65</f>
        <v>5494</v>
      </c>
      <c r="B64" s="276" t="str">
        <f>'B) D RI'!B65</f>
        <v>Pampigny</v>
      </c>
      <c r="C64" s="277">
        <f>'B) D RI'!S65</f>
        <v>75</v>
      </c>
      <c r="D64" s="278">
        <f>'B) D RI'!AR65</f>
        <v>1104</v>
      </c>
      <c r="E64" s="285">
        <f>'D) Ecrêtage'!N63</f>
        <v>34918.82189206349</v>
      </c>
      <c r="F64" s="289">
        <f>'E) Fact soc'!G69</f>
        <v>579368.95458286116</v>
      </c>
      <c r="G64" s="289">
        <f>'H) Péréquation directe'!I74</f>
        <v>209555.98941397172</v>
      </c>
      <c r="H64" s="289">
        <f>'I) Dépenses thématiques'!O63</f>
        <v>-195062</v>
      </c>
      <c r="I64" s="289">
        <f>'K) Plafonnement aide'!J63</f>
        <v>0</v>
      </c>
      <c r="J64" s="289">
        <f>'J) Plafonnement effort'!I63</f>
        <v>0</v>
      </c>
      <c r="K64" s="289">
        <f>'L) Plafonnement taux'!Q64</f>
        <v>0</v>
      </c>
      <c r="L64" s="401">
        <f t="shared" si="2"/>
        <v>593862.94399683294</v>
      </c>
      <c r="M64" s="401">
        <f>'M) Police'!O64</f>
        <v>111842.3416698371</v>
      </c>
      <c r="N64" s="401">
        <f t="shared" si="1"/>
        <v>705705.28566667007</v>
      </c>
    </row>
    <row r="65" spans="1:14" s="279" customFormat="1" x14ac:dyDescent="0.25">
      <c r="A65" s="275">
        <f>'B) D RI'!A66</f>
        <v>5495</v>
      </c>
      <c r="B65" s="276" t="str">
        <f>'B) D RI'!B66</f>
        <v>Penthalaz</v>
      </c>
      <c r="C65" s="277">
        <f>'B) D RI'!S66</f>
        <v>74</v>
      </c>
      <c r="D65" s="278">
        <f>'B) D RI'!AR66</f>
        <v>3150</v>
      </c>
      <c r="E65" s="285">
        <f>'D) Ecrêtage'!N64</f>
        <v>87716.055405405408</v>
      </c>
      <c r="F65" s="289">
        <f>'E) Fact soc'!G70</f>
        <v>1531928.3968585725</v>
      </c>
      <c r="G65" s="289">
        <f>'H) Péréquation directe'!I75</f>
        <v>-345740.24884863477</v>
      </c>
      <c r="H65" s="289">
        <f>'I) Dépenses thématiques'!O64</f>
        <v>-452762</v>
      </c>
      <c r="I65" s="289">
        <f>'K) Plafonnement aide'!J64</f>
        <v>0</v>
      </c>
      <c r="J65" s="289">
        <f>'J) Plafonnement effort'!I64</f>
        <v>0</v>
      </c>
      <c r="K65" s="289">
        <f>'L) Plafonnement taux'!Q65</f>
        <v>0</v>
      </c>
      <c r="L65" s="401">
        <f t="shared" si="2"/>
        <v>733426.14800993772</v>
      </c>
      <c r="M65" s="401">
        <f>'M) Police'!O65</f>
        <v>278627.09251130041</v>
      </c>
      <c r="N65" s="401">
        <f t="shared" si="1"/>
        <v>1012053.2405212382</v>
      </c>
    </row>
    <row r="66" spans="1:14" s="279" customFormat="1" x14ac:dyDescent="0.25">
      <c r="A66" s="275">
        <f>'B) D RI'!A67</f>
        <v>5496</v>
      </c>
      <c r="B66" s="276" t="str">
        <f>'B) D RI'!B67</f>
        <v>Penthaz</v>
      </c>
      <c r="C66" s="277">
        <f>'B) D RI'!S67</f>
        <v>71</v>
      </c>
      <c r="D66" s="278">
        <f>'B) D RI'!AR67</f>
        <v>1666</v>
      </c>
      <c r="E66" s="285">
        <f>'D) Ecrêtage'!N65</f>
        <v>51566.366901408452</v>
      </c>
      <c r="F66" s="289">
        <f>'E) Fact soc'!G71</f>
        <v>874831.91831175343</v>
      </c>
      <c r="G66" s="289">
        <f>'H) Péréquation directe'!I76</f>
        <v>192728.03882667236</v>
      </c>
      <c r="H66" s="289">
        <f>'I) Dépenses thématiques'!O65</f>
        <v>-227738</v>
      </c>
      <c r="I66" s="289">
        <f>'K) Plafonnement aide'!J65</f>
        <v>0</v>
      </c>
      <c r="J66" s="289">
        <f>'J) Plafonnement effort'!I65</f>
        <v>0</v>
      </c>
      <c r="K66" s="289">
        <f>'L) Plafonnement taux'!Q66</f>
        <v>0</v>
      </c>
      <c r="L66" s="401">
        <f t="shared" si="2"/>
        <v>839821.95713842567</v>
      </c>
      <c r="M66" s="401">
        <f>'M) Police'!O66</f>
        <v>164326.49045043497</v>
      </c>
      <c r="N66" s="401">
        <f t="shared" si="1"/>
        <v>1004148.4475888606</v>
      </c>
    </row>
    <row r="67" spans="1:14" s="279" customFormat="1" x14ac:dyDescent="0.25">
      <c r="A67" s="275">
        <f>'B) D RI'!A68</f>
        <v>5497</v>
      </c>
      <c r="B67" s="276" t="str">
        <f>'B) D RI'!B68</f>
        <v>Pompaples</v>
      </c>
      <c r="C67" s="277">
        <f>'B) D RI'!S68</f>
        <v>66</v>
      </c>
      <c r="D67" s="278">
        <f>'B) D RI'!AR68</f>
        <v>839</v>
      </c>
      <c r="E67" s="285">
        <f>'D) Ecrêtage'!N66</f>
        <v>20299.313939393938</v>
      </c>
      <c r="F67" s="289">
        <f>'E) Fact soc'!G72</f>
        <v>380742.22810936149</v>
      </c>
      <c r="G67" s="289">
        <f>'H) Péréquation directe'!I77</f>
        <v>6970.0140548497438</v>
      </c>
      <c r="H67" s="289">
        <f>'I) Dépenses thématiques'!O66</f>
        <v>-156036</v>
      </c>
      <c r="I67" s="289">
        <f>'K) Plafonnement aide'!J66</f>
        <v>0</v>
      </c>
      <c r="J67" s="289">
        <f>'J) Plafonnement effort'!I66</f>
        <v>0</v>
      </c>
      <c r="K67" s="289">
        <f>'L) Plafonnement taux'!Q67</f>
        <v>0</v>
      </c>
      <c r="L67" s="401">
        <f t="shared" si="2"/>
        <v>231676.24216421123</v>
      </c>
      <c r="M67" s="401">
        <f>'M) Police'!O67</f>
        <v>64372.397515001445</v>
      </c>
      <c r="N67" s="401">
        <f t="shared" si="1"/>
        <v>296048.63967921271</v>
      </c>
    </row>
    <row r="68" spans="1:14" s="279" customFormat="1" x14ac:dyDescent="0.25">
      <c r="A68" s="275">
        <f>'B) D RI'!A69</f>
        <v>5498</v>
      </c>
      <c r="B68" s="276" t="str">
        <f>'B) D RI'!B69</f>
        <v>La Sarraz</v>
      </c>
      <c r="C68" s="277">
        <f>'B) D RI'!S69</f>
        <v>64</v>
      </c>
      <c r="D68" s="278">
        <f>'B) D RI'!AR69</f>
        <v>2510</v>
      </c>
      <c r="E68" s="285">
        <f>'D) Ecrêtage'!N67</f>
        <v>72296.623593750002</v>
      </c>
      <c r="F68" s="289">
        <f>'E) Fact soc'!G73</f>
        <v>1200443.7560048797</v>
      </c>
      <c r="G68" s="289">
        <f>'H) Péréquation directe'!I78</f>
        <v>97503.756615422666</v>
      </c>
      <c r="H68" s="289">
        <f>'I) Dépenses thématiques'!O67</f>
        <v>-438505</v>
      </c>
      <c r="I68" s="289">
        <f>'K) Plafonnement aide'!J67</f>
        <v>0</v>
      </c>
      <c r="J68" s="289">
        <f>'J) Plafonnement effort'!I67</f>
        <v>0</v>
      </c>
      <c r="K68" s="289">
        <f>'L) Plafonnement taux'!Q68</f>
        <v>0</v>
      </c>
      <c r="L68" s="401">
        <f t="shared" si="2"/>
        <v>859442.51262030238</v>
      </c>
      <c r="M68" s="401">
        <f>'M) Police'!O68</f>
        <v>230779.74275809946</v>
      </c>
      <c r="N68" s="401">
        <f t="shared" si="1"/>
        <v>1090222.2553784018</v>
      </c>
    </row>
    <row r="69" spans="1:14" s="279" customFormat="1" x14ac:dyDescent="0.25">
      <c r="A69" s="275">
        <f>'B) D RI'!A70</f>
        <v>5499</v>
      </c>
      <c r="B69" s="276" t="str">
        <f>'B) D RI'!B70</f>
        <v>Senarclens</v>
      </c>
      <c r="C69" s="277">
        <f>'B) D RI'!S70</f>
        <v>68.5</v>
      </c>
      <c r="D69" s="278">
        <f>'B) D RI'!AR70</f>
        <v>435</v>
      </c>
      <c r="E69" s="285">
        <f>'D) Ecrêtage'!N68</f>
        <v>17459.062919708031</v>
      </c>
      <c r="F69" s="289">
        <f>'E) Fact soc'!G74</f>
        <v>270924.99898723996</v>
      </c>
      <c r="G69" s="289">
        <f>'H) Péréquation directe'!I79</f>
        <v>250266.70558409326</v>
      </c>
      <c r="H69" s="289">
        <f>'I) Dépenses thématiques'!O68</f>
        <v>-15156</v>
      </c>
      <c r="I69" s="289">
        <f>'K) Plafonnement aide'!J68</f>
        <v>0</v>
      </c>
      <c r="J69" s="289">
        <f>'J) Plafonnement effort'!I68</f>
        <v>0</v>
      </c>
      <c r="K69" s="289">
        <f>'L) Plafonnement taux'!Q69</f>
        <v>0</v>
      </c>
      <c r="L69" s="401">
        <f t="shared" si="2"/>
        <v>506035.70457133325</v>
      </c>
      <c r="M69" s="401">
        <f>'M) Police'!O69</f>
        <v>56023.771345486821</v>
      </c>
      <c r="N69" s="401">
        <f t="shared" si="1"/>
        <v>562059.47591682011</v>
      </c>
    </row>
    <row r="70" spans="1:14" s="279" customFormat="1" x14ac:dyDescent="0.25">
      <c r="A70" s="275">
        <f>'B) D RI'!A71</f>
        <v>5500</v>
      </c>
      <c r="B70" s="276" t="str">
        <f>'B) D RI'!B71</f>
        <v>Sévery</v>
      </c>
      <c r="C70" s="277">
        <f>'B) D RI'!S71</f>
        <v>78</v>
      </c>
      <c r="D70" s="278">
        <f>'B) D RI'!AR71</f>
        <v>223</v>
      </c>
      <c r="E70" s="285">
        <f>'D) Ecrêtage'!N69</f>
        <v>6102.0277564102553</v>
      </c>
      <c r="F70" s="289">
        <f>'E) Fact soc'!G75</f>
        <v>94147.715593514135</v>
      </c>
      <c r="G70" s="289">
        <f>'H) Péréquation directe'!I80</f>
        <v>1929.850725232056</v>
      </c>
      <c r="H70" s="289">
        <f>'I) Dépenses thématiques'!O69</f>
        <v>-6758</v>
      </c>
      <c r="I70" s="289">
        <f>'K) Plafonnement aide'!J69</f>
        <v>0</v>
      </c>
      <c r="J70" s="289">
        <f>'J) Plafonnement effort'!I69</f>
        <v>0</v>
      </c>
      <c r="K70" s="289">
        <f>'L) Plafonnement taux'!Q70</f>
        <v>0</v>
      </c>
      <c r="L70" s="401">
        <f t="shared" si="2"/>
        <v>89319.566318746191</v>
      </c>
      <c r="M70" s="401">
        <f>'M) Police'!O70</f>
        <v>19577.712150698491</v>
      </c>
      <c r="N70" s="401">
        <f t="shared" si="1"/>
        <v>108897.27846944469</v>
      </c>
    </row>
    <row r="71" spans="1:14" s="279" customFormat="1" x14ac:dyDescent="0.25">
      <c r="A71" s="275">
        <f>'B) D RI'!A72</f>
        <v>5501</v>
      </c>
      <c r="B71" s="276" t="str">
        <f>'B) D RI'!B72</f>
        <v>Sullens</v>
      </c>
      <c r="C71" s="277">
        <f>'B) D RI'!S72</f>
        <v>72</v>
      </c>
      <c r="D71" s="278">
        <f>'B) D RI'!AR72</f>
        <v>902</v>
      </c>
      <c r="E71" s="285">
        <f>'D) Ecrêtage'!N70</f>
        <v>37787.89666666666</v>
      </c>
      <c r="F71" s="289">
        <f>'E) Fact soc'!G76</f>
        <v>772428.9173838282</v>
      </c>
      <c r="G71" s="289">
        <f>'H) Péréquation directe'!I81</f>
        <v>574490.79547846946</v>
      </c>
      <c r="H71" s="289">
        <f>'I) Dépenses thématiques'!O70</f>
        <v>-5559</v>
      </c>
      <c r="I71" s="289">
        <f>'K) Plafonnement aide'!J70</f>
        <v>0</v>
      </c>
      <c r="J71" s="289">
        <f>'J) Plafonnement effort'!I70</f>
        <v>0</v>
      </c>
      <c r="K71" s="289">
        <f>'L) Plafonnement taux'!Q71</f>
        <v>0</v>
      </c>
      <c r="L71" s="401">
        <f t="shared" si="2"/>
        <v>1341360.7128622977</v>
      </c>
      <c r="M71" s="401">
        <f>'M) Police'!O71</f>
        <v>121750.87708150786</v>
      </c>
      <c r="N71" s="401">
        <f t="shared" ref="N71:N134" si="3">L71+M71</f>
        <v>1463111.5899438055</v>
      </c>
    </row>
    <row r="72" spans="1:14" s="279" customFormat="1" x14ac:dyDescent="0.25">
      <c r="A72" s="275">
        <f>'B) D RI'!A73</f>
        <v>5503</v>
      </c>
      <c r="B72" s="276" t="str">
        <f>'B) D RI'!B73</f>
        <v>Vufflens-la-Ville</v>
      </c>
      <c r="C72" s="277">
        <f>'B) D RI'!S73</f>
        <v>67</v>
      </c>
      <c r="D72" s="278">
        <f>'B) D RI'!AR73</f>
        <v>1226</v>
      </c>
      <c r="E72" s="285">
        <f>'D) Ecrêtage'!N71</f>
        <v>57812.991915422885</v>
      </c>
      <c r="F72" s="289">
        <f>'E) Fact soc'!G77</f>
        <v>934568.79699399578</v>
      </c>
      <c r="G72" s="289">
        <f>'H) Péréquation directe'!I82</f>
        <v>893672</v>
      </c>
      <c r="H72" s="289">
        <f>'I) Dépenses thématiques'!O71</f>
        <v>0</v>
      </c>
      <c r="I72" s="289">
        <f>'K) Plafonnement aide'!J71</f>
        <v>0</v>
      </c>
      <c r="J72" s="289">
        <f>'J) Plafonnement effort'!I71</f>
        <v>0</v>
      </c>
      <c r="K72" s="289">
        <f>'L) Plafonnement taux'!Q72</f>
        <v>0</v>
      </c>
      <c r="L72" s="401">
        <f t="shared" si="2"/>
        <v>1828240.7969939958</v>
      </c>
      <c r="M72" s="401">
        <f>'M) Police'!O72</f>
        <v>183335.94160738203</v>
      </c>
      <c r="N72" s="401">
        <f t="shared" si="3"/>
        <v>2011576.7386013777</v>
      </c>
    </row>
    <row r="73" spans="1:14" s="279" customFormat="1" x14ac:dyDescent="0.25">
      <c r="A73" s="275">
        <f>'B) D RI'!A74</f>
        <v>5511</v>
      </c>
      <c r="B73" s="276" t="str">
        <f>'B) D RI'!B74</f>
        <v>Assens</v>
      </c>
      <c r="C73" s="277">
        <f>'B) D RI'!S74</f>
        <v>70</v>
      </c>
      <c r="D73" s="278">
        <f>'B) D RI'!AR74</f>
        <v>1024</v>
      </c>
      <c r="E73" s="285">
        <f>'D) Ecrêtage'!N72</f>
        <v>39783.593571428566</v>
      </c>
      <c r="F73" s="289">
        <f>'E) Fact soc'!G78</f>
        <v>665234.85865644203</v>
      </c>
      <c r="G73" s="289">
        <f>'H) Péréquation directe'!I83</f>
        <v>529940.35923460661</v>
      </c>
      <c r="H73" s="289">
        <f>'I) Dépenses thématiques'!O72</f>
        <v>-179105</v>
      </c>
      <c r="I73" s="289">
        <f>'K) Plafonnement aide'!J72</f>
        <v>0</v>
      </c>
      <c r="J73" s="289">
        <f>'J) Plafonnement effort'!I72</f>
        <v>0</v>
      </c>
      <c r="K73" s="289">
        <f>'L) Plafonnement taux'!Q73</f>
        <v>0</v>
      </c>
      <c r="L73" s="401">
        <f t="shared" si="2"/>
        <v>1016070.2178910486</v>
      </c>
      <c r="M73" s="401">
        <f>'M) Police'!O73</f>
        <v>127461.17294387237</v>
      </c>
      <c r="N73" s="401">
        <f t="shared" si="3"/>
        <v>1143531.390834921</v>
      </c>
    </row>
    <row r="74" spans="1:14" s="279" customFormat="1" x14ac:dyDescent="0.25">
      <c r="A74" s="275">
        <f>'B) D RI'!A75</f>
        <v>5512</v>
      </c>
      <c r="B74" s="276" t="str">
        <f>'B) D RI'!B75</f>
        <v>Bercher</v>
      </c>
      <c r="C74" s="277">
        <f>'B) D RI'!S75</f>
        <v>79</v>
      </c>
      <c r="D74" s="278">
        <f>'B) D RI'!AR75</f>
        <v>1143</v>
      </c>
      <c r="E74" s="285">
        <f>'D) Ecrêtage'!N73</f>
        <v>36622.722911392411</v>
      </c>
      <c r="F74" s="289">
        <f>'E) Fact soc'!G79</f>
        <v>590828.27166274854</v>
      </c>
      <c r="G74" s="289">
        <f>'H) Péréquation directe'!I84</f>
        <v>194290.52404250589</v>
      </c>
      <c r="H74" s="289">
        <f>'I) Dépenses thématiques'!O73</f>
        <v>-162433</v>
      </c>
      <c r="I74" s="289">
        <f>'K) Plafonnement aide'!J73</f>
        <v>0</v>
      </c>
      <c r="J74" s="289">
        <f>'J) Plafonnement effort'!I73</f>
        <v>0</v>
      </c>
      <c r="K74" s="289">
        <f>'L) Plafonnement taux'!Q74</f>
        <v>0</v>
      </c>
      <c r="L74" s="401">
        <f t="shared" si="2"/>
        <v>622685.79570525442</v>
      </c>
      <c r="M74" s="401">
        <f>'M) Police'!O74</f>
        <v>116952.05451057729</v>
      </c>
      <c r="N74" s="401">
        <f t="shared" si="3"/>
        <v>739637.85021583177</v>
      </c>
    </row>
    <row r="75" spans="1:14" s="279" customFormat="1" x14ac:dyDescent="0.25">
      <c r="A75" s="275">
        <f>'B) D RI'!A76</f>
        <v>5513</v>
      </c>
      <c r="B75" s="276" t="str">
        <f>'B) D RI'!B76</f>
        <v>Bioley-Orjulaz</v>
      </c>
      <c r="C75" s="277">
        <f>'B) D RI'!S76</f>
        <v>66</v>
      </c>
      <c r="D75" s="278">
        <f>'B) D RI'!AR76</f>
        <v>460</v>
      </c>
      <c r="E75" s="285">
        <f>'D) Ecrêtage'!N74</f>
        <v>28667.291930654523</v>
      </c>
      <c r="F75" s="289">
        <f>'E) Fact soc'!G80</f>
        <v>758754.35051827063</v>
      </c>
      <c r="G75" s="289">
        <f>'H) Péréquation directe'!I85</f>
        <v>485947</v>
      </c>
      <c r="H75" s="289">
        <f>'I) Dépenses thématiques'!O74</f>
        <v>0</v>
      </c>
      <c r="I75" s="289">
        <f>'K) Plafonnement aide'!J74</f>
        <v>0</v>
      </c>
      <c r="J75" s="289">
        <f>'J) Plafonnement effort'!I74</f>
        <v>0</v>
      </c>
      <c r="K75" s="289">
        <f>'L) Plafonnement taux'!Q75</f>
        <v>0</v>
      </c>
      <c r="L75" s="401">
        <f t="shared" si="2"/>
        <v>1244701.3505182706</v>
      </c>
      <c r="M75" s="401">
        <f>'M) Police'!O75</f>
        <v>78204.555478134629</v>
      </c>
      <c r="N75" s="401">
        <f t="shared" si="3"/>
        <v>1322905.9059964053</v>
      </c>
    </row>
    <row r="76" spans="1:14" s="279" customFormat="1" x14ac:dyDescent="0.25">
      <c r="A76" s="275">
        <f>'B) D RI'!A77</f>
        <v>5514</v>
      </c>
      <c r="B76" s="276" t="str">
        <f>'B) D RI'!B77</f>
        <v>Bottens</v>
      </c>
      <c r="C76" s="277">
        <f>'B) D RI'!S77</f>
        <v>69</v>
      </c>
      <c r="D76" s="278">
        <f>'B) D RI'!AR77</f>
        <v>1281</v>
      </c>
      <c r="E76" s="285">
        <f>'D) Ecrêtage'!N75</f>
        <v>42846.050910973077</v>
      </c>
      <c r="F76" s="289">
        <f>'E) Fact soc'!G81</f>
        <v>702732.55825596303</v>
      </c>
      <c r="G76" s="289">
        <f>'H) Péréquation directe'!I86</f>
        <v>344209.03036009718</v>
      </c>
      <c r="H76" s="289">
        <f>'I) Dépenses thématiques'!O75</f>
        <v>-1994</v>
      </c>
      <c r="I76" s="289">
        <f>'K) Plafonnement aide'!J75</f>
        <v>0</v>
      </c>
      <c r="J76" s="289">
        <f>'J) Plafonnement effort'!I75</f>
        <v>0</v>
      </c>
      <c r="K76" s="289">
        <f>'L) Plafonnement taux'!Q76</f>
        <v>0</v>
      </c>
      <c r="L76" s="401">
        <f t="shared" si="2"/>
        <v>1044947.5886160602</v>
      </c>
      <c r="M76" s="401">
        <f>'M) Police'!O76</f>
        <v>137649.34684823401</v>
      </c>
      <c r="N76" s="401">
        <f t="shared" si="3"/>
        <v>1182596.9354642942</v>
      </c>
    </row>
    <row r="77" spans="1:14" s="279" customFormat="1" x14ac:dyDescent="0.25">
      <c r="A77" s="275">
        <f>'B) D RI'!A78</f>
        <v>5515</v>
      </c>
      <c r="B77" s="276" t="str">
        <f>'B) D RI'!B78</f>
        <v>Bretigny-sur-Morrens</v>
      </c>
      <c r="C77" s="277">
        <f>'B) D RI'!S78</f>
        <v>73</v>
      </c>
      <c r="D77" s="278">
        <f>'B) D RI'!AR78</f>
        <v>785</v>
      </c>
      <c r="E77" s="285">
        <f>'D) Ecrêtage'!N76</f>
        <v>22223.6698630137</v>
      </c>
      <c r="F77" s="289">
        <f>'E) Fact soc'!G82</f>
        <v>430728.49980488699</v>
      </c>
      <c r="G77" s="289">
        <f>'H) Péréquation directe'!I87</f>
        <v>75223.251473345095</v>
      </c>
      <c r="H77" s="289">
        <f>'I) Dépenses thématiques'!O76</f>
        <v>-82993</v>
      </c>
      <c r="I77" s="289">
        <f>'K) Plafonnement aide'!J76</f>
        <v>0</v>
      </c>
      <c r="J77" s="289">
        <f>'J) Plafonnement effort'!I76</f>
        <v>0</v>
      </c>
      <c r="K77" s="289">
        <f>'L) Plafonnement taux'!Q77</f>
        <v>0</v>
      </c>
      <c r="L77" s="401">
        <f t="shared" si="2"/>
        <v>422958.75127823208</v>
      </c>
      <c r="M77" s="401">
        <f>'M) Police'!O77</f>
        <v>70757.388319920501</v>
      </c>
      <c r="N77" s="401">
        <f t="shared" si="3"/>
        <v>493716.1395981526</v>
      </c>
    </row>
    <row r="78" spans="1:14" s="279" customFormat="1" x14ac:dyDescent="0.25">
      <c r="A78" s="275">
        <f>'B) D RI'!A79</f>
        <v>5516</v>
      </c>
      <c r="B78" s="276" t="str">
        <f>'B) D RI'!B79</f>
        <v>Cugy</v>
      </c>
      <c r="C78" s="277">
        <f>'B) D RI'!S79</f>
        <v>67</v>
      </c>
      <c r="D78" s="278">
        <f>'B) D RI'!AR79</f>
        <v>2738</v>
      </c>
      <c r="E78" s="285">
        <f>'D) Ecrêtage'!N77</f>
        <v>117631.39925373136</v>
      </c>
      <c r="F78" s="289">
        <f>'E) Fact soc'!G83</f>
        <v>1900335.3301132082</v>
      </c>
      <c r="G78" s="289">
        <f>'H) Péréquation directe'!I88</f>
        <v>1430785.4940660005</v>
      </c>
      <c r="H78" s="289">
        <f>'I) Dépenses thématiques'!O77</f>
        <v>-93077</v>
      </c>
      <c r="I78" s="289">
        <f>'K) Plafonnement aide'!J77</f>
        <v>0</v>
      </c>
      <c r="J78" s="289">
        <f>'J) Plafonnement effort'!I77</f>
        <v>0</v>
      </c>
      <c r="K78" s="289">
        <f>'L) Plafonnement taux'!Q78</f>
        <v>0</v>
      </c>
      <c r="L78" s="401">
        <f t="shared" si="2"/>
        <v>3238043.8241792088</v>
      </c>
      <c r="M78" s="401">
        <f>'M) Police'!O78</f>
        <v>377719.89709310385</v>
      </c>
      <c r="N78" s="401">
        <f t="shared" si="3"/>
        <v>3615763.7212723126</v>
      </c>
    </row>
    <row r="79" spans="1:14" s="279" customFormat="1" x14ac:dyDescent="0.25">
      <c r="A79" s="275">
        <f>'B) D RI'!A80</f>
        <v>5518</v>
      </c>
      <c r="B79" s="276" t="str">
        <f>'B) D RI'!B80</f>
        <v>Echallens</v>
      </c>
      <c r="C79" s="277">
        <f>'B) D RI'!S80</f>
        <v>74</v>
      </c>
      <c r="D79" s="278">
        <f>'B) D RI'!AR80</f>
        <v>5485</v>
      </c>
      <c r="E79" s="285">
        <f>'D) Ecrêtage'!N78</f>
        <v>173156.24540540541</v>
      </c>
      <c r="F79" s="289">
        <f>'E) Fact soc'!G84</f>
        <v>3080854.5419869674</v>
      </c>
      <c r="G79" s="289">
        <f>'H) Péréquation directe'!I89</f>
        <v>-345788.94730009418</v>
      </c>
      <c r="H79" s="289">
        <f>'I) Dépenses thématiques'!O78</f>
        <v>-722765</v>
      </c>
      <c r="I79" s="289">
        <f>'K) Plafonnement aide'!J78</f>
        <v>0</v>
      </c>
      <c r="J79" s="289">
        <f>'J) Plafonnement effort'!I78</f>
        <v>0</v>
      </c>
      <c r="K79" s="289">
        <f>'L) Plafonnement taux'!Q79</f>
        <v>0</v>
      </c>
      <c r="L79" s="401">
        <f t="shared" si="2"/>
        <v>2012300.5946868733</v>
      </c>
      <c r="M79" s="401">
        <f>'M) Police'!O79</f>
        <v>554634.40291003825</v>
      </c>
      <c r="N79" s="401">
        <f t="shared" si="3"/>
        <v>2566934.9975969116</v>
      </c>
    </row>
    <row r="80" spans="1:14" s="279" customFormat="1" x14ac:dyDescent="0.25">
      <c r="A80" s="275">
        <f>'B) D RI'!A81</f>
        <v>5520</v>
      </c>
      <c r="B80" s="276" t="str">
        <f>'B) D RI'!B81</f>
        <v>Essertines-sur-Yverdon</v>
      </c>
      <c r="C80" s="277">
        <f>'B) D RI'!S81</f>
        <v>73</v>
      </c>
      <c r="D80" s="278">
        <f>'B) D RI'!AR81</f>
        <v>908</v>
      </c>
      <c r="E80" s="285">
        <f>'D) Ecrêtage'!N79</f>
        <v>27983.283972602738</v>
      </c>
      <c r="F80" s="289">
        <f>'E) Fact soc'!G85</f>
        <v>483020.70342539315</v>
      </c>
      <c r="G80" s="289">
        <f>'H) Péréquation directe'!I90</f>
        <v>177542.10254842736</v>
      </c>
      <c r="H80" s="289">
        <f>'I) Dépenses thématiques'!O79</f>
        <v>-95358</v>
      </c>
      <c r="I80" s="289">
        <f>'K) Plafonnement aide'!J79</f>
        <v>0</v>
      </c>
      <c r="J80" s="289">
        <f>'J) Plafonnement effort'!I79</f>
        <v>0</v>
      </c>
      <c r="K80" s="289">
        <f>'L) Plafonnement taux'!Q80</f>
        <v>0</v>
      </c>
      <c r="L80" s="401">
        <f t="shared" si="2"/>
        <v>565204.8059738205</v>
      </c>
      <c r="M80" s="401">
        <f>'M) Police'!O80</f>
        <v>89300.150133212126</v>
      </c>
      <c r="N80" s="401">
        <f t="shared" si="3"/>
        <v>654504.9561070326</v>
      </c>
    </row>
    <row r="81" spans="1:14" s="279" customFormat="1" x14ac:dyDescent="0.25">
      <c r="A81" s="275">
        <f>'B) D RI'!A82</f>
        <v>5521</v>
      </c>
      <c r="B81" s="276" t="str">
        <f>'B) D RI'!B82</f>
        <v>Etagnières</v>
      </c>
      <c r="C81" s="277">
        <f>'B) D RI'!S82</f>
        <v>73</v>
      </c>
      <c r="D81" s="278">
        <f>'B) D RI'!AR82</f>
        <v>1106</v>
      </c>
      <c r="E81" s="285">
        <f>'D) Ecrêtage'!N80</f>
        <v>36300.178904109591</v>
      </c>
      <c r="F81" s="289">
        <f>'E) Fact soc'!G86</f>
        <v>654631.02072670625</v>
      </c>
      <c r="G81" s="289">
        <f>'H) Péréquation directe'!I91</f>
        <v>277799.54588966386</v>
      </c>
      <c r="H81" s="289">
        <f>'I) Dépenses thématiques'!O80</f>
        <v>-30306</v>
      </c>
      <c r="I81" s="289">
        <f>'K) Plafonnement aide'!J80</f>
        <v>0</v>
      </c>
      <c r="J81" s="289">
        <f>'J) Plafonnement effort'!I80</f>
        <v>0</v>
      </c>
      <c r="K81" s="289">
        <f>'L) Plafonnement taux'!Q81</f>
        <v>0</v>
      </c>
      <c r="L81" s="401">
        <f t="shared" si="2"/>
        <v>902124.56661637011</v>
      </c>
      <c r="M81" s="401">
        <f>'M) Police'!O81</f>
        <v>115770.729557938</v>
      </c>
      <c r="N81" s="401">
        <f t="shared" si="3"/>
        <v>1017895.2961743081</v>
      </c>
    </row>
    <row r="82" spans="1:14" s="279" customFormat="1" x14ac:dyDescent="0.25">
      <c r="A82" s="275">
        <f>'B) D RI'!A83</f>
        <v>5522</v>
      </c>
      <c r="B82" s="276" t="str">
        <f>'B) D RI'!B83</f>
        <v>Fey</v>
      </c>
      <c r="C82" s="277">
        <f>'B) D RI'!S83</f>
        <v>75</v>
      </c>
      <c r="D82" s="278">
        <f>'B) D RI'!AR83</f>
        <v>620</v>
      </c>
      <c r="E82" s="285">
        <f>'D) Ecrêtage'!N81</f>
        <v>16159.379733333333</v>
      </c>
      <c r="F82" s="289">
        <f>'E) Fact soc'!G87</f>
        <v>327717.02050379809</v>
      </c>
      <c r="G82" s="289">
        <f>'H) Péréquation directe'!I92</f>
        <v>-8952.2079521481646</v>
      </c>
      <c r="H82" s="289">
        <f>'I) Dépenses thématiques'!O81</f>
        <v>-186020</v>
      </c>
      <c r="I82" s="289">
        <f>'K) Plafonnement aide'!J81</f>
        <v>0</v>
      </c>
      <c r="J82" s="289">
        <f>'J) Plafonnement effort'!I81</f>
        <v>0</v>
      </c>
      <c r="K82" s="289">
        <f>'L) Plafonnement taux'!Q82</f>
        <v>0</v>
      </c>
      <c r="L82" s="401">
        <f t="shared" si="2"/>
        <v>132744.81255164993</v>
      </c>
      <c r="M82" s="401">
        <f>'M) Police'!O82</f>
        <v>51344.703261337287</v>
      </c>
      <c r="N82" s="401">
        <f t="shared" si="3"/>
        <v>184089.51581298723</v>
      </c>
    </row>
    <row r="83" spans="1:14" s="279" customFormat="1" x14ac:dyDescent="0.25">
      <c r="A83" s="275">
        <f>'B) D RI'!A84</f>
        <v>5523</v>
      </c>
      <c r="B83" s="276" t="str">
        <f>'B) D RI'!B84</f>
        <v>Froideville</v>
      </c>
      <c r="C83" s="277">
        <f>'B) D RI'!S84</f>
        <v>76</v>
      </c>
      <c r="D83" s="278">
        <f>'B) D RI'!AR84</f>
        <v>2305</v>
      </c>
      <c r="E83" s="285">
        <f>'D) Ecrêtage'!N82</f>
        <v>72242.876052631575</v>
      </c>
      <c r="F83" s="289">
        <f>'E) Fact soc'!G88</f>
        <v>1297515.7023179957</v>
      </c>
      <c r="G83" s="289">
        <f>'H) Péréquation directe'!I93</f>
        <v>121105.65519389696</v>
      </c>
      <c r="H83" s="289">
        <f>'I) Dépenses thématiques'!O82</f>
        <v>-184935</v>
      </c>
      <c r="I83" s="289">
        <f>'K) Plafonnement aide'!J82</f>
        <v>0</v>
      </c>
      <c r="J83" s="289">
        <f>'J) Plafonnement effort'!I82</f>
        <v>0</v>
      </c>
      <c r="K83" s="289">
        <f>'L) Plafonnement taux'!Q83</f>
        <v>0</v>
      </c>
      <c r="L83" s="401">
        <f t="shared" si="2"/>
        <v>1233686.3575118927</v>
      </c>
      <c r="M83" s="401">
        <f>'M) Police'!O83</f>
        <v>231575.30107856647</v>
      </c>
      <c r="N83" s="401">
        <f t="shared" si="3"/>
        <v>1465261.6585904593</v>
      </c>
    </row>
    <row r="84" spans="1:14" s="279" customFormat="1" x14ac:dyDescent="0.25">
      <c r="A84" s="275">
        <f>'B) D RI'!A85</f>
        <v>5527</v>
      </c>
      <c r="B84" s="276" t="str">
        <f>'B) D RI'!B85</f>
        <v>Morrens</v>
      </c>
      <c r="C84" s="277">
        <f>'B) D RI'!S85</f>
        <v>71</v>
      </c>
      <c r="D84" s="278">
        <f>'B) D RI'!AR85</f>
        <v>1048</v>
      </c>
      <c r="E84" s="285">
        <f>'D) Ecrêtage'!N83</f>
        <v>37759.681126760574</v>
      </c>
      <c r="F84" s="289">
        <f>'E) Fact soc'!G89</f>
        <v>644192.55657460238</v>
      </c>
      <c r="G84" s="289">
        <f>'H) Péréquation directe'!I94</f>
        <v>419427.23733098758</v>
      </c>
      <c r="H84" s="289">
        <f>'I) Dépenses thématiques'!O83</f>
        <v>-19078</v>
      </c>
      <c r="I84" s="289">
        <f>'K) Plafonnement aide'!J83</f>
        <v>0</v>
      </c>
      <c r="J84" s="289">
        <f>'J) Plafonnement effort'!I83</f>
        <v>0</v>
      </c>
      <c r="K84" s="289">
        <f>'L) Plafonnement taux'!Q84</f>
        <v>0</v>
      </c>
      <c r="L84" s="401">
        <f t="shared" si="2"/>
        <v>1044541.79390559</v>
      </c>
      <c r="M84" s="401">
        <f>'M) Police'!O84</f>
        <v>121102.73264520105</v>
      </c>
      <c r="N84" s="401">
        <f t="shared" si="3"/>
        <v>1165644.526550791</v>
      </c>
    </row>
    <row r="85" spans="1:14" s="279" customFormat="1" x14ac:dyDescent="0.25">
      <c r="A85" s="275">
        <f>'B) D RI'!A86</f>
        <v>5529</v>
      </c>
      <c r="B85" s="276" t="str">
        <f>'B) D RI'!B86</f>
        <v>Oulens-sous-Echallens</v>
      </c>
      <c r="C85" s="277">
        <f>'B) D RI'!S86</f>
        <v>74</v>
      </c>
      <c r="D85" s="278">
        <f>'B) D RI'!AR86</f>
        <v>529</v>
      </c>
      <c r="E85" s="285">
        <f>'D) Ecrêtage'!N84</f>
        <v>19397.63972972973</v>
      </c>
      <c r="F85" s="289">
        <f>'E) Fact soc'!G90</f>
        <v>303855.19109045382</v>
      </c>
      <c r="G85" s="289">
        <f>'H) Péréquation directe'!I95</f>
        <v>224229.19094277921</v>
      </c>
      <c r="H85" s="289">
        <f>'I) Dépenses thématiques'!O84</f>
        <v>-165010</v>
      </c>
      <c r="I85" s="289">
        <f>'K) Plafonnement aide'!J84</f>
        <v>0</v>
      </c>
      <c r="J85" s="289">
        <f>'J) Plafonnement effort'!I84</f>
        <v>0</v>
      </c>
      <c r="K85" s="289">
        <f>'L) Plafonnement taux'!Q85</f>
        <v>0</v>
      </c>
      <c r="L85" s="401">
        <f t="shared" si="2"/>
        <v>363074.38203323307</v>
      </c>
      <c r="M85" s="401">
        <f>'M) Police'!O85</f>
        <v>62259.093777582428</v>
      </c>
      <c r="N85" s="401">
        <f t="shared" si="3"/>
        <v>425333.47581081546</v>
      </c>
    </row>
    <row r="86" spans="1:14" s="279" customFormat="1" x14ac:dyDescent="0.25">
      <c r="A86" s="275">
        <f>'B) D RI'!A87</f>
        <v>5530</v>
      </c>
      <c r="B86" s="276" t="str">
        <f>'B) D RI'!B87</f>
        <v>Pailly</v>
      </c>
      <c r="C86" s="277">
        <f>'B) D RI'!S87</f>
        <v>77.5</v>
      </c>
      <c r="D86" s="278">
        <f>'B) D RI'!AR87</f>
        <v>524</v>
      </c>
      <c r="E86" s="285">
        <f>'D) Ecrêtage'!N85</f>
        <v>13906.482623655915</v>
      </c>
      <c r="F86" s="289">
        <f>'E) Fact soc'!G91</f>
        <v>248784.47553462556</v>
      </c>
      <c r="G86" s="289">
        <f>'H) Péréquation directe'!I96</f>
        <v>-11126.783028505859</v>
      </c>
      <c r="H86" s="289">
        <f>'I) Dépenses thématiques'!O85</f>
        <v>-185703</v>
      </c>
      <c r="I86" s="289">
        <f>'K) Plafonnement aide'!J85</f>
        <v>0</v>
      </c>
      <c r="J86" s="289">
        <f>'J) Plafonnement effort'!I85</f>
        <v>0</v>
      </c>
      <c r="K86" s="289">
        <f>'L) Plafonnement taux'!Q86</f>
        <v>0</v>
      </c>
      <c r="L86" s="401">
        <f t="shared" si="2"/>
        <v>51954.692506119696</v>
      </c>
      <c r="M86" s="401">
        <f>'M) Police'!O86</f>
        <v>44583.875717618314</v>
      </c>
      <c r="N86" s="401">
        <f t="shared" si="3"/>
        <v>96538.56822373801</v>
      </c>
    </row>
    <row r="87" spans="1:14" s="279" customFormat="1" x14ac:dyDescent="0.25">
      <c r="A87" s="275">
        <f>'B) D RI'!A88</f>
        <v>5531</v>
      </c>
      <c r="B87" s="276" t="str">
        <f>'B) D RI'!B88</f>
        <v>Penthéréaz</v>
      </c>
      <c r="C87" s="277">
        <f>'B) D RI'!S88</f>
        <v>78</v>
      </c>
      <c r="D87" s="278">
        <f>'B) D RI'!AR88</f>
        <v>387</v>
      </c>
      <c r="E87" s="285">
        <f>'D) Ecrêtage'!N86</f>
        <v>13188.510897435897</v>
      </c>
      <c r="F87" s="289">
        <f>'E) Fact soc'!G92</f>
        <v>195001.0387731457</v>
      </c>
      <c r="G87" s="289">
        <f>'H) Péréquation directe'!I97</f>
        <v>114463.83969210705</v>
      </c>
      <c r="H87" s="289">
        <f>'I) Dépenses thématiques'!O86</f>
        <v>-9877</v>
      </c>
      <c r="I87" s="289">
        <f>'K) Plafonnement aide'!J86</f>
        <v>0</v>
      </c>
      <c r="J87" s="289">
        <f>'J) Plafonnement effort'!I86</f>
        <v>0</v>
      </c>
      <c r="K87" s="289">
        <f>'L) Plafonnement taux'!Q87</f>
        <v>0</v>
      </c>
      <c r="L87" s="401">
        <f t="shared" si="2"/>
        <v>299587.87846525275</v>
      </c>
      <c r="M87" s="401">
        <f>'M) Police'!O87</f>
        <v>42520.270205403678</v>
      </c>
      <c r="N87" s="401">
        <f t="shared" si="3"/>
        <v>342108.14867065643</v>
      </c>
    </row>
    <row r="88" spans="1:14" s="279" customFormat="1" x14ac:dyDescent="0.25">
      <c r="A88" s="275">
        <f>'B) D RI'!A89</f>
        <v>5533</v>
      </c>
      <c r="B88" s="276" t="str">
        <f>'B) D RI'!B89</f>
        <v>Poliez-Pittet</v>
      </c>
      <c r="C88" s="277">
        <f>'B) D RI'!S89</f>
        <v>71</v>
      </c>
      <c r="D88" s="278">
        <f>'B) D RI'!AR89</f>
        <v>802</v>
      </c>
      <c r="E88" s="285">
        <f>'D) Ecrêtage'!N87</f>
        <v>23278.194178403755</v>
      </c>
      <c r="F88" s="289">
        <f>'E) Fact soc'!G93</f>
        <v>372009.36884449504</v>
      </c>
      <c r="G88" s="289">
        <f>'H) Péréquation directe'!I98</f>
        <v>113265.14304192096</v>
      </c>
      <c r="H88" s="289">
        <f>'I) Dépenses thématiques'!O87</f>
        <v>-24728</v>
      </c>
      <c r="I88" s="289">
        <f>'K) Plafonnement aide'!J87</f>
        <v>0</v>
      </c>
      <c r="J88" s="289">
        <f>'J) Plafonnement effort'!I87</f>
        <v>0</v>
      </c>
      <c r="K88" s="289">
        <f>'L) Plafonnement taux'!Q88</f>
        <v>0</v>
      </c>
      <c r="L88" s="401">
        <f t="shared" si="2"/>
        <v>460546.511886416</v>
      </c>
      <c r="M88" s="401">
        <f>'M) Police'!O88</f>
        <v>74519.016446694935</v>
      </c>
      <c r="N88" s="401">
        <f t="shared" si="3"/>
        <v>535065.52833311097</v>
      </c>
    </row>
    <row r="89" spans="1:14" s="279" customFormat="1" x14ac:dyDescent="0.25">
      <c r="A89" s="275">
        <f>'B) D RI'!A90</f>
        <v>5534</v>
      </c>
      <c r="B89" s="276" t="str">
        <f>'B) D RI'!B90</f>
        <v>Rueyres</v>
      </c>
      <c r="C89" s="277">
        <f>'B) D RI'!S90</f>
        <v>73</v>
      </c>
      <c r="D89" s="278">
        <f>'B) D RI'!AR90</f>
        <v>261</v>
      </c>
      <c r="E89" s="285">
        <f>'D) Ecrêtage'!N88</f>
        <v>7491.8463013698638</v>
      </c>
      <c r="F89" s="289">
        <f>'E) Fact soc'!G94</f>
        <v>119515.90621488691</v>
      </c>
      <c r="G89" s="289">
        <f>'H) Péréquation directe'!I99</f>
        <v>29098.321887236627</v>
      </c>
      <c r="H89" s="289">
        <f>'I) Dépenses thématiques'!O88</f>
        <v>-48123</v>
      </c>
      <c r="I89" s="289">
        <f>'K) Plafonnement aide'!J88</f>
        <v>0</v>
      </c>
      <c r="J89" s="289">
        <f>'J) Plafonnement effort'!I88</f>
        <v>0</v>
      </c>
      <c r="K89" s="289">
        <f>'L) Plafonnement taux'!Q89</f>
        <v>0</v>
      </c>
      <c r="L89" s="401">
        <f t="shared" si="2"/>
        <v>100491.22810212354</v>
      </c>
      <c r="M89" s="401">
        <f>'M) Police'!O89</f>
        <v>23218.374082861927</v>
      </c>
      <c r="N89" s="401">
        <f t="shared" si="3"/>
        <v>123709.60218498547</v>
      </c>
    </row>
    <row r="90" spans="1:14" s="279" customFormat="1" x14ac:dyDescent="0.25">
      <c r="A90" s="275">
        <f>'B) D RI'!A91</f>
        <v>5535</v>
      </c>
      <c r="B90" s="276" t="str">
        <f>'B) D RI'!B91</f>
        <v>Saint-Barthélemy</v>
      </c>
      <c r="C90" s="277">
        <f>'B) D RI'!S91</f>
        <v>77</v>
      </c>
      <c r="D90" s="278">
        <f>'B) D RI'!AR91</f>
        <v>776</v>
      </c>
      <c r="E90" s="285">
        <f>'D) Ecrêtage'!N89</f>
        <v>20337.444935064934</v>
      </c>
      <c r="F90" s="289">
        <f>'E) Fact soc'!G95</f>
        <v>337431.97562719183</v>
      </c>
      <c r="G90" s="289">
        <f>'H) Péréquation directe'!I100</f>
        <v>-23173.918889362947</v>
      </c>
      <c r="H90" s="289">
        <f>'I) Dépenses thématiques'!O89</f>
        <v>0</v>
      </c>
      <c r="I90" s="289">
        <f>'K) Plafonnement aide'!J89</f>
        <v>0</v>
      </c>
      <c r="J90" s="289">
        <f>'J) Plafonnement effort'!I89</f>
        <v>0</v>
      </c>
      <c r="K90" s="289">
        <f>'L) Plafonnement taux'!Q90</f>
        <v>0</v>
      </c>
      <c r="L90" s="401">
        <f t="shared" si="2"/>
        <v>314258.05673782888</v>
      </c>
      <c r="M90" s="401">
        <f>'M) Police'!O90</f>
        <v>64795.381162564299</v>
      </c>
      <c r="N90" s="401">
        <f t="shared" si="3"/>
        <v>379053.43790039315</v>
      </c>
    </row>
    <row r="91" spans="1:14" s="279" customFormat="1" x14ac:dyDescent="0.25">
      <c r="A91" s="275">
        <f>'B) D RI'!A92</f>
        <v>5537</v>
      </c>
      <c r="B91" s="276" t="str">
        <f>'B) D RI'!B92</f>
        <v>Villars-le-Terroir</v>
      </c>
      <c r="C91" s="277">
        <f>'B) D RI'!S92</f>
        <v>73</v>
      </c>
      <c r="D91" s="278">
        <f>'B) D RI'!AR92</f>
        <v>944</v>
      </c>
      <c r="E91" s="285">
        <f>'D) Ecrêtage'!N90</f>
        <v>28392.00020547945</v>
      </c>
      <c r="F91" s="289">
        <f>'E) Fact soc'!G96</f>
        <v>538816.51890210505</v>
      </c>
      <c r="G91" s="289">
        <f>'H) Péréquation directe'!I101</f>
        <v>156724.92903505726</v>
      </c>
      <c r="H91" s="289">
        <f>'I) Dépenses thématiques'!O90</f>
        <v>-4415</v>
      </c>
      <c r="I91" s="289">
        <f>'K) Plafonnement aide'!J90</f>
        <v>0</v>
      </c>
      <c r="J91" s="289">
        <f>'J) Plafonnement effort'!I90</f>
        <v>0</v>
      </c>
      <c r="K91" s="289">
        <f>'L) Plafonnement taux'!Q91</f>
        <v>0</v>
      </c>
      <c r="L91" s="401">
        <f t="shared" si="2"/>
        <v>691126.44793716236</v>
      </c>
      <c r="M91" s="401">
        <f>'M) Police'!O91</f>
        <v>90695.105129405536</v>
      </c>
      <c r="N91" s="401">
        <f t="shared" si="3"/>
        <v>781821.55306656787</v>
      </c>
    </row>
    <row r="92" spans="1:14" s="279" customFormat="1" x14ac:dyDescent="0.25">
      <c r="A92" s="275">
        <f>'B) D RI'!A93</f>
        <v>5539</v>
      </c>
      <c r="B92" s="276" t="str">
        <f>'B) D RI'!B93</f>
        <v>Vuarrens</v>
      </c>
      <c r="C92" s="277">
        <f>'B) D RI'!S93</f>
        <v>75</v>
      </c>
      <c r="D92" s="278">
        <f>'B) D RI'!AR93</f>
        <v>930</v>
      </c>
      <c r="E92" s="285">
        <f>'D) Ecrêtage'!N91</f>
        <v>22715.815066666666</v>
      </c>
      <c r="F92" s="289">
        <f>'E) Fact soc'!G97</f>
        <v>463491.64394748746</v>
      </c>
      <c r="G92" s="289">
        <f>'H) Péréquation directe'!I102</f>
        <v>-75774.413434513379</v>
      </c>
      <c r="H92" s="289">
        <f>'I) Dépenses thématiques'!O91</f>
        <v>-49501</v>
      </c>
      <c r="I92" s="289">
        <f>'K) Plafonnement aide'!J91</f>
        <v>0</v>
      </c>
      <c r="J92" s="289">
        <f>'J) Plafonnement effort'!I91</f>
        <v>0</v>
      </c>
      <c r="K92" s="289">
        <f>'L) Plafonnement taux'!Q92</f>
        <v>0</v>
      </c>
      <c r="L92" s="401">
        <f t="shared" si="2"/>
        <v>338216.23051297409</v>
      </c>
      <c r="M92" s="401">
        <f>'M) Police'!O92</f>
        <v>72001.352139222348</v>
      </c>
      <c r="N92" s="401">
        <f t="shared" si="3"/>
        <v>410217.5826521964</v>
      </c>
    </row>
    <row r="93" spans="1:14" s="279" customFormat="1" x14ac:dyDescent="0.25">
      <c r="A93" s="275">
        <f>'B) D RI'!A94</f>
        <v>5540</v>
      </c>
      <c r="B93" s="276" t="str">
        <f>'B) D RI'!B94</f>
        <v>Montilliez</v>
      </c>
      <c r="C93" s="277">
        <f>'B) D RI'!S94</f>
        <v>74</v>
      </c>
      <c r="D93" s="278">
        <f>'B) D RI'!AR94</f>
        <v>1635</v>
      </c>
      <c r="E93" s="285">
        <f>'D) Ecrêtage'!N92</f>
        <v>49229.090304054065</v>
      </c>
      <c r="F93" s="289">
        <f>'E) Fact soc'!G98</f>
        <v>857414.5806425066</v>
      </c>
      <c r="G93" s="289">
        <f>'H) Péréquation directe'!I103</f>
        <v>101717.3903829481</v>
      </c>
      <c r="H93" s="289">
        <f>'I) Dépenses thématiques'!O92</f>
        <v>-146430</v>
      </c>
      <c r="I93" s="289">
        <f>'K) Plafonnement aide'!J92</f>
        <v>0</v>
      </c>
      <c r="J93" s="289">
        <f>'J) Plafonnement effort'!I92</f>
        <v>0</v>
      </c>
      <c r="K93" s="289">
        <f>'L) Plafonnement taux'!Q93</f>
        <v>0</v>
      </c>
      <c r="L93" s="401">
        <f>F93+G93+H93+I93+J93+K93</f>
        <v>812701.9710254547</v>
      </c>
      <c r="M93" s="401">
        <f>'M) Police'!O93</f>
        <v>157633.4715742665</v>
      </c>
      <c r="N93" s="401">
        <f t="shared" si="3"/>
        <v>970335.44259972125</v>
      </c>
    </row>
    <row r="94" spans="1:14" s="279" customFormat="1" x14ac:dyDescent="0.25">
      <c r="A94" s="275">
        <f>'B) D RI'!A95</f>
        <v>5541</v>
      </c>
      <c r="B94" s="276" t="str">
        <f>'B) D RI'!B95</f>
        <v>Goumoëns</v>
      </c>
      <c r="C94" s="277">
        <f>'B) D RI'!S95</f>
        <v>77</v>
      </c>
      <c r="D94" s="278">
        <f>'B) D RI'!AR95</f>
        <v>962</v>
      </c>
      <c r="E94" s="285">
        <f>'D) Ecrêtage'!N93</f>
        <v>28419.250909090908</v>
      </c>
      <c r="F94" s="289">
        <f>'E) Fact soc'!G99</f>
        <v>501931.7889552376</v>
      </c>
      <c r="G94" s="289">
        <f>'H) Péréquation directe'!I104</f>
        <v>106414.4750536881</v>
      </c>
      <c r="H94" s="289">
        <f>'I) Dépenses thématiques'!O93</f>
        <v>-65362</v>
      </c>
      <c r="I94" s="289">
        <f>'K) Plafonnement aide'!J93</f>
        <v>0</v>
      </c>
      <c r="J94" s="289">
        <f>'J) Plafonnement effort'!I93</f>
        <v>0</v>
      </c>
      <c r="K94" s="289">
        <f>'L) Plafonnement taux'!Q94</f>
        <v>0</v>
      </c>
      <c r="L94" s="401">
        <f>F94+G94+H94+I94+J94+K94</f>
        <v>542984.26400892576</v>
      </c>
      <c r="M94" s="401">
        <f>'M) Police'!O94</f>
        <v>90990.374879587849</v>
      </c>
      <c r="N94" s="401">
        <f t="shared" si="3"/>
        <v>633974.63888851367</v>
      </c>
    </row>
    <row r="95" spans="1:14" s="279" customFormat="1" x14ac:dyDescent="0.25">
      <c r="A95" s="275">
        <f>'B) D RI'!A96</f>
        <v>5551</v>
      </c>
      <c r="B95" s="276" t="str">
        <f>'B) D RI'!B96</f>
        <v>Bonvillars</v>
      </c>
      <c r="C95" s="277">
        <f>'B) D RI'!S96</f>
        <v>55</v>
      </c>
      <c r="D95" s="278">
        <f>'B) D RI'!AR96</f>
        <v>514</v>
      </c>
      <c r="E95" s="285">
        <f>'D) Ecrêtage'!N94</f>
        <v>20657.866545454548</v>
      </c>
      <c r="F95" s="289">
        <f>'E) Fact soc'!G100</f>
        <v>391736.020492082</v>
      </c>
      <c r="G95" s="289">
        <f>'H) Péréquation directe'!I105</f>
        <v>309256.68590467377</v>
      </c>
      <c r="H95" s="289">
        <f>'I) Dépenses thématiques'!O94</f>
        <v>-45672</v>
      </c>
      <c r="I95" s="289">
        <f>'K) Plafonnement aide'!J94</f>
        <v>0</v>
      </c>
      <c r="J95" s="289">
        <f>'J) Plafonnement effort'!I94</f>
        <v>0</v>
      </c>
      <c r="K95" s="289">
        <f>'L) Plafonnement taux'!Q95</f>
        <v>0</v>
      </c>
      <c r="L95" s="401">
        <f t="shared" si="2"/>
        <v>655320.70639675576</v>
      </c>
      <c r="M95" s="401">
        <f>'M) Police'!O95</f>
        <v>65819.614118751779</v>
      </c>
      <c r="N95" s="401">
        <f t="shared" si="3"/>
        <v>721140.3205155076</v>
      </c>
    </row>
    <row r="96" spans="1:14" s="279" customFormat="1" x14ac:dyDescent="0.25">
      <c r="A96" s="275">
        <f>'B) D RI'!A97</f>
        <v>5552</v>
      </c>
      <c r="B96" s="276" t="str">
        <f>'B) D RI'!B97</f>
        <v>Bullet</v>
      </c>
      <c r="C96" s="277">
        <f>'B) D RI'!S97</f>
        <v>70</v>
      </c>
      <c r="D96" s="278">
        <f>'B) D RI'!AR97</f>
        <v>596</v>
      </c>
      <c r="E96" s="285">
        <f>'D) Ecrêtage'!N95</f>
        <v>15344.039999999997</v>
      </c>
      <c r="F96" s="289">
        <f>'E) Fact soc'!G101</f>
        <v>315733.77701226133</v>
      </c>
      <c r="G96" s="289">
        <f>'H) Péréquation directe'!I106</f>
        <v>14751.039137264772</v>
      </c>
      <c r="H96" s="289">
        <f>'I) Dépenses thématiques'!O95</f>
        <v>-164303</v>
      </c>
      <c r="I96" s="289">
        <f>'K) Plafonnement aide'!J95</f>
        <v>0</v>
      </c>
      <c r="J96" s="289">
        <f>'J) Plafonnement effort'!I95</f>
        <v>0</v>
      </c>
      <c r="K96" s="289">
        <f>'L) Plafonnement taux'!Q96</f>
        <v>0</v>
      </c>
      <c r="L96" s="401">
        <f t="shared" si="2"/>
        <v>166181.8161495261</v>
      </c>
      <c r="M96" s="401">
        <f>'M) Police'!O96</f>
        <v>48455.396315071222</v>
      </c>
      <c r="N96" s="401">
        <f t="shared" si="3"/>
        <v>214637.21246459731</v>
      </c>
    </row>
    <row r="97" spans="1:14" s="279" customFormat="1" x14ac:dyDescent="0.25">
      <c r="A97" s="275">
        <f>'B) D RI'!A98</f>
        <v>5553</v>
      </c>
      <c r="B97" s="276" t="str">
        <f>'B) D RI'!B98</f>
        <v>Champagne</v>
      </c>
      <c r="C97" s="277">
        <f>'B) D RI'!S98</f>
        <v>63</v>
      </c>
      <c r="D97" s="278">
        <f>'B) D RI'!AR98</f>
        <v>1005</v>
      </c>
      <c r="E97" s="285">
        <f>'D) Ecrêtage'!N96</f>
        <v>34561.95904761905</v>
      </c>
      <c r="F97" s="289">
        <f>'E) Fact soc'!G102</f>
        <v>583681.56646659772</v>
      </c>
      <c r="G97" s="289">
        <f>'H) Péréquation directe'!I107</f>
        <v>389398.25064272905</v>
      </c>
      <c r="H97" s="289">
        <f>'I) Dépenses thématiques'!O96</f>
        <v>-114472</v>
      </c>
      <c r="I97" s="289">
        <f>'K) Plafonnement aide'!J96</f>
        <v>0</v>
      </c>
      <c r="J97" s="289">
        <f>'J) Plafonnement effort'!I96</f>
        <v>0</v>
      </c>
      <c r="K97" s="289">
        <f>'L) Plafonnement taux'!Q97</f>
        <v>0</v>
      </c>
      <c r="L97" s="401">
        <f t="shared" si="2"/>
        <v>858607.81710932683</v>
      </c>
      <c r="M97" s="401">
        <f>'M) Police'!O97</f>
        <v>109818.30268427648</v>
      </c>
      <c r="N97" s="401">
        <f t="shared" si="3"/>
        <v>968426.11979360331</v>
      </c>
    </row>
    <row r="98" spans="1:14" s="279" customFormat="1" x14ac:dyDescent="0.25">
      <c r="A98" s="275">
        <f>'B) D RI'!A99</f>
        <v>5554</v>
      </c>
      <c r="B98" s="276" t="str">
        <f>'B) D RI'!B99</f>
        <v>Concise</v>
      </c>
      <c r="C98" s="277">
        <f>'B) D RI'!S99</f>
        <v>75</v>
      </c>
      <c r="D98" s="278">
        <f>'B) D RI'!AR99</f>
        <v>932</v>
      </c>
      <c r="E98" s="285">
        <f>'D) Ecrêtage'!N97</f>
        <v>28927.786533333336</v>
      </c>
      <c r="F98" s="289">
        <f>'E) Fact soc'!G103</f>
        <v>503022.64653340331</v>
      </c>
      <c r="G98" s="289">
        <f>'H) Péréquation directe'!I108</f>
        <v>176313.96921978943</v>
      </c>
      <c r="H98" s="289">
        <f>'I) Dépenses thématiques'!O97</f>
        <v>-77855</v>
      </c>
      <c r="I98" s="289">
        <f>'K) Plafonnement aide'!J97</f>
        <v>0</v>
      </c>
      <c r="J98" s="289">
        <f>'J) Plafonnement effort'!I97</f>
        <v>0</v>
      </c>
      <c r="K98" s="289">
        <f>'L) Plafonnement taux'!Q98</f>
        <v>0</v>
      </c>
      <c r="L98" s="401">
        <f t="shared" si="2"/>
        <v>601481.61575319269</v>
      </c>
      <c r="M98" s="401">
        <f>'M) Police'!O98</f>
        <v>92823.511974661815</v>
      </c>
      <c r="N98" s="401">
        <f t="shared" si="3"/>
        <v>694305.12772785453</v>
      </c>
    </row>
    <row r="99" spans="1:14" s="279" customFormat="1" x14ac:dyDescent="0.25">
      <c r="A99" s="275">
        <f>'B) D RI'!A100</f>
        <v>5555</v>
      </c>
      <c r="B99" s="276" t="str">
        <f>'B) D RI'!B100</f>
        <v>Corcelles-près-Concise</v>
      </c>
      <c r="C99" s="277">
        <f>'B) D RI'!S100</f>
        <v>71</v>
      </c>
      <c r="D99" s="278">
        <f>'B) D RI'!AR100</f>
        <v>331</v>
      </c>
      <c r="E99" s="285">
        <f>'D) Ecrêtage'!N98</f>
        <v>9553.9681690140824</v>
      </c>
      <c r="F99" s="289">
        <f>'E) Fact soc'!G104</f>
        <v>186949.88541522063</v>
      </c>
      <c r="G99" s="289">
        <f>'H) Péréquation directe'!I109</f>
        <v>44685.768249080225</v>
      </c>
      <c r="H99" s="289">
        <f>'I) Dépenses thématiques'!O98</f>
        <v>-125562</v>
      </c>
      <c r="I99" s="289">
        <f>'K) Plafonnement aide'!J98</f>
        <v>0</v>
      </c>
      <c r="J99" s="289">
        <f>'J) Plafonnement effort'!I98</f>
        <v>0</v>
      </c>
      <c r="K99" s="289">
        <f>'L) Plafonnement taux'!Q99</f>
        <v>0</v>
      </c>
      <c r="L99" s="401">
        <f t="shared" si="2"/>
        <v>106073.65366430086</v>
      </c>
      <c r="M99" s="401">
        <f>'M) Police'!O99</f>
        <v>30122.722376346785</v>
      </c>
      <c r="N99" s="401">
        <f t="shared" si="3"/>
        <v>136196.37604064765</v>
      </c>
    </row>
    <row r="100" spans="1:14" s="279" customFormat="1" x14ac:dyDescent="0.25">
      <c r="A100" s="275">
        <f>'B) D RI'!A101</f>
        <v>5556</v>
      </c>
      <c r="B100" s="276" t="str">
        <f>'B) D RI'!B101</f>
        <v>Fiez</v>
      </c>
      <c r="C100" s="277">
        <f>'B) D RI'!S101</f>
        <v>69</v>
      </c>
      <c r="D100" s="278">
        <f>'B) D RI'!AR101</f>
        <v>411</v>
      </c>
      <c r="E100" s="285">
        <f>'D) Ecrêtage'!N99</f>
        <v>10930.395096618358</v>
      </c>
      <c r="F100" s="289">
        <f>'E) Fact soc'!G105</f>
        <v>205438.62693169864</v>
      </c>
      <c r="G100" s="289">
        <f>'H) Péréquation directe'!I110</f>
        <v>27379.469199407002</v>
      </c>
      <c r="H100" s="289">
        <f>'I) Dépenses thématiques'!O99</f>
        <v>-49059</v>
      </c>
      <c r="I100" s="289">
        <f>'K) Plafonnement aide'!J99</f>
        <v>0</v>
      </c>
      <c r="J100" s="289">
        <f>'J) Plafonnement effort'!I99</f>
        <v>0</v>
      </c>
      <c r="K100" s="289">
        <f>'L) Plafonnement taux'!Q100</f>
        <v>0</v>
      </c>
      <c r="L100" s="401">
        <f t="shared" si="2"/>
        <v>183759.09613110565</v>
      </c>
      <c r="M100" s="401">
        <f>'M) Police'!O100</f>
        <v>34881.071183948588</v>
      </c>
      <c r="N100" s="401">
        <f t="shared" si="3"/>
        <v>218640.16731505422</v>
      </c>
    </row>
    <row r="101" spans="1:14" s="279" customFormat="1" x14ac:dyDescent="0.25">
      <c r="A101" s="275">
        <f>'B) D RI'!A102</f>
        <v>5557</v>
      </c>
      <c r="B101" s="276" t="str">
        <f>'B) D RI'!B102</f>
        <v>Fontaines-sur-Grandson</v>
      </c>
      <c r="C101" s="277">
        <f>'B) D RI'!S102</f>
        <v>69</v>
      </c>
      <c r="D101" s="278">
        <f>'B) D RI'!AR102</f>
        <v>183</v>
      </c>
      <c r="E101" s="285">
        <f>'D) Ecrêtage'!N100</f>
        <v>4594.8315942028985</v>
      </c>
      <c r="F101" s="289">
        <f>'E) Fact soc'!G106</f>
        <v>104777.46264534543</v>
      </c>
      <c r="G101" s="289">
        <f>'H) Péréquation directe'!I111</f>
        <v>1993.2805537031527</v>
      </c>
      <c r="H101" s="289">
        <f>'I) Dépenses thématiques'!O100</f>
        <v>-3838</v>
      </c>
      <c r="I101" s="289">
        <f>'K) Plafonnement aide'!J100</f>
        <v>0</v>
      </c>
      <c r="J101" s="289">
        <f>'J) Plafonnement effort'!I100</f>
        <v>0</v>
      </c>
      <c r="K101" s="289">
        <f>'L) Plafonnement taux'!Q101</f>
        <v>0</v>
      </c>
      <c r="L101" s="401">
        <f t="shared" si="2"/>
        <v>102932.74319904858</v>
      </c>
      <c r="M101" s="401">
        <f>'M) Police'!O101</f>
        <v>14734.69256768941</v>
      </c>
      <c r="N101" s="401">
        <f t="shared" si="3"/>
        <v>117667.435766738</v>
      </c>
    </row>
    <row r="102" spans="1:14" s="279" customFormat="1" x14ac:dyDescent="0.25">
      <c r="A102" s="275">
        <f>'B) D RI'!A103</f>
        <v>5559</v>
      </c>
      <c r="B102" s="276" t="str">
        <f>'B) D RI'!B103</f>
        <v>Giez</v>
      </c>
      <c r="C102" s="277">
        <f>'B) D RI'!S103</f>
        <v>66</v>
      </c>
      <c r="D102" s="278">
        <f>'B) D RI'!AR103</f>
        <v>384</v>
      </c>
      <c r="E102" s="285">
        <f>'D) Ecrêtage'!N101</f>
        <v>14748.809242424242</v>
      </c>
      <c r="F102" s="289">
        <f>'E) Fact soc'!G107</f>
        <v>355408.52334942028</v>
      </c>
      <c r="G102" s="289">
        <f>'H) Péréquation directe'!I112</f>
        <v>199034.33571706613</v>
      </c>
      <c r="H102" s="289">
        <f>'I) Dépenses thématiques'!O101</f>
        <v>-17705</v>
      </c>
      <c r="I102" s="289">
        <f>'K) Plafonnement aide'!J101</f>
        <v>0</v>
      </c>
      <c r="J102" s="289">
        <f>'J) Plafonnement effort'!I101</f>
        <v>0</v>
      </c>
      <c r="K102" s="289">
        <f>'L) Plafonnement taux'!Q102</f>
        <v>0</v>
      </c>
      <c r="L102" s="401">
        <f t="shared" si="2"/>
        <v>536737.85906648636</v>
      </c>
      <c r="M102" s="401">
        <f>'M) Police'!O102</f>
        <v>47050.091056000994</v>
      </c>
      <c r="N102" s="401">
        <f t="shared" si="3"/>
        <v>583787.95012248738</v>
      </c>
    </row>
    <row r="103" spans="1:14" s="279" customFormat="1" x14ac:dyDescent="0.25">
      <c r="A103" s="275">
        <f>'B) D RI'!A104</f>
        <v>5560</v>
      </c>
      <c r="B103" s="276" t="str">
        <f>'B) D RI'!B104</f>
        <v>Grandevent</v>
      </c>
      <c r="C103" s="277">
        <f>'B) D RI'!S104</f>
        <v>66</v>
      </c>
      <c r="D103" s="278">
        <f>'B) D RI'!AR104</f>
        <v>226</v>
      </c>
      <c r="E103" s="285">
        <f>'D) Ecrêtage'!N102</f>
        <v>6117.1622727272734</v>
      </c>
      <c r="F103" s="289">
        <f>'E) Fact soc'!G108</f>
        <v>136622.54963639879</v>
      </c>
      <c r="G103" s="289">
        <f>'H) Péréquation directe'!I113</f>
        <v>25170.419051955629</v>
      </c>
      <c r="H103" s="289">
        <f>'I) Dépenses thématiques'!O102</f>
        <v>0</v>
      </c>
      <c r="I103" s="289">
        <f>'K) Plafonnement aide'!J102</f>
        <v>0</v>
      </c>
      <c r="J103" s="289">
        <f>'J) Plafonnement effort'!I102</f>
        <v>0</v>
      </c>
      <c r="K103" s="289">
        <f>'L) Plafonnement taux'!Q103</f>
        <v>0</v>
      </c>
      <c r="L103" s="401">
        <f t="shared" si="2"/>
        <v>161792.96868835442</v>
      </c>
      <c r="M103" s="401">
        <f>'M) Police'!O103</f>
        <v>19470.249093849226</v>
      </c>
      <c r="N103" s="401">
        <f t="shared" si="3"/>
        <v>181263.21778220363</v>
      </c>
    </row>
    <row r="104" spans="1:14" s="279" customFormat="1" x14ac:dyDescent="0.25">
      <c r="A104" s="275">
        <f>'B) D RI'!A105</f>
        <v>5561</v>
      </c>
      <c r="B104" s="276" t="str">
        <f>'B) D RI'!B105</f>
        <v>Grandson</v>
      </c>
      <c r="C104" s="277">
        <f>'B) D RI'!S105</f>
        <v>69</v>
      </c>
      <c r="D104" s="278">
        <f>'B) D RI'!AR105</f>
        <v>3244</v>
      </c>
      <c r="E104" s="285">
        <f>'D) Ecrêtage'!N103</f>
        <v>108535.21144927538</v>
      </c>
      <c r="F104" s="289">
        <f>'E) Fact soc'!G109</f>
        <v>1959677.6414907221</v>
      </c>
      <c r="G104" s="289">
        <f>'H) Péréquation directe'!I114</f>
        <v>453174.67229439039</v>
      </c>
      <c r="H104" s="289">
        <f>'I) Dépenses thématiques'!O103</f>
        <v>-576754</v>
      </c>
      <c r="I104" s="289">
        <f>'K) Plafonnement aide'!J103</f>
        <v>0</v>
      </c>
      <c r="J104" s="289">
        <f>'J) Plafonnement effort'!I103</f>
        <v>0</v>
      </c>
      <c r="K104" s="289">
        <f>'L) Plafonnement taux'!Q104</f>
        <v>0</v>
      </c>
      <c r="L104" s="401">
        <f t="shared" si="2"/>
        <v>1836098.3137851125</v>
      </c>
      <c r="M104" s="401">
        <f>'M) Police'!O104</f>
        <v>348037.85400907858</v>
      </c>
      <c r="N104" s="401">
        <f t="shared" si="3"/>
        <v>2184136.1677941913</v>
      </c>
    </row>
    <row r="105" spans="1:14" s="279" customFormat="1" x14ac:dyDescent="0.25">
      <c r="A105" s="275">
        <f>'B) D RI'!A106</f>
        <v>5562</v>
      </c>
      <c r="B105" s="276" t="str">
        <f>'B) D RI'!B106</f>
        <v>Mauborget</v>
      </c>
      <c r="C105" s="277">
        <f>'B) D RI'!S106</f>
        <v>70</v>
      </c>
      <c r="D105" s="278">
        <f>'B) D RI'!AR106</f>
        <v>110</v>
      </c>
      <c r="E105" s="285">
        <f>'D) Ecrêtage'!N104</f>
        <v>3378.0009047619046</v>
      </c>
      <c r="F105" s="289">
        <f>'E) Fact soc'!G110</f>
        <v>77674.32427278308</v>
      </c>
      <c r="G105" s="289">
        <f>'H) Péréquation directe'!I115</f>
        <v>23497.36275394955</v>
      </c>
      <c r="H105" s="289">
        <f>'I) Dépenses thématiques'!O104</f>
        <v>-15273</v>
      </c>
      <c r="I105" s="289">
        <f>'K) Plafonnement aide'!J104</f>
        <v>0</v>
      </c>
      <c r="J105" s="289">
        <f>'J) Plafonnement effort'!I104</f>
        <v>0</v>
      </c>
      <c r="K105" s="289">
        <f>'L) Plafonnement taux'!Q105</f>
        <v>0</v>
      </c>
      <c r="L105" s="401">
        <f t="shared" si="2"/>
        <v>85898.68702673263</v>
      </c>
      <c r="M105" s="401">
        <f>'M) Police'!O105</f>
        <v>10535.753086436969</v>
      </c>
      <c r="N105" s="401">
        <f t="shared" si="3"/>
        <v>96434.440113169607</v>
      </c>
    </row>
    <row r="106" spans="1:14" s="279" customFormat="1" x14ac:dyDescent="0.25">
      <c r="A106" s="275">
        <f>'B) D RI'!A107</f>
        <v>5563</v>
      </c>
      <c r="B106" s="276" t="str">
        <f>'B) D RI'!B107</f>
        <v>Mutrux</v>
      </c>
      <c r="C106" s="277">
        <f>'B) D RI'!S107</f>
        <v>78.5</v>
      </c>
      <c r="D106" s="278">
        <f>'B) D RI'!AR107</f>
        <v>149</v>
      </c>
      <c r="E106" s="285">
        <f>'D) Ecrêtage'!N105</f>
        <v>3733.6552866242037</v>
      </c>
      <c r="F106" s="289">
        <f>'E) Fact soc'!G111</f>
        <v>64397.239453790768</v>
      </c>
      <c r="G106" s="289">
        <f>'H) Péréquation directe'!I116</f>
        <v>-14268.462287760543</v>
      </c>
      <c r="H106" s="289">
        <f>'I) Dépenses thématiques'!O105</f>
        <v>-40087</v>
      </c>
      <c r="I106" s="289">
        <f>'K) Plafonnement aide'!J105</f>
        <v>0</v>
      </c>
      <c r="J106" s="289">
        <f>'J) Plafonnement effort'!I105</f>
        <v>0</v>
      </c>
      <c r="K106" s="289">
        <f>'L) Plafonnement taux'!Q106</f>
        <v>0</v>
      </c>
      <c r="L106" s="401">
        <f t="shared" si="2"/>
        <v>10041.777166030224</v>
      </c>
      <c r="M106" s="401">
        <f>'M) Police'!O106</f>
        <v>12096.162878186953</v>
      </c>
      <c r="N106" s="401">
        <f t="shared" si="3"/>
        <v>22137.940044217175</v>
      </c>
    </row>
    <row r="107" spans="1:14" s="279" customFormat="1" x14ac:dyDescent="0.25">
      <c r="A107" s="275">
        <f>'B) D RI'!A108</f>
        <v>5564</v>
      </c>
      <c r="B107" s="276" t="str">
        <f>'B) D RI'!B108</f>
        <v>Novalles</v>
      </c>
      <c r="C107" s="277">
        <f>'B) D RI'!S108</f>
        <v>76</v>
      </c>
      <c r="D107" s="278">
        <f>'B) D RI'!AR108</f>
        <v>102</v>
      </c>
      <c r="E107" s="285">
        <f>'D) Ecrêtage'!N106</f>
        <v>2399.5770723684213</v>
      </c>
      <c r="F107" s="289">
        <f>'E) Fact soc'!G112</f>
        <v>43912.067258894924</v>
      </c>
      <c r="G107" s="289">
        <f>'H) Péréquation directe'!I117</f>
        <v>-13315.200212883043</v>
      </c>
      <c r="H107" s="289">
        <f>'I) Dépenses thématiques'!O106</f>
        <v>-8643</v>
      </c>
      <c r="I107" s="289">
        <f>'K) Plafonnement aide'!J106</f>
        <v>0</v>
      </c>
      <c r="J107" s="289">
        <f>'J) Plafonnement effort'!I106</f>
        <v>0</v>
      </c>
      <c r="K107" s="289">
        <f>'L) Plafonnement taux'!Q107</f>
        <v>0</v>
      </c>
      <c r="L107" s="401">
        <f t="shared" si="2"/>
        <v>21953.867046011881</v>
      </c>
      <c r="M107" s="401">
        <f>'M) Police'!O107</f>
        <v>7731.1404035330434</v>
      </c>
      <c r="N107" s="401">
        <f t="shared" si="3"/>
        <v>29685.007449544923</v>
      </c>
    </row>
    <row r="108" spans="1:14" s="279" customFormat="1" x14ac:dyDescent="0.25">
      <c r="A108" s="275">
        <f>'B) D RI'!A109</f>
        <v>5565</v>
      </c>
      <c r="B108" s="276" t="str">
        <f>'B) D RI'!B109</f>
        <v>Onnens</v>
      </c>
      <c r="C108" s="277">
        <f>'B) D RI'!S109</f>
        <v>65</v>
      </c>
      <c r="D108" s="278">
        <f>'B) D RI'!AR109</f>
        <v>500</v>
      </c>
      <c r="E108" s="285">
        <f>'D) Ecrêtage'!N107</f>
        <v>18028.040615384612</v>
      </c>
      <c r="F108" s="289">
        <f>'E) Fact soc'!G113</f>
        <v>566112.48840329284</v>
      </c>
      <c r="G108" s="289">
        <f>'H) Péréquation directe'!I118</f>
        <v>218989.4960377352</v>
      </c>
      <c r="H108" s="289">
        <f>'I) Dépenses thématiques'!O107</f>
        <v>-10713</v>
      </c>
      <c r="I108" s="289">
        <f>'K) Plafonnement aide'!J107</f>
        <v>0</v>
      </c>
      <c r="J108" s="289">
        <f>'J) Plafonnement effort'!I107</f>
        <v>0</v>
      </c>
      <c r="K108" s="289">
        <f>'L) Plafonnement taux'!Q108</f>
        <v>0</v>
      </c>
      <c r="L108" s="401">
        <f t="shared" si="2"/>
        <v>774388.98444102798</v>
      </c>
      <c r="M108" s="401">
        <f>'M) Police'!O108</f>
        <v>56472.671735737778</v>
      </c>
      <c r="N108" s="401">
        <f t="shared" si="3"/>
        <v>830861.6561767658</v>
      </c>
    </row>
    <row r="109" spans="1:14" s="279" customFormat="1" x14ac:dyDescent="0.25">
      <c r="A109" s="275">
        <f>'B) D RI'!A110</f>
        <v>5566</v>
      </c>
      <c r="B109" s="276" t="str">
        <f>'B) D RI'!B110</f>
        <v>Provence</v>
      </c>
      <c r="C109" s="277">
        <f>'B) D RI'!S110</f>
        <v>81</v>
      </c>
      <c r="D109" s="278">
        <f>'B) D RI'!AR110</f>
        <v>373</v>
      </c>
      <c r="E109" s="285">
        <f>'D) Ecrêtage'!N108</f>
        <v>6953.5259259259255</v>
      </c>
      <c r="F109" s="289">
        <f>'E) Fact soc'!G114</f>
        <v>125185.76597892855</v>
      </c>
      <c r="G109" s="289">
        <f>'H) Péréquation directe'!I119</f>
        <v>-153697.13959802868</v>
      </c>
      <c r="H109" s="289">
        <f>'I) Dépenses thématiques'!O108</f>
        <v>-112331</v>
      </c>
      <c r="I109" s="289">
        <f>'K) Plafonnement aide'!J108</f>
        <v>0</v>
      </c>
      <c r="J109" s="289">
        <f>'J) Plafonnement effort'!I108</f>
        <v>0</v>
      </c>
      <c r="K109" s="289">
        <f>'L) Plafonnement taux'!Q109</f>
        <v>0</v>
      </c>
      <c r="L109" s="401">
        <f t="shared" si="2"/>
        <v>-140842.37361910014</v>
      </c>
      <c r="M109" s="401">
        <f>'M) Police'!O109</f>
        <v>22084.197850016837</v>
      </c>
      <c r="N109" s="401">
        <f t="shared" si="3"/>
        <v>-118758.1757690833</v>
      </c>
    </row>
    <row r="110" spans="1:14" s="279" customFormat="1" x14ac:dyDescent="0.25">
      <c r="A110" s="275">
        <f>'B) D RI'!A111</f>
        <v>5568</v>
      </c>
      <c r="B110" s="276" t="str">
        <f>'B) D RI'!B111</f>
        <v>Sainte-Croix</v>
      </c>
      <c r="C110" s="277">
        <f>'B) D RI'!S111</f>
        <v>70</v>
      </c>
      <c r="D110" s="278">
        <f>'B) D RI'!AR111</f>
        <v>4732</v>
      </c>
      <c r="E110" s="285">
        <f>'D) Ecrêtage'!N109</f>
        <v>95577.709714285724</v>
      </c>
      <c r="F110" s="289">
        <f>'E) Fact soc'!G115</f>
        <v>2446834.359166495</v>
      </c>
      <c r="G110" s="289">
        <f>'H) Péréquation directe'!I120</f>
        <v>-2074288.4808710124</v>
      </c>
      <c r="H110" s="289">
        <f>'I) Dépenses thématiques'!O109</f>
        <v>-883873</v>
      </c>
      <c r="I110" s="289">
        <f>'K) Plafonnement aide'!J109</f>
        <v>0</v>
      </c>
      <c r="J110" s="289">
        <f>'J) Plafonnement effort'!I109</f>
        <v>0</v>
      </c>
      <c r="K110" s="289">
        <f>'L) Plafonnement taux'!Q110</f>
        <v>0</v>
      </c>
      <c r="L110" s="401">
        <f t="shared" si="2"/>
        <v>-511327.1217045174</v>
      </c>
      <c r="M110" s="401">
        <f>'M) Police'!O110</f>
        <v>304169.70477884909</v>
      </c>
      <c r="N110" s="401">
        <f t="shared" si="3"/>
        <v>-207157.41692566831</v>
      </c>
    </row>
    <row r="111" spans="1:14" s="279" customFormat="1" x14ac:dyDescent="0.25">
      <c r="A111" s="275">
        <f>'B) D RI'!A112</f>
        <v>5571</v>
      </c>
      <c r="B111" s="276" t="str">
        <f>'B) D RI'!B112</f>
        <v>Tévenon</v>
      </c>
      <c r="C111" s="277">
        <f>'B) D RI'!S112</f>
        <v>73</v>
      </c>
      <c r="D111" s="278">
        <f>'B) D RI'!AR112</f>
        <v>760</v>
      </c>
      <c r="E111" s="285">
        <f>'D) Ecrêtage'!N110</f>
        <v>19746.460639269408</v>
      </c>
      <c r="F111" s="289">
        <f>'E) Fact soc'!G116</f>
        <v>366074.86376907007</v>
      </c>
      <c r="G111" s="289">
        <f>'H) Péréquation directe'!I121</f>
        <v>2488.6858502490795</v>
      </c>
      <c r="H111" s="289">
        <f>'I) Dépenses thématiques'!O110</f>
        <v>-75384</v>
      </c>
      <c r="I111" s="289">
        <f>'K) Plafonnement aide'!J110</f>
        <v>0</v>
      </c>
      <c r="J111" s="289">
        <f>'J) Plafonnement effort'!I110</f>
        <v>0</v>
      </c>
      <c r="K111" s="289">
        <f>'L) Plafonnement taux'!Q111</f>
        <v>0</v>
      </c>
      <c r="L111" s="401">
        <f t="shared" si="2"/>
        <v>293179.54961931915</v>
      </c>
      <c r="M111" s="401">
        <f>'M) Police'!O111</f>
        <v>62764.235282522262</v>
      </c>
      <c r="N111" s="401">
        <f t="shared" si="3"/>
        <v>355943.78490184143</v>
      </c>
    </row>
    <row r="112" spans="1:14" s="279" customFormat="1" x14ac:dyDescent="0.25">
      <c r="A112" s="275">
        <f>'B) D RI'!A113</f>
        <v>5581</v>
      </c>
      <c r="B112" s="276" t="str">
        <f>'B) D RI'!B113</f>
        <v>Belmont-sur-Lausanne</v>
      </c>
      <c r="C112" s="277">
        <f>'B) D RI'!S113</f>
        <v>69.5</v>
      </c>
      <c r="D112" s="278">
        <f>'B) D RI'!AR113</f>
        <v>3554</v>
      </c>
      <c r="E112" s="285">
        <f>'D) Ecrêtage'!N111</f>
        <v>180220.53318944844</v>
      </c>
      <c r="F112" s="289">
        <f>'E) Fact soc'!G117</f>
        <v>3224660.7768268478</v>
      </c>
      <c r="G112" s="289">
        <f>'H) Péréquation directe'!I122</f>
        <v>2267153</v>
      </c>
      <c r="H112" s="289">
        <f>'I) Dépenses thématiques'!O111</f>
        <v>-578228</v>
      </c>
      <c r="I112" s="289">
        <f>'K) Plafonnement aide'!J111</f>
        <v>0</v>
      </c>
      <c r="J112" s="289">
        <f>'J) Plafonnement effort'!I111</f>
        <v>0</v>
      </c>
      <c r="K112" s="289">
        <f>'L) Plafonnement taux'!Q112</f>
        <v>0</v>
      </c>
      <c r="L112" s="401">
        <f t="shared" si="2"/>
        <v>4913585.7768268473</v>
      </c>
      <c r="M112" s="401">
        <f>'M) Police'!O112</f>
        <v>243274.22281547016</v>
      </c>
      <c r="N112" s="401">
        <f t="shared" si="3"/>
        <v>5156859.9996423172</v>
      </c>
    </row>
    <row r="113" spans="1:14" s="279" customFormat="1" x14ac:dyDescent="0.25">
      <c r="A113" s="275">
        <f>'B) D RI'!A114</f>
        <v>5582</v>
      </c>
      <c r="B113" s="276" t="str">
        <f>'B) D RI'!B114</f>
        <v>Cheseaux-sur-Lausanne</v>
      </c>
      <c r="C113" s="277">
        <f>'B) D RI'!S114</f>
        <v>74.5</v>
      </c>
      <c r="D113" s="278">
        <f>'B) D RI'!AR114</f>
        <v>4080</v>
      </c>
      <c r="E113" s="285">
        <f>'D) Ecrêtage'!N112</f>
        <v>145388.39302013422</v>
      </c>
      <c r="F113" s="289">
        <f>'E) Fact soc'!G118</f>
        <v>2472327.9650441213</v>
      </c>
      <c r="G113" s="289">
        <f>'H) Péréquation directe'!I123</f>
        <v>617310.29558924958</v>
      </c>
      <c r="H113" s="289">
        <f>'I) Dépenses thématiques'!O112</f>
        <v>-214433</v>
      </c>
      <c r="I113" s="289">
        <f>'K) Plafonnement aide'!J112</f>
        <v>0</v>
      </c>
      <c r="J113" s="289">
        <f>'J) Plafonnement effort'!I112</f>
        <v>0</v>
      </c>
      <c r="K113" s="289">
        <f>'L) Plafonnement taux'!Q113</f>
        <v>0</v>
      </c>
      <c r="L113" s="401">
        <f t="shared" si="2"/>
        <v>2875205.2606333708</v>
      </c>
      <c r="M113" s="401">
        <f>'M) Police'!O113</f>
        <v>466301.53282220883</v>
      </c>
      <c r="N113" s="401">
        <f t="shared" si="3"/>
        <v>3341506.7934555798</v>
      </c>
    </row>
    <row r="114" spans="1:14" s="279" customFormat="1" x14ac:dyDescent="0.25">
      <c r="A114" s="275">
        <f>'B) D RI'!A115</f>
        <v>5583</v>
      </c>
      <c r="B114" s="276" t="str">
        <f>'B) D RI'!B115</f>
        <v>Crissier</v>
      </c>
      <c r="C114" s="277">
        <f>'B) D RI'!S115</f>
        <v>65</v>
      </c>
      <c r="D114" s="278">
        <f>'B) D RI'!AR115</f>
        <v>7407</v>
      </c>
      <c r="E114" s="285">
        <f>'D) Ecrêtage'!N113</f>
        <v>300610.54815384618</v>
      </c>
      <c r="F114" s="289">
        <f>'E) Fact soc'!G119</f>
        <v>5598404.7378964797</v>
      </c>
      <c r="G114" s="289">
        <f>'H) Péréquation directe'!I124</f>
        <v>1926724.2445406113</v>
      </c>
      <c r="H114" s="289">
        <f>'I) Dépenses thématiques'!O113</f>
        <v>-2012787</v>
      </c>
      <c r="I114" s="289">
        <f>'K) Plafonnement aide'!J113</f>
        <v>0</v>
      </c>
      <c r="J114" s="289">
        <f>'J) Plafonnement effort'!I113</f>
        <v>0</v>
      </c>
      <c r="K114" s="289">
        <f>'L) Plafonnement taux'!Q114</f>
        <v>0</v>
      </c>
      <c r="L114" s="401">
        <f t="shared" si="2"/>
        <v>5512341.9824370909</v>
      </c>
      <c r="M114" s="401">
        <f>'M) Police'!O114</f>
        <v>405785.04667603027</v>
      </c>
      <c r="N114" s="401">
        <f t="shared" si="3"/>
        <v>5918127.0291131213</v>
      </c>
    </row>
    <row r="115" spans="1:14" s="279" customFormat="1" x14ac:dyDescent="0.25">
      <c r="A115" s="275">
        <f>'B) D RI'!A116</f>
        <v>5584</v>
      </c>
      <c r="B115" s="276" t="str">
        <f>'B) D RI'!B116</f>
        <v>Epalinges</v>
      </c>
      <c r="C115" s="277">
        <f>'B) D RI'!S116</f>
        <v>66</v>
      </c>
      <c r="D115" s="278">
        <f>'B) D RI'!AR116</f>
        <v>8912</v>
      </c>
      <c r="E115" s="285">
        <f>'D) Ecrêtage'!N114</f>
        <v>461506.63590909087</v>
      </c>
      <c r="F115" s="289">
        <f>'E) Fact soc'!G120</f>
        <v>7833820.8707145229</v>
      </c>
      <c r="G115" s="289">
        <f>'H) Péréquation directe'!I125</f>
        <v>4416467</v>
      </c>
      <c r="H115" s="289">
        <f>'I) Dépenses thématiques'!O114</f>
        <v>-2513246</v>
      </c>
      <c r="I115" s="289">
        <f>'K) Plafonnement aide'!J114</f>
        <v>0</v>
      </c>
      <c r="J115" s="289">
        <f>'J) Plafonnement effort'!I114</f>
        <v>0</v>
      </c>
      <c r="K115" s="289">
        <f>'L) Plafonnement taux'!Q115</f>
        <v>0</v>
      </c>
      <c r="L115" s="401">
        <f t="shared" si="2"/>
        <v>9737041.8707145229</v>
      </c>
      <c r="M115" s="401">
        <f>'M) Police'!O115</f>
        <v>1388387.6689100517</v>
      </c>
      <c r="N115" s="401">
        <f t="shared" si="3"/>
        <v>11125429.539624576</v>
      </c>
    </row>
    <row r="116" spans="1:14" s="279" customFormat="1" x14ac:dyDescent="0.25">
      <c r="A116" s="275">
        <f>'B) D RI'!A117</f>
        <v>5585</v>
      </c>
      <c r="B116" s="276" t="str">
        <f>'B) D RI'!B117</f>
        <v>Jouxtens-Mézery</v>
      </c>
      <c r="C116" s="277">
        <f>'B) D RI'!S117</f>
        <v>55</v>
      </c>
      <c r="D116" s="278">
        <f>'B) D RI'!AR117</f>
        <v>1398</v>
      </c>
      <c r="E116" s="285">
        <f>'D) Ecrêtage'!N115</f>
        <v>134590.31495665171</v>
      </c>
      <c r="F116" s="289">
        <f>'E) Fact soc'!G121</f>
        <v>5513978.4505080171</v>
      </c>
      <c r="G116" s="289">
        <f>'H) Péréquation directe'!I126</f>
        <v>2258143</v>
      </c>
      <c r="H116" s="289">
        <f>'I) Dépenses thématiques'!O115</f>
        <v>0</v>
      </c>
      <c r="I116" s="289">
        <f>'K) Plafonnement aide'!J115</f>
        <v>0</v>
      </c>
      <c r="J116" s="289">
        <f>'J) Plafonnement effort'!I115</f>
        <v>0</v>
      </c>
      <c r="K116" s="289">
        <f>'L) Plafonnement taux'!Q116</f>
        <v>0</v>
      </c>
      <c r="L116" s="401">
        <f t="shared" si="2"/>
        <v>7772121.4505080171</v>
      </c>
      <c r="M116" s="401">
        <f>'M) Police'!O116</f>
        <v>301747.66804596258</v>
      </c>
      <c r="N116" s="401">
        <f t="shared" si="3"/>
        <v>8073869.1185539793</v>
      </c>
    </row>
    <row r="117" spans="1:14" s="279" customFormat="1" x14ac:dyDescent="0.25">
      <c r="A117" s="275">
        <f>'B) D RI'!A118</f>
        <v>5586</v>
      </c>
      <c r="B117" s="276" t="str">
        <f>'B) D RI'!B118</f>
        <v>Lausanne</v>
      </c>
      <c r="C117" s="277">
        <f>'B) D RI'!S118</f>
        <v>79</v>
      </c>
      <c r="D117" s="278">
        <f>'B) D RI'!AR118</f>
        <v>133521</v>
      </c>
      <c r="E117" s="285">
        <f>'D) Ecrêtage'!N116</f>
        <v>6035853.3985654004</v>
      </c>
      <c r="F117" s="289">
        <f>'E) Fact soc'!G122</f>
        <v>106903096.92548676</v>
      </c>
      <c r="G117" s="289">
        <f>'H) Péréquation directe'!I127</f>
        <v>-22196407</v>
      </c>
      <c r="H117" s="289">
        <f>'I) Dépenses thématiques'!O116</f>
        <v>-46461704</v>
      </c>
      <c r="I117" s="289">
        <f>'K) Plafonnement aide'!J116</f>
        <v>0</v>
      </c>
      <c r="J117" s="289">
        <f>'J) Plafonnement effort'!I116</f>
        <v>0</v>
      </c>
      <c r="K117" s="289">
        <f>'L) Plafonnement taux'!Q117</f>
        <v>0</v>
      </c>
      <c r="L117" s="401">
        <f t="shared" ref="L117:L170" si="4">F117+G117+H117+I117+J117+K117</f>
        <v>38244985.925486758</v>
      </c>
      <c r="M117" s="401">
        <f>'M) Police'!O117</f>
        <v>8147615.1389506711</v>
      </c>
      <c r="N117" s="401">
        <f t="shared" si="3"/>
        <v>46392601.064437427</v>
      </c>
    </row>
    <row r="118" spans="1:14" s="279" customFormat="1" x14ac:dyDescent="0.25">
      <c r="A118" s="275">
        <f>'B) D RI'!A119</f>
        <v>5587</v>
      </c>
      <c r="B118" s="276" t="str">
        <f>'B) D RI'!B119</f>
        <v>Le Mont-sur-Lausanne</v>
      </c>
      <c r="C118" s="277">
        <f>'B) D RI'!S119</f>
        <v>75</v>
      </c>
      <c r="D118" s="278">
        <f>'B) D RI'!AR119</f>
        <v>6937</v>
      </c>
      <c r="E118" s="285">
        <f>'D) Ecrêtage'!N117</f>
        <v>349051.38502222218</v>
      </c>
      <c r="F118" s="289">
        <f>'E) Fact soc'!G123</f>
        <v>6309781.0192475095</v>
      </c>
      <c r="G118" s="289">
        <f>'H) Péréquation directe'!I128</f>
        <v>3514760</v>
      </c>
      <c r="H118" s="289">
        <f>'I) Dépenses thématiques'!O117</f>
        <v>-2042117</v>
      </c>
      <c r="I118" s="289">
        <f>'K) Plafonnement aide'!J117</f>
        <v>0</v>
      </c>
      <c r="J118" s="289">
        <f>'J) Plafonnement effort'!I117</f>
        <v>0</v>
      </c>
      <c r="K118" s="289">
        <f>'L) Plafonnement taux'!Q118</f>
        <v>0</v>
      </c>
      <c r="L118" s="401">
        <f t="shared" si="4"/>
        <v>7782424.0192475095</v>
      </c>
      <c r="M118" s="401">
        <f>'M) Police'!O118</f>
        <v>1066963.3686570914</v>
      </c>
      <c r="N118" s="401">
        <f t="shared" si="3"/>
        <v>8849387.3879046012</v>
      </c>
    </row>
    <row r="119" spans="1:14" s="279" customFormat="1" x14ac:dyDescent="0.25">
      <c r="A119" s="275">
        <f>'B) D RI'!A120</f>
        <v>5588</v>
      </c>
      <c r="B119" s="276" t="str">
        <f>'B) D RI'!B120</f>
        <v>Paudex</v>
      </c>
      <c r="C119" s="277">
        <f>'B) D RI'!S120</f>
        <v>61.5</v>
      </c>
      <c r="D119" s="278">
        <f>'B) D RI'!AR120</f>
        <v>1454</v>
      </c>
      <c r="E119" s="285">
        <f>'D) Ecrêtage'!N118</f>
        <v>119438.63823447276</v>
      </c>
      <c r="F119" s="289">
        <f>'E) Fact soc'!G124</f>
        <v>3865333.7544512833</v>
      </c>
      <c r="G119" s="289">
        <f>'H) Péréquation directe'!I129</f>
        <v>1957390</v>
      </c>
      <c r="H119" s="289">
        <f>'I) Dépenses thématiques'!O118</f>
        <v>0</v>
      </c>
      <c r="I119" s="289">
        <f>'K) Plafonnement aide'!J118</f>
        <v>0</v>
      </c>
      <c r="J119" s="289">
        <f>'J) Plafonnement effort'!I118</f>
        <v>0</v>
      </c>
      <c r="K119" s="289">
        <f>'L) Plafonnement taux'!Q119</f>
        <v>0</v>
      </c>
      <c r="L119" s="401">
        <f t="shared" si="4"/>
        <v>5822723.7544512833</v>
      </c>
      <c r="M119" s="401">
        <f>'M) Police'!O119</f>
        <v>161226.58931479984</v>
      </c>
      <c r="N119" s="401">
        <f t="shared" si="3"/>
        <v>5983950.343766083</v>
      </c>
    </row>
    <row r="120" spans="1:14" s="279" customFormat="1" x14ac:dyDescent="0.25">
      <c r="A120" s="275">
        <f>'B) D RI'!A121</f>
        <v>5589</v>
      </c>
      <c r="B120" s="276" t="str">
        <f>'B) D RI'!B121</f>
        <v>Prilly</v>
      </c>
      <c r="C120" s="277">
        <f>'B) D RI'!S121</f>
        <v>73.5</v>
      </c>
      <c r="D120" s="278">
        <f>'B) D RI'!AR121</f>
        <v>11824</v>
      </c>
      <c r="E120" s="285">
        <f>'D) Ecrêtage'!N119</f>
        <v>409964.00829931977</v>
      </c>
      <c r="F120" s="289">
        <f>'E) Fact soc'!G125</f>
        <v>6945620.1338588875</v>
      </c>
      <c r="G120" s="289">
        <f>'H) Péréquation directe'!I130</f>
        <v>-1326393.7768248096</v>
      </c>
      <c r="H120" s="289">
        <f>'I) Dépenses thématiques'!O119</f>
        <v>-2811059</v>
      </c>
      <c r="I120" s="289">
        <f>'K) Plafonnement aide'!J119</f>
        <v>0</v>
      </c>
      <c r="J120" s="289">
        <f>'J) Plafonnement effort'!I119</f>
        <v>0</v>
      </c>
      <c r="K120" s="289">
        <f>'L) Plafonnement taux'!Q120</f>
        <v>0</v>
      </c>
      <c r="L120" s="401">
        <f t="shared" si="4"/>
        <v>2808167.3570340779</v>
      </c>
      <c r="M120" s="401">
        <f>'M) Police'!O120</f>
        <v>553397.96046708839</v>
      </c>
      <c r="N120" s="401">
        <f t="shared" si="3"/>
        <v>3361565.3175011664</v>
      </c>
    </row>
    <row r="121" spans="1:14" s="279" customFormat="1" x14ac:dyDescent="0.25">
      <c r="A121" s="275">
        <f>'B) D RI'!A122</f>
        <v>5590</v>
      </c>
      <c r="B121" s="276" t="str">
        <f>'B) D RI'!B122</f>
        <v>Pully</v>
      </c>
      <c r="C121" s="277">
        <f>'B) D RI'!S122</f>
        <v>63</v>
      </c>
      <c r="D121" s="278">
        <f>'B) D RI'!AR122</f>
        <v>17598</v>
      </c>
      <c r="E121" s="285">
        <f>'D) Ecrêtage'!N120</f>
        <v>1233855.8034109231</v>
      </c>
      <c r="F121" s="289">
        <f>'E) Fact soc'!G126</f>
        <v>35147992.969856247</v>
      </c>
      <c r="G121" s="289">
        <f>'H) Péréquation directe'!I131</f>
        <v>10417395</v>
      </c>
      <c r="H121" s="289">
        <f>'I) Dépenses thématiques'!O120</f>
        <v>-1811612</v>
      </c>
      <c r="I121" s="289">
        <f>'K) Plafonnement aide'!J120</f>
        <v>0</v>
      </c>
      <c r="J121" s="289">
        <f>'J) Plafonnement effort'!I120</f>
        <v>0</v>
      </c>
      <c r="K121" s="289">
        <f>'L) Plafonnement taux'!Q121</f>
        <v>0</v>
      </c>
      <c r="L121" s="401">
        <f t="shared" si="4"/>
        <v>43753775.969856247</v>
      </c>
      <c r="M121" s="401">
        <f>'M) Police'!O121</f>
        <v>1665544.465599905</v>
      </c>
      <c r="N121" s="401">
        <f t="shared" si="3"/>
        <v>45419320.435456149</v>
      </c>
    </row>
    <row r="122" spans="1:14" s="279" customFormat="1" x14ac:dyDescent="0.25">
      <c r="A122" s="275">
        <f>'B) D RI'!A123</f>
        <v>5591</v>
      </c>
      <c r="B122" s="276" t="str">
        <f>'B) D RI'!B123</f>
        <v>Renens</v>
      </c>
      <c r="C122" s="277">
        <f>'B) D RI'!S123</f>
        <v>78.5</v>
      </c>
      <c r="D122" s="278">
        <f>'B) D RI'!AR123</f>
        <v>20307</v>
      </c>
      <c r="E122" s="285">
        <f>'D) Ecrêtage'!N121</f>
        <v>507224.92132848047</v>
      </c>
      <c r="F122" s="289">
        <f>'E) Fact soc'!G127</f>
        <v>9757974.9755694009</v>
      </c>
      <c r="G122" s="289">
        <f>'H) Péréquation directe'!I132</f>
        <v>-15306421.469828866</v>
      </c>
      <c r="H122" s="289">
        <f>'I) Dépenses thématiques'!O121</f>
        <v>-5103315</v>
      </c>
      <c r="I122" s="289">
        <f>'K) Plafonnement aide'!J121</f>
        <v>2758709.4269528226</v>
      </c>
      <c r="J122" s="289">
        <f>'J) Plafonnement effort'!I121</f>
        <v>0</v>
      </c>
      <c r="K122" s="289">
        <f>'L) Plafonnement taux'!Q122</f>
        <v>0</v>
      </c>
      <c r="L122" s="401">
        <f t="shared" si="4"/>
        <v>-7893052.0673066434</v>
      </c>
      <c r="M122" s="401">
        <f>'M) Police'!O122</f>
        <v>684687.51226649131</v>
      </c>
      <c r="N122" s="401">
        <f t="shared" si="3"/>
        <v>-7208364.5550401518</v>
      </c>
    </row>
    <row r="123" spans="1:14" s="279" customFormat="1" x14ac:dyDescent="0.25">
      <c r="A123" s="275">
        <f>'B) D RI'!A124</f>
        <v>5592</v>
      </c>
      <c r="B123" s="276" t="str">
        <f>'B) D RI'!B124</f>
        <v>Romanel-sur-Lausanne</v>
      </c>
      <c r="C123" s="277">
        <f>'B) D RI'!S124</f>
        <v>70</v>
      </c>
      <c r="D123" s="278">
        <f>'B) D RI'!AR124</f>
        <v>3290</v>
      </c>
      <c r="E123" s="285">
        <f>'D) Ecrêtage'!N122</f>
        <v>115467.46028571429</v>
      </c>
      <c r="F123" s="289">
        <f>'E) Fact soc'!G128</f>
        <v>2027338.5113348556</v>
      </c>
      <c r="G123" s="289">
        <f>'H) Péréquation directe'!I133</f>
        <v>635947.59412413975</v>
      </c>
      <c r="H123" s="289">
        <f>'I) Dépenses thématiques'!O122</f>
        <v>-126768</v>
      </c>
      <c r="I123" s="289">
        <f>'K) Plafonnement aide'!J122</f>
        <v>0</v>
      </c>
      <c r="J123" s="289">
        <f>'J) Plafonnement effort'!I122</f>
        <v>0</v>
      </c>
      <c r="K123" s="289">
        <f>'L) Plafonnement taux'!Q123</f>
        <v>0</v>
      </c>
      <c r="L123" s="401">
        <f t="shared" si="4"/>
        <v>2536518.1054589953</v>
      </c>
      <c r="M123" s="401">
        <f>'M) Police'!O123</f>
        <v>365610.70312828314</v>
      </c>
      <c r="N123" s="401">
        <f t="shared" si="3"/>
        <v>2902128.8085872782</v>
      </c>
    </row>
    <row r="124" spans="1:14" s="279" customFormat="1" x14ac:dyDescent="0.25">
      <c r="A124" s="275">
        <f>'B) D RI'!A125</f>
        <v>5601</v>
      </c>
      <c r="B124" s="276" t="str">
        <f>'B) D RI'!B125</f>
        <v>Chexbres</v>
      </c>
      <c r="C124" s="277">
        <f>'B) D RI'!S125</f>
        <v>64</v>
      </c>
      <c r="D124" s="278">
        <f>'B) D RI'!AR125</f>
        <v>2180</v>
      </c>
      <c r="E124" s="285">
        <f>'D) Ecrêtage'!N123</f>
        <v>102004.96828125001</v>
      </c>
      <c r="F124" s="289">
        <f>'E) Fact soc'!G129</f>
        <v>1873947.0868966011</v>
      </c>
      <c r="G124" s="289">
        <f>'H) Péréquation directe'!I134</f>
        <v>1379793</v>
      </c>
      <c r="H124" s="289">
        <f>'I) Dépenses thématiques'!O123</f>
        <v>-158467</v>
      </c>
      <c r="I124" s="289">
        <f>'K) Plafonnement aide'!J123</f>
        <v>0</v>
      </c>
      <c r="J124" s="289">
        <f>'J) Plafonnement effort'!I123</f>
        <v>0</v>
      </c>
      <c r="K124" s="289">
        <f>'L) Plafonnement taux'!Q124</f>
        <v>0</v>
      </c>
      <c r="L124" s="401">
        <f t="shared" si="4"/>
        <v>3095273.0868966011</v>
      </c>
      <c r="M124" s="401">
        <f>'M) Police'!O124</f>
        <v>137693.40786408604</v>
      </c>
      <c r="N124" s="401">
        <f t="shared" si="3"/>
        <v>3232966.494760687</v>
      </c>
    </row>
    <row r="125" spans="1:14" s="279" customFormat="1" x14ac:dyDescent="0.25">
      <c r="A125" s="275">
        <f>'B) D RI'!A126</f>
        <v>5604</v>
      </c>
      <c r="B125" s="276" t="str">
        <f>'B) D RI'!B126</f>
        <v>Forel (Lavaux)</v>
      </c>
      <c r="C125" s="277">
        <f>'B) D RI'!S126</f>
        <v>66</v>
      </c>
      <c r="D125" s="278">
        <f>'B) D RI'!AR126</f>
        <v>2072</v>
      </c>
      <c r="E125" s="285">
        <f>'D) Ecrêtage'!N124</f>
        <v>73679.184999999969</v>
      </c>
      <c r="F125" s="289">
        <f>'E) Fact soc'!G130</f>
        <v>1262107.3549302609</v>
      </c>
      <c r="G125" s="289">
        <f>'H) Péréquation directe'!I135</f>
        <v>594150.50728979765</v>
      </c>
      <c r="H125" s="289">
        <f>'I) Dépenses thématiques'!O124</f>
        <v>-207797</v>
      </c>
      <c r="I125" s="289">
        <f>'K) Plafonnement aide'!J124</f>
        <v>0</v>
      </c>
      <c r="J125" s="289">
        <f>'J) Plafonnement effort'!I124</f>
        <v>0</v>
      </c>
      <c r="K125" s="289">
        <f>'L) Plafonnement taux'!Q125</f>
        <v>0</v>
      </c>
      <c r="L125" s="401">
        <f t="shared" si="4"/>
        <v>1648460.8622200587</v>
      </c>
      <c r="M125" s="401">
        <f>'M) Police'!O125</f>
        <v>236155.28322139959</v>
      </c>
      <c r="N125" s="401">
        <f t="shared" si="3"/>
        <v>1884616.1454414583</v>
      </c>
    </row>
    <row r="126" spans="1:14" s="279" customFormat="1" x14ac:dyDescent="0.25">
      <c r="A126" s="275">
        <f>'B) D RI'!A127</f>
        <v>5606</v>
      </c>
      <c r="B126" s="276" t="str">
        <f>'B) D RI'!B127</f>
        <v>Lutry</v>
      </c>
      <c r="C126" s="277">
        <f>'B) D RI'!S127</f>
        <v>56</v>
      </c>
      <c r="D126" s="278">
        <f>'B) D RI'!AR127</f>
        <v>9648</v>
      </c>
      <c r="E126" s="285">
        <f>'D) Ecrêtage'!N125</f>
        <v>696286.44029501616</v>
      </c>
      <c r="F126" s="289">
        <f>'E) Fact soc'!G131</f>
        <v>19513520.972348385</v>
      </c>
      <c r="G126" s="289">
        <f>'H) Péréquation directe'!I136</f>
        <v>8169416</v>
      </c>
      <c r="H126" s="289">
        <f>'I) Dépenses thématiques'!O125</f>
        <v>-1475838</v>
      </c>
      <c r="I126" s="289">
        <f>'K) Plafonnement aide'!J125</f>
        <v>0</v>
      </c>
      <c r="J126" s="289">
        <f>'J) Plafonnement effort'!I125</f>
        <v>0</v>
      </c>
      <c r="K126" s="289">
        <f>'L) Plafonnement taux'!Q126</f>
        <v>0</v>
      </c>
      <c r="L126" s="401">
        <f t="shared" si="4"/>
        <v>26207098.972348385</v>
      </c>
      <c r="M126" s="401">
        <f>'M) Police'!O126</f>
        <v>939895.91320129158</v>
      </c>
      <c r="N126" s="401">
        <f t="shared" si="3"/>
        <v>27146994.885549676</v>
      </c>
    </row>
    <row r="127" spans="1:14" s="279" customFormat="1" x14ac:dyDescent="0.25">
      <c r="A127" s="275">
        <f>'B) D RI'!A128</f>
        <v>5607</v>
      </c>
      <c r="B127" s="276" t="str">
        <f>'B) D RI'!B128</f>
        <v>Puidoux</v>
      </c>
      <c r="C127" s="277">
        <f>'B) D RI'!S128</f>
        <v>68</v>
      </c>
      <c r="D127" s="278">
        <f>'B) D RI'!AR128</f>
        <v>2815</v>
      </c>
      <c r="E127" s="285">
        <f>'D) Ecrêtage'!N126</f>
        <v>102046.9552557545</v>
      </c>
      <c r="F127" s="289">
        <f>'E) Fact soc'!G132</f>
        <v>1828747.557665121</v>
      </c>
      <c r="G127" s="289">
        <f>'H) Péréquation directe'!I137</f>
        <v>764605.37129923655</v>
      </c>
      <c r="H127" s="289">
        <f>'I) Dépenses thématiques'!O126</f>
        <v>-553757</v>
      </c>
      <c r="I127" s="289">
        <f>'K) Plafonnement aide'!J126</f>
        <v>0</v>
      </c>
      <c r="J127" s="289">
        <f>'J) Plafonnement effort'!I126</f>
        <v>0</v>
      </c>
      <c r="K127" s="289">
        <f>'L) Plafonnement taux'!Q127</f>
        <v>0</v>
      </c>
      <c r="L127" s="401">
        <f t="shared" si="4"/>
        <v>2039595.9289643578</v>
      </c>
      <c r="M127" s="401">
        <f>'M) Police'!O127</f>
        <v>137750.0848054433</v>
      </c>
      <c r="N127" s="401">
        <f t="shared" si="3"/>
        <v>2177346.0137698012</v>
      </c>
    </row>
    <row r="128" spans="1:14" s="279" customFormat="1" x14ac:dyDescent="0.25">
      <c r="A128" s="275">
        <f>'B) D RI'!A129</f>
        <v>5609</v>
      </c>
      <c r="B128" s="276" t="str">
        <f>'B) D RI'!B129</f>
        <v>Rivaz</v>
      </c>
      <c r="C128" s="277">
        <f>'B) D RI'!S129</f>
        <v>63.5</v>
      </c>
      <c r="D128" s="278">
        <f>'B) D RI'!AR129</f>
        <v>345</v>
      </c>
      <c r="E128" s="285">
        <f>'D) Ecrêtage'!N127</f>
        <v>17457.580472440943</v>
      </c>
      <c r="F128" s="289">
        <f>'E) Fact soc'!G133</f>
        <v>281404.31500341702</v>
      </c>
      <c r="G128" s="289">
        <f>'H) Péréquation directe'!I138</f>
        <v>289441</v>
      </c>
      <c r="H128" s="289">
        <f>'I) Dépenses thématiques'!O127</f>
        <v>-703</v>
      </c>
      <c r="I128" s="289">
        <f>'K) Plafonnement aide'!J127</f>
        <v>0</v>
      </c>
      <c r="J128" s="289">
        <f>'J) Plafonnement effort'!I127</f>
        <v>0</v>
      </c>
      <c r="K128" s="289">
        <f>'L) Plafonnement taux'!Q128</f>
        <v>0</v>
      </c>
      <c r="L128" s="401">
        <f t="shared" si="4"/>
        <v>570142.31500341697</v>
      </c>
      <c r="M128" s="401">
        <f>'M) Police'!O128</f>
        <v>23565.457534226465</v>
      </c>
      <c r="N128" s="401">
        <f t="shared" si="3"/>
        <v>593707.77253764344</v>
      </c>
    </row>
    <row r="129" spans="1:14" s="279" customFormat="1" x14ac:dyDescent="0.25">
      <c r="A129" s="275">
        <f>'B) D RI'!A130</f>
        <v>5610</v>
      </c>
      <c r="B129" s="276" t="str">
        <f>'B) D RI'!B130</f>
        <v>St-Saphorin (Lavaux)</v>
      </c>
      <c r="C129" s="277">
        <f>'B) D RI'!S130</f>
        <v>60</v>
      </c>
      <c r="D129" s="278">
        <f>'B) D RI'!AR130</f>
        <v>378</v>
      </c>
      <c r="E129" s="285">
        <f>'D) Ecrêtage'!N128</f>
        <v>20355.755166666662</v>
      </c>
      <c r="F129" s="289">
        <f>'E) Fact soc'!G134</f>
        <v>335933.10976486944</v>
      </c>
      <c r="G129" s="289">
        <f>'H) Péréquation directe'!I139</f>
        <v>339919</v>
      </c>
      <c r="H129" s="289">
        <f>'I) Dépenses thématiques'!O128</f>
        <v>-39861</v>
      </c>
      <c r="I129" s="289">
        <f>'K) Plafonnement aide'!J128</f>
        <v>0</v>
      </c>
      <c r="J129" s="289">
        <f>'J) Plafonnement effort'!I128</f>
        <v>0</v>
      </c>
      <c r="K129" s="289">
        <f>'L) Plafonnement taux'!Q129</f>
        <v>0</v>
      </c>
      <c r="L129" s="401">
        <f t="shared" si="4"/>
        <v>635991.10976486944</v>
      </c>
      <c r="M129" s="401">
        <f>'M) Police'!O129</f>
        <v>27477.615510033098</v>
      </c>
      <c r="N129" s="401">
        <f t="shared" si="3"/>
        <v>663468.72527490254</v>
      </c>
    </row>
    <row r="130" spans="1:14" s="279" customFormat="1" x14ac:dyDescent="0.25">
      <c r="A130" s="275">
        <f>'B) D RI'!A131</f>
        <v>5611</v>
      </c>
      <c r="B130" s="276" t="str">
        <f>'B) D RI'!B131</f>
        <v>Savigny</v>
      </c>
      <c r="C130" s="277">
        <f>'B) D RI'!S131</f>
        <v>67</v>
      </c>
      <c r="D130" s="278">
        <f>'B) D RI'!AR131</f>
        <v>3304</v>
      </c>
      <c r="E130" s="285">
        <f>'D) Ecrêtage'!N129</f>
        <v>133649.01597014922</v>
      </c>
      <c r="F130" s="289">
        <f>'E) Fact soc'!G135</f>
        <v>2193735.5236905981</v>
      </c>
      <c r="G130" s="289">
        <f>'H) Péréquation directe'!I140</f>
        <v>1327098.6645932801</v>
      </c>
      <c r="H130" s="289">
        <f>'I) Dépenses thématiques'!O129</f>
        <v>-428209</v>
      </c>
      <c r="I130" s="289">
        <f>'K) Plafonnement aide'!J129</f>
        <v>0</v>
      </c>
      <c r="J130" s="289">
        <f>'J) Plafonnement effort'!I129</f>
        <v>0</v>
      </c>
      <c r="K130" s="289">
        <f>'L) Plafonnement taux'!Q130</f>
        <v>0</v>
      </c>
      <c r="L130" s="401">
        <f t="shared" si="4"/>
        <v>3092625.1882838784</v>
      </c>
      <c r="M130" s="401">
        <f>'M) Police'!O130</f>
        <v>180408.7465217532</v>
      </c>
      <c r="N130" s="401">
        <f t="shared" si="3"/>
        <v>3273033.9348056316</v>
      </c>
    </row>
    <row r="131" spans="1:14" s="279" customFormat="1" x14ac:dyDescent="0.25">
      <c r="A131" s="275">
        <f>'B) D RI'!A132</f>
        <v>5613</v>
      </c>
      <c r="B131" s="276" t="str">
        <f>'B) D RI'!B132</f>
        <v>Bourg-en-Lavaux</v>
      </c>
      <c r="C131" s="277">
        <f>'B) D RI'!S132</f>
        <v>61</v>
      </c>
      <c r="D131" s="278">
        <f>'B) D RI'!AR132</f>
        <v>5184</v>
      </c>
      <c r="E131" s="285">
        <f>'D) Ecrêtage'!N130</f>
        <v>307312.25466076838</v>
      </c>
      <c r="F131" s="289">
        <f>'E) Fact soc'!G136</f>
        <v>6091139.506091564</v>
      </c>
      <c r="G131" s="289">
        <f>'H) Péréquation directe'!I141</f>
        <v>3792053</v>
      </c>
      <c r="H131" s="289">
        <f>'I) Dépenses thématiques'!O130</f>
        <v>-171640</v>
      </c>
      <c r="I131" s="289">
        <f>'K) Plafonnement aide'!J130</f>
        <v>0</v>
      </c>
      <c r="J131" s="289">
        <f>'J) Plafonnement effort'!I130</f>
        <v>0</v>
      </c>
      <c r="K131" s="289">
        <f>'L) Plafonnement taux'!Q131</f>
        <v>0</v>
      </c>
      <c r="L131" s="401">
        <f t="shared" si="4"/>
        <v>9711552.5060915649</v>
      </c>
      <c r="M131" s="401">
        <f>'M) Police'!O131</f>
        <v>414831.47669793596</v>
      </c>
      <c r="N131" s="401">
        <f t="shared" si="3"/>
        <v>10126383.982789502</v>
      </c>
    </row>
    <row r="132" spans="1:14" s="279" customFormat="1" x14ac:dyDescent="0.25">
      <c r="A132" s="275">
        <f>'B) D RI'!A133</f>
        <v>5621</v>
      </c>
      <c r="B132" s="276" t="str">
        <f>'B) D RI'!B133</f>
        <v>Aclens</v>
      </c>
      <c r="C132" s="277">
        <f>'B) D RI'!S133</f>
        <v>62</v>
      </c>
      <c r="D132" s="278">
        <f>'B) D RI'!AR133</f>
        <v>538</v>
      </c>
      <c r="E132" s="285">
        <f>'D) Ecrêtage'!N131</f>
        <v>36410.510833032451</v>
      </c>
      <c r="F132" s="289">
        <f>'E) Fact soc'!G137</f>
        <v>877083.60887348582</v>
      </c>
      <c r="G132" s="289">
        <f>'H) Péréquation directe'!I142</f>
        <v>621830</v>
      </c>
      <c r="H132" s="289">
        <f>'I) Dépenses thématiques'!O131</f>
        <v>0</v>
      </c>
      <c r="I132" s="289">
        <f>'K) Plafonnement aide'!J131</f>
        <v>0</v>
      </c>
      <c r="J132" s="289">
        <f>'J) Plafonnement effort'!I131</f>
        <v>0</v>
      </c>
      <c r="K132" s="289">
        <f>'L) Plafonnement taux'!Q132</f>
        <v>0</v>
      </c>
      <c r="L132" s="401">
        <f t="shared" si="4"/>
        <v>1498913.6088734858</v>
      </c>
      <c r="M132" s="401">
        <f>'M) Police'!O132</f>
        <v>95355.980618579983</v>
      </c>
      <c r="N132" s="401">
        <f t="shared" si="3"/>
        <v>1594269.5894920658</v>
      </c>
    </row>
    <row r="133" spans="1:14" s="279" customFormat="1" x14ac:dyDescent="0.25">
      <c r="A133" s="275">
        <f>'B) D RI'!A134</f>
        <v>5622</v>
      </c>
      <c r="B133" s="276" t="str">
        <f>'B) D RI'!B134</f>
        <v>Bremblens</v>
      </c>
      <c r="C133" s="277">
        <f>'B) D RI'!S134</f>
        <v>66</v>
      </c>
      <c r="D133" s="278">
        <f>'B) D RI'!AR134</f>
        <v>495</v>
      </c>
      <c r="E133" s="285">
        <f>'D) Ecrêtage'!N132</f>
        <v>25805.300909090911</v>
      </c>
      <c r="F133" s="289">
        <f>'E) Fact soc'!G138</f>
        <v>437121.36321228789</v>
      </c>
      <c r="G133" s="289">
        <f>'H) Péréquation directe'!I143</f>
        <v>429340</v>
      </c>
      <c r="H133" s="289">
        <f>'I) Dépenses thématiques'!O132</f>
        <v>0</v>
      </c>
      <c r="I133" s="289">
        <f>'K) Plafonnement aide'!J132</f>
        <v>0</v>
      </c>
      <c r="J133" s="289">
        <f>'J) Plafonnement effort'!I132</f>
        <v>0</v>
      </c>
      <c r="K133" s="289">
        <f>'L) Plafonnement taux'!Q133</f>
        <v>0</v>
      </c>
      <c r="L133" s="401">
        <f t="shared" si="4"/>
        <v>866461.36321228789</v>
      </c>
      <c r="M133" s="401">
        <f>'M) Police'!O133</f>
        <v>77347.242296214245</v>
      </c>
      <c r="N133" s="401">
        <f t="shared" si="3"/>
        <v>943808.60550850211</v>
      </c>
    </row>
    <row r="134" spans="1:14" s="279" customFormat="1" x14ac:dyDescent="0.25">
      <c r="A134" s="275">
        <f>'B) D RI'!A135</f>
        <v>5623</v>
      </c>
      <c r="B134" s="276" t="str">
        <f>'B) D RI'!B135</f>
        <v>Buchillon</v>
      </c>
      <c r="C134" s="277">
        <f>'B) D RI'!S135</f>
        <v>53</v>
      </c>
      <c r="D134" s="278">
        <f>'B) D RI'!AR135</f>
        <v>616</v>
      </c>
      <c r="E134" s="285">
        <f>'D) Ecrêtage'!N133</f>
        <v>61850.611171951925</v>
      </c>
      <c r="F134" s="289">
        <f>'E) Fact soc'!G139</f>
        <v>2624298.6718721199</v>
      </c>
      <c r="G134" s="289">
        <f>'H) Péréquation directe'!I144</f>
        <v>1086093</v>
      </c>
      <c r="H134" s="289">
        <f>'I) Dépenses thématiques'!O133</f>
        <v>0</v>
      </c>
      <c r="I134" s="289">
        <f>'K) Plafonnement aide'!J133</f>
        <v>0</v>
      </c>
      <c r="J134" s="289">
        <f>'J) Plafonnement effort'!I133</f>
        <v>0</v>
      </c>
      <c r="K134" s="289">
        <f>'L) Plafonnement taux'!Q134</f>
        <v>0</v>
      </c>
      <c r="L134" s="401">
        <f t="shared" si="4"/>
        <v>3710391.6718721199</v>
      </c>
      <c r="M134" s="401">
        <f>'M) Police'!O134</f>
        <v>83490.261055333467</v>
      </c>
      <c r="N134" s="401">
        <f t="shared" si="3"/>
        <v>3793881.9329274534</v>
      </c>
    </row>
    <row r="135" spans="1:14" s="279" customFormat="1" x14ac:dyDescent="0.25">
      <c r="A135" s="275">
        <f>'B) D RI'!A136</f>
        <v>5624</v>
      </c>
      <c r="B135" s="276" t="str">
        <f>'B) D RI'!B136</f>
        <v>Bussigny</v>
      </c>
      <c r="C135" s="277">
        <f>'B) D RI'!S136</f>
        <v>62</v>
      </c>
      <c r="D135" s="278">
        <f>'B) D RI'!AR136</f>
        <v>8208</v>
      </c>
      <c r="E135" s="285">
        <f>'D) Ecrêtage'!N134</f>
        <v>356632.38967741939</v>
      </c>
      <c r="F135" s="289">
        <f>'E) Fact soc'!G140</f>
        <v>6180742.4469252927</v>
      </c>
      <c r="G135" s="289">
        <f>'H) Péréquation directe'!I145</f>
        <v>2841822.5346733369</v>
      </c>
      <c r="H135" s="289">
        <f>'I) Dépenses thématiques'!O134</f>
        <v>-1106948</v>
      </c>
      <c r="I135" s="289">
        <f>'K) Plafonnement aide'!J134</f>
        <v>0</v>
      </c>
      <c r="J135" s="289">
        <f>'J) Plafonnement effort'!I134</f>
        <v>0</v>
      </c>
      <c r="K135" s="289">
        <f>'L) Plafonnement taux'!Q135</f>
        <v>0</v>
      </c>
      <c r="L135" s="401">
        <f t="shared" si="4"/>
        <v>7915616.9815986305</v>
      </c>
      <c r="M135" s="401">
        <f>'M) Police'!O135</f>
        <v>481407.22865577281</v>
      </c>
      <c r="N135" s="401">
        <f t="shared" ref="N135:N198" si="5">L135+M135</f>
        <v>8397024.2102544028</v>
      </c>
    </row>
    <row r="136" spans="1:14" s="279" customFormat="1" x14ac:dyDescent="0.25">
      <c r="A136" s="275">
        <f>'B) D RI'!A137</f>
        <v>5625</v>
      </c>
      <c r="B136" s="276" t="str">
        <f>'B) D RI'!B137</f>
        <v>Bussy-Chardonney</v>
      </c>
      <c r="C136" s="277">
        <f>'B) D RI'!S137</f>
        <v>72</v>
      </c>
      <c r="D136" s="278">
        <f>'B) D RI'!AR137</f>
        <v>388</v>
      </c>
      <c r="E136" s="285">
        <f>'D) Ecrêtage'!N135</f>
        <v>13870.18990740741</v>
      </c>
      <c r="F136" s="289">
        <f>'E) Fact soc'!G141</f>
        <v>210910.12321930091</v>
      </c>
      <c r="G136" s="289">
        <f>'H) Péréquation directe'!I146</f>
        <v>153708.76511243347</v>
      </c>
      <c r="H136" s="289">
        <f>'I) Dépenses thématiques'!O135</f>
        <v>-31879</v>
      </c>
      <c r="I136" s="289">
        <f>'K) Plafonnement aide'!J135</f>
        <v>0</v>
      </c>
      <c r="J136" s="289">
        <f>'J) Plafonnement effort'!I135</f>
        <v>0</v>
      </c>
      <c r="K136" s="289">
        <f>'L) Plafonnement taux'!Q136</f>
        <v>0</v>
      </c>
      <c r="L136" s="401">
        <f t="shared" si="4"/>
        <v>332739.88833173434</v>
      </c>
      <c r="M136" s="401">
        <f>'M) Police'!O136</f>
        <v>43905.31160328292</v>
      </c>
      <c r="N136" s="401">
        <f t="shared" si="5"/>
        <v>376645.19993501727</v>
      </c>
    </row>
    <row r="137" spans="1:14" s="279" customFormat="1" x14ac:dyDescent="0.25">
      <c r="A137" s="275">
        <f>'B) D RI'!A138</f>
        <v>5627</v>
      </c>
      <c r="B137" s="276" t="str">
        <f>'B) D RI'!B138</f>
        <v>Chavannes-près-Renens</v>
      </c>
      <c r="C137" s="277">
        <f>'B) D RI'!S138</f>
        <v>79</v>
      </c>
      <c r="D137" s="278">
        <f>'B) D RI'!AR138</f>
        <v>7169</v>
      </c>
      <c r="E137" s="285">
        <f>'D) Ecrêtage'!N136</f>
        <v>170689.33978902953</v>
      </c>
      <c r="F137" s="289">
        <f>'E) Fact soc'!G142</f>
        <v>2856057.6617433005</v>
      </c>
      <c r="G137" s="289">
        <f>'H) Péréquation directe'!I147</f>
        <v>-3501545.1758424193</v>
      </c>
      <c r="H137" s="289">
        <f>'I) Dépenses thématiques'!O136</f>
        <v>-1099377</v>
      </c>
      <c r="I137" s="289">
        <f>'K) Plafonnement aide'!J136</f>
        <v>0</v>
      </c>
      <c r="J137" s="289">
        <f>'J) Plafonnement effort'!I136</f>
        <v>0</v>
      </c>
      <c r="K137" s="289">
        <f>'L) Plafonnement taux'!Q137</f>
        <v>0</v>
      </c>
      <c r="L137" s="401">
        <f t="shared" si="4"/>
        <v>-1744864.5140991188</v>
      </c>
      <c r="M137" s="401">
        <f>'M) Police'!O137</f>
        <v>230408.35439328861</v>
      </c>
      <c r="N137" s="401">
        <f t="shared" si="5"/>
        <v>-1514456.1597058303</v>
      </c>
    </row>
    <row r="138" spans="1:14" s="279" customFormat="1" x14ac:dyDescent="0.25">
      <c r="A138" s="275">
        <f>'B) D RI'!A139</f>
        <v>5628</v>
      </c>
      <c r="B138" s="276" t="str">
        <f>'B) D RI'!B139</f>
        <v>Chigny</v>
      </c>
      <c r="C138" s="277">
        <f>'B) D RI'!S139</f>
        <v>62</v>
      </c>
      <c r="D138" s="278">
        <f>'B) D RI'!AR139</f>
        <v>330</v>
      </c>
      <c r="E138" s="285">
        <f>'D) Ecrêtage'!N137</f>
        <v>18836.036906773894</v>
      </c>
      <c r="F138" s="289">
        <f>'E) Fact soc'!G143</f>
        <v>310575.2634272615</v>
      </c>
      <c r="G138" s="289">
        <f>'H) Péréquation directe'!I148</f>
        <v>316519</v>
      </c>
      <c r="H138" s="289">
        <f>'I) Dépenses thématiques'!O137</f>
        <v>0</v>
      </c>
      <c r="I138" s="289">
        <f>'K) Plafonnement aide'!J137</f>
        <v>0</v>
      </c>
      <c r="J138" s="289">
        <f>'J) Plafonnement effort'!I137</f>
        <v>0</v>
      </c>
      <c r="K138" s="289">
        <f>'L) Plafonnement taux'!Q138</f>
        <v>0</v>
      </c>
      <c r="L138" s="401">
        <f t="shared" si="4"/>
        <v>627094.2634272615</v>
      </c>
      <c r="M138" s="401">
        <f>'M) Police'!O138</f>
        <v>53768.49435917721</v>
      </c>
      <c r="N138" s="401">
        <f t="shared" si="5"/>
        <v>680862.75778643868</v>
      </c>
    </row>
    <row r="139" spans="1:14" s="279" customFormat="1" x14ac:dyDescent="0.25">
      <c r="A139" s="275">
        <f>'B) D RI'!A140</f>
        <v>5629</v>
      </c>
      <c r="B139" s="276" t="str">
        <f>'B) D RI'!B140</f>
        <v>Clarmont</v>
      </c>
      <c r="C139" s="277">
        <f>'B) D RI'!S140</f>
        <v>75</v>
      </c>
      <c r="D139" s="278">
        <f>'B) D RI'!AR140</f>
        <v>155</v>
      </c>
      <c r="E139" s="285">
        <f>'D) Ecrêtage'!N138</f>
        <v>7795.3318666666655</v>
      </c>
      <c r="F139" s="289">
        <f>'E) Fact soc'!G144</f>
        <v>128871.74521751287</v>
      </c>
      <c r="G139" s="289">
        <f>'H) Péréquation directe'!I149</f>
        <v>129149</v>
      </c>
      <c r="H139" s="289">
        <f>'I) Dépenses thématiques'!O138</f>
        <v>-74026</v>
      </c>
      <c r="I139" s="289">
        <f>'K) Plafonnement aide'!J138</f>
        <v>0</v>
      </c>
      <c r="J139" s="289">
        <f>'J) Plafonnement effort'!I138</f>
        <v>0</v>
      </c>
      <c r="K139" s="289">
        <f>'L) Plafonnement taux'!Q139</f>
        <v>0</v>
      </c>
      <c r="L139" s="401">
        <f t="shared" si="4"/>
        <v>183994.74521751289</v>
      </c>
      <c r="M139" s="401">
        <f>'M) Police'!O139</f>
        <v>23834.974265245288</v>
      </c>
      <c r="N139" s="401">
        <f t="shared" si="5"/>
        <v>207829.71948275817</v>
      </c>
    </row>
    <row r="140" spans="1:14" s="279" customFormat="1" x14ac:dyDescent="0.25">
      <c r="A140" s="275">
        <f>'B) D RI'!A141</f>
        <v>5631</v>
      </c>
      <c r="B140" s="276" t="str">
        <f>'B) D RI'!B141</f>
        <v>Denens</v>
      </c>
      <c r="C140" s="277">
        <f>'B) D RI'!S141</f>
        <v>68</v>
      </c>
      <c r="D140" s="278">
        <f>'B) D RI'!AR141</f>
        <v>699</v>
      </c>
      <c r="E140" s="285">
        <f>'D) Ecrêtage'!N139</f>
        <v>35350.552500000005</v>
      </c>
      <c r="F140" s="289">
        <f>'E) Fact soc'!G145</f>
        <v>593106.86313461291</v>
      </c>
      <c r="G140" s="289">
        <f>'H) Péréquation directe'!I150</f>
        <v>586061</v>
      </c>
      <c r="H140" s="289">
        <f>'I) Dépenses thématiques'!O139</f>
        <v>0</v>
      </c>
      <c r="I140" s="289">
        <f>'K) Plafonnement aide'!J139</f>
        <v>0</v>
      </c>
      <c r="J140" s="289">
        <f>'J) Plafonnement effort'!I139</f>
        <v>0</v>
      </c>
      <c r="K140" s="289">
        <f>'L) Plafonnement taux'!Q140</f>
        <v>0</v>
      </c>
      <c r="L140" s="401">
        <f t="shared" si="4"/>
        <v>1179167.8631346128</v>
      </c>
      <c r="M140" s="401">
        <f>'M) Police'!O140</f>
        <v>107752.78221097602</v>
      </c>
      <c r="N140" s="401">
        <f t="shared" si="5"/>
        <v>1286920.6453455889</v>
      </c>
    </row>
    <row r="141" spans="1:14" s="279" customFormat="1" x14ac:dyDescent="0.25">
      <c r="A141" s="275">
        <f>'B) D RI'!A142</f>
        <v>5632</v>
      </c>
      <c r="B141" s="276" t="str">
        <f>'B) D RI'!B142</f>
        <v>Denges</v>
      </c>
      <c r="C141" s="277">
        <f>'B) D RI'!S142</f>
        <v>62</v>
      </c>
      <c r="D141" s="278">
        <f>'B) D RI'!AR142</f>
        <v>1612</v>
      </c>
      <c r="E141" s="285">
        <f>'D) Ecrêtage'!N140</f>
        <v>61597.331370967739</v>
      </c>
      <c r="F141" s="289">
        <f>'E) Fact soc'!G146</f>
        <v>1144863.9811082745</v>
      </c>
      <c r="G141" s="289">
        <f>'H) Péréquation directe'!I151</f>
        <v>689686.31534386962</v>
      </c>
      <c r="H141" s="289">
        <f>'I) Dépenses thématiques'!O140</f>
        <v>-108149</v>
      </c>
      <c r="I141" s="289">
        <f>'K) Plafonnement aide'!J140</f>
        <v>0</v>
      </c>
      <c r="J141" s="289">
        <f>'J) Plafonnement effort'!I140</f>
        <v>0</v>
      </c>
      <c r="K141" s="289">
        <f>'L) Plafonnement taux'!Q141</f>
        <v>0</v>
      </c>
      <c r="L141" s="401">
        <f t="shared" si="4"/>
        <v>1726401.2964521442</v>
      </c>
      <c r="M141" s="401">
        <f>'M) Police'!O141</f>
        <v>195369.29924962224</v>
      </c>
      <c r="N141" s="401">
        <f t="shared" si="5"/>
        <v>1921770.5957017664</v>
      </c>
    </row>
    <row r="142" spans="1:14" s="279" customFormat="1" x14ac:dyDescent="0.25">
      <c r="A142" s="275">
        <f>'B) D RI'!A143</f>
        <v>5633</v>
      </c>
      <c r="B142" s="276" t="str">
        <f>'B) D RI'!B143</f>
        <v>Echandens</v>
      </c>
      <c r="C142" s="277">
        <f>'B) D RI'!S143</f>
        <v>62</v>
      </c>
      <c r="D142" s="278">
        <f>'B) D RI'!AR143</f>
        <v>2405</v>
      </c>
      <c r="E142" s="285">
        <f>'D) Ecrêtage'!N141</f>
        <v>124899.1516129032</v>
      </c>
      <c r="F142" s="289">
        <f>'E) Fact soc'!G147</f>
        <v>2154231.4710798454</v>
      </c>
      <c r="G142" s="289">
        <f>'H) Péréquation directe'!I152</f>
        <v>1725865</v>
      </c>
      <c r="H142" s="289">
        <f>'I) Dépenses thématiques'!O141</f>
        <v>-327191</v>
      </c>
      <c r="I142" s="289">
        <f>'K) Plafonnement aide'!J141</f>
        <v>0</v>
      </c>
      <c r="J142" s="289">
        <f>'J) Plafonnement effort'!I141</f>
        <v>0</v>
      </c>
      <c r="K142" s="289">
        <f>'L) Plafonnement taux'!Q142</f>
        <v>0</v>
      </c>
      <c r="L142" s="401">
        <f t="shared" si="4"/>
        <v>3552905.4710798454</v>
      </c>
      <c r="M142" s="401">
        <f>'M) Police'!O142</f>
        <v>375152.82003589917</v>
      </c>
      <c r="N142" s="401">
        <f t="shared" si="5"/>
        <v>3928058.2911157445</v>
      </c>
    </row>
    <row r="143" spans="1:14" s="279" customFormat="1" x14ac:dyDescent="0.25">
      <c r="A143" s="275">
        <f>'B) D RI'!A144</f>
        <v>5634</v>
      </c>
      <c r="B143" s="276" t="str">
        <f>'B) D RI'!B144</f>
        <v>Echichens</v>
      </c>
      <c r="C143" s="277">
        <f>'B) D RI'!S144</f>
        <v>68</v>
      </c>
      <c r="D143" s="278">
        <f>'B) D RI'!AR144</f>
        <v>2570</v>
      </c>
      <c r="E143" s="285">
        <f>'D) Ecrêtage'!N142</f>
        <v>128757.51117647058</v>
      </c>
      <c r="F143" s="289">
        <f>'E) Fact soc'!G148</f>
        <v>2197495.3824711409</v>
      </c>
      <c r="G143" s="289">
        <f>'H) Péréquation directe'!I153</f>
        <v>1739710</v>
      </c>
      <c r="H143" s="289">
        <f>'I) Dépenses thématiques'!O142</f>
        <v>0</v>
      </c>
      <c r="I143" s="289">
        <f>'K) Plafonnement aide'!J142</f>
        <v>0</v>
      </c>
      <c r="J143" s="289">
        <f>'J) Plafonnement effort'!I142</f>
        <v>0</v>
      </c>
      <c r="K143" s="289">
        <f>'L) Plafonnement taux'!Q143</f>
        <v>0</v>
      </c>
      <c r="L143" s="401">
        <f t="shared" si="4"/>
        <v>3937205.3824711409</v>
      </c>
      <c r="M143" s="401">
        <f>'M) Police'!O143</f>
        <v>394532.25257753424</v>
      </c>
      <c r="N143" s="401">
        <f t="shared" si="5"/>
        <v>4331737.6350486754</v>
      </c>
    </row>
    <row r="144" spans="1:14" s="279" customFormat="1" x14ac:dyDescent="0.25">
      <c r="A144" s="275">
        <f>'B) D RI'!A145</f>
        <v>5635</v>
      </c>
      <c r="B144" s="276" t="str">
        <f>'B) D RI'!B145</f>
        <v>Ecublens</v>
      </c>
      <c r="C144" s="277">
        <f>'B) D RI'!S145</f>
        <v>62</v>
      </c>
      <c r="D144" s="278">
        <f>'B) D RI'!AR145</f>
        <v>12181</v>
      </c>
      <c r="E144" s="285">
        <f>'D) Ecrêtage'!N143</f>
        <v>456934.05313242786</v>
      </c>
      <c r="F144" s="289">
        <f>'E) Fact soc'!G149</f>
        <v>8297262.666859366</v>
      </c>
      <c r="G144" s="289">
        <f>'H) Péréquation directe'!I154</f>
        <v>366351.79833614454</v>
      </c>
      <c r="H144" s="289">
        <f>'I) Dépenses thématiques'!O143</f>
        <v>-2331429</v>
      </c>
      <c r="I144" s="289">
        <f>'K) Plafonnement aide'!J143</f>
        <v>0</v>
      </c>
      <c r="J144" s="289">
        <f>'J) Plafonnement effort'!I143</f>
        <v>0</v>
      </c>
      <c r="K144" s="289">
        <f>'L) Plafonnement taux'!Q144</f>
        <v>0</v>
      </c>
      <c r="L144" s="401">
        <f t="shared" si="4"/>
        <v>6332185.4651955105</v>
      </c>
      <c r="M144" s="401">
        <f>'M) Police'!O144</f>
        <v>616801.39707977709</v>
      </c>
      <c r="N144" s="401">
        <f t="shared" si="5"/>
        <v>6948986.8622752875</v>
      </c>
    </row>
    <row r="145" spans="1:14" s="279" customFormat="1" x14ac:dyDescent="0.25">
      <c r="A145" s="275">
        <f>'B) D RI'!A146</f>
        <v>5636</v>
      </c>
      <c r="B145" s="276" t="str">
        <f>'B) D RI'!B146</f>
        <v>Etoy</v>
      </c>
      <c r="C145" s="277">
        <f>'B) D RI'!S146</f>
        <v>61</v>
      </c>
      <c r="D145" s="278">
        <f>'B) D RI'!AR146</f>
        <v>2890</v>
      </c>
      <c r="E145" s="285">
        <f>'D) Ecrêtage'!N144</f>
        <v>141771.26016393444</v>
      </c>
      <c r="F145" s="289">
        <f>'E) Fact soc'!G150</f>
        <v>2710259.2984025041</v>
      </c>
      <c r="G145" s="289">
        <f>'H) Péréquation directe'!I155</f>
        <v>1869192</v>
      </c>
      <c r="H145" s="289">
        <f>'I) Dépenses thématiques'!O144</f>
        <v>-255329</v>
      </c>
      <c r="I145" s="289">
        <f>'K) Plafonnement aide'!J144</f>
        <v>0</v>
      </c>
      <c r="J145" s="289">
        <f>'J) Plafonnement effort'!I144</f>
        <v>0</v>
      </c>
      <c r="K145" s="289">
        <f>'L) Plafonnement taux'!Q145</f>
        <v>0</v>
      </c>
      <c r="L145" s="401">
        <f t="shared" si="4"/>
        <v>4324122.2984025041</v>
      </c>
      <c r="M145" s="401">
        <f>'M) Police'!O145</f>
        <v>439582.5597635993</v>
      </c>
      <c r="N145" s="401">
        <f t="shared" si="5"/>
        <v>4763704.8581661033</v>
      </c>
    </row>
    <row r="146" spans="1:14" s="279" customFormat="1" x14ac:dyDescent="0.25">
      <c r="A146" s="275">
        <f>'B) D RI'!A147</f>
        <v>5637</v>
      </c>
      <c r="B146" s="276" t="str">
        <f>'B) D RI'!B147</f>
        <v>Lavigny</v>
      </c>
      <c r="C146" s="277">
        <f>'B) D RI'!S147</f>
        <v>74.5</v>
      </c>
      <c r="D146" s="278">
        <f>'B) D RI'!AR147</f>
        <v>930</v>
      </c>
      <c r="E146" s="285">
        <f>'D) Ecrêtage'!N145</f>
        <v>30305.948814317679</v>
      </c>
      <c r="F146" s="289">
        <f>'E) Fact soc'!G151</f>
        <v>585169.32142135198</v>
      </c>
      <c r="G146" s="289">
        <f>'H) Péréquation directe'!I156</f>
        <v>237999.13774963771</v>
      </c>
      <c r="H146" s="289">
        <f>'I) Dépenses thématiques'!O145</f>
        <v>-35868</v>
      </c>
      <c r="I146" s="289">
        <f>'K) Plafonnement aide'!J145</f>
        <v>0</v>
      </c>
      <c r="J146" s="289">
        <f>'J) Plafonnement effort'!I145</f>
        <v>0</v>
      </c>
      <c r="K146" s="289">
        <f>'L) Plafonnement taux'!Q146</f>
        <v>0</v>
      </c>
      <c r="L146" s="401">
        <f t="shared" si="4"/>
        <v>787300.45917098969</v>
      </c>
      <c r="M146" s="401">
        <f>'M) Police'!O146</f>
        <v>97060.331180728506</v>
      </c>
      <c r="N146" s="401">
        <f t="shared" si="5"/>
        <v>884360.7903517182</v>
      </c>
    </row>
    <row r="147" spans="1:14" s="279" customFormat="1" x14ac:dyDescent="0.25">
      <c r="A147" s="275">
        <f>'B) D RI'!A148</f>
        <v>5638</v>
      </c>
      <c r="B147" s="276" t="str">
        <f>'B) D RI'!B148</f>
        <v>Lonay</v>
      </c>
      <c r="C147" s="277">
        <f>'B) D RI'!S148</f>
        <v>55</v>
      </c>
      <c r="D147" s="278">
        <f>'B) D RI'!AR148</f>
        <v>2508</v>
      </c>
      <c r="E147" s="285">
        <f>'D) Ecrêtage'!N146</f>
        <v>131856.2218181818</v>
      </c>
      <c r="F147" s="289">
        <f>'E) Fact soc'!G152</f>
        <v>3157413.2166221738</v>
      </c>
      <c r="G147" s="289">
        <f>'H) Péréquation directe'!I157</f>
        <v>1818910</v>
      </c>
      <c r="H147" s="289">
        <f>'I) Dépenses thématiques'!O146</f>
        <v>-399067</v>
      </c>
      <c r="I147" s="289">
        <f>'K) Plafonnement aide'!J146</f>
        <v>0</v>
      </c>
      <c r="J147" s="289">
        <f>'J) Plafonnement effort'!I146</f>
        <v>0</v>
      </c>
      <c r="K147" s="289">
        <f>'L) Plafonnement taux'!Q147</f>
        <v>0</v>
      </c>
      <c r="L147" s="401">
        <f t="shared" si="4"/>
        <v>4577256.2166221738</v>
      </c>
      <c r="M147" s="401">
        <f>'M) Police'!O147</f>
        <v>393390.19089932228</v>
      </c>
      <c r="N147" s="401">
        <f t="shared" si="5"/>
        <v>4970646.4075214956</v>
      </c>
    </row>
    <row r="148" spans="1:14" s="279" customFormat="1" x14ac:dyDescent="0.25">
      <c r="A148" s="275">
        <f>'B) D RI'!A149</f>
        <v>5639</v>
      </c>
      <c r="B148" s="276" t="str">
        <f>'B) D RI'!B149</f>
        <v>Lully</v>
      </c>
      <c r="C148" s="277">
        <f>'B) D RI'!S149</f>
        <v>61</v>
      </c>
      <c r="D148" s="278">
        <f>'B) D RI'!AR149</f>
        <v>764</v>
      </c>
      <c r="E148" s="285">
        <f>'D) Ecrêtage'!N147</f>
        <v>41983.035245901636</v>
      </c>
      <c r="F148" s="289">
        <f>'E) Fact soc'!G153</f>
        <v>679791.17892190604</v>
      </c>
      <c r="G148" s="289">
        <f>'H) Péréquation directe'!I158</f>
        <v>702633</v>
      </c>
      <c r="H148" s="289">
        <f>'I) Dépenses thématiques'!O147</f>
        <v>0</v>
      </c>
      <c r="I148" s="289">
        <f>'K) Plafonnement aide'!J147</f>
        <v>0</v>
      </c>
      <c r="J148" s="289">
        <f>'J) Plafonnement effort'!I147</f>
        <v>0</v>
      </c>
      <c r="K148" s="289">
        <f>'L) Plafonnement taux'!Q148</f>
        <v>0</v>
      </c>
      <c r="L148" s="401">
        <f t="shared" si="4"/>
        <v>1382424.178921906</v>
      </c>
      <c r="M148" s="401">
        <f>'M) Police'!O148</f>
        <v>122288.34349426831</v>
      </c>
      <c r="N148" s="401">
        <f t="shared" si="5"/>
        <v>1504712.5224161744</v>
      </c>
    </row>
    <row r="149" spans="1:14" s="279" customFormat="1" x14ac:dyDescent="0.25">
      <c r="A149" s="275">
        <f>'B) D RI'!A150</f>
        <v>5640</v>
      </c>
      <c r="B149" s="276" t="str">
        <f>'B) D RI'!B150</f>
        <v>Lussy-sur-Morges</v>
      </c>
      <c r="C149" s="277">
        <f>'B) D RI'!S150</f>
        <v>66</v>
      </c>
      <c r="D149" s="278">
        <f>'B) D RI'!AR150</f>
        <v>653</v>
      </c>
      <c r="E149" s="285">
        <f>'D) Ecrêtage'!N148</f>
        <v>44883.005418618071</v>
      </c>
      <c r="F149" s="289">
        <f>'E) Fact soc'!G154</f>
        <v>1162258.9434163952</v>
      </c>
      <c r="G149" s="289">
        <f>'H) Péréquation directe'!I159</f>
        <v>767544</v>
      </c>
      <c r="H149" s="289">
        <f>'I) Dépenses thématiques'!O148</f>
        <v>0</v>
      </c>
      <c r="I149" s="289">
        <f>'K) Plafonnement aide'!J148</f>
        <v>0</v>
      </c>
      <c r="J149" s="289">
        <f>'J) Plafonnement effort'!I148</f>
        <v>0</v>
      </c>
      <c r="K149" s="289">
        <f>'L) Plafonnement taux'!Q149</f>
        <v>0</v>
      </c>
      <c r="L149" s="401">
        <f t="shared" si="4"/>
        <v>1929802.9434163952</v>
      </c>
      <c r="M149" s="401">
        <f>'M) Police'!O149</f>
        <v>60586.205509440399</v>
      </c>
      <c r="N149" s="401">
        <f t="shared" si="5"/>
        <v>1990389.1489258357</v>
      </c>
    </row>
    <row r="150" spans="1:14" s="279" customFormat="1" x14ac:dyDescent="0.25">
      <c r="A150" s="275">
        <f>'B) D RI'!A151</f>
        <v>5642</v>
      </c>
      <c r="B150" s="276" t="str">
        <f>'B) D RI'!B151</f>
        <v>Morges</v>
      </c>
      <c r="C150" s="277">
        <f>'B) D RI'!S151</f>
        <v>68.5</v>
      </c>
      <c r="D150" s="278">
        <f>'B) D RI'!AR151</f>
        <v>15401</v>
      </c>
      <c r="E150" s="285">
        <f>'D) Ecrêtage'!N149</f>
        <v>722363.52321167884</v>
      </c>
      <c r="F150" s="289">
        <f>'E) Fact soc'!G155</f>
        <v>13398348.240433469</v>
      </c>
      <c r="G150" s="289">
        <f>'H) Péréquation directe'!I160</f>
        <v>3233049</v>
      </c>
      <c r="H150" s="289">
        <f>'I) Dépenses thématiques'!O149</f>
        <v>-1366667</v>
      </c>
      <c r="I150" s="289">
        <f>'K) Plafonnement aide'!J149</f>
        <v>0</v>
      </c>
      <c r="J150" s="289">
        <f>'J) Plafonnement effort'!I149</f>
        <v>0</v>
      </c>
      <c r="K150" s="289">
        <f>'L) Plafonnement taux'!Q150</f>
        <v>0</v>
      </c>
      <c r="L150" s="401">
        <f t="shared" si="4"/>
        <v>15264730.240433469</v>
      </c>
      <c r="M150" s="401">
        <f>'M) Police'!O150</f>
        <v>975096.57523227658</v>
      </c>
      <c r="N150" s="401">
        <f t="shared" si="5"/>
        <v>16239826.815665746</v>
      </c>
    </row>
    <row r="151" spans="1:14" s="279" customFormat="1" x14ac:dyDescent="0.25">
      <c r="A151" s="275">
        <f>'B) D RI'!A152</f>
        <v>5643</v>
      </c>
      <c r="B151" s="276" t="str">
        <f>'B) D RI'!B152</f>
        <v>Préverenges</v>
      </c>
      <c r="C151" s="277">
        <f>'B) D RI'!S152</f>
        <v>64</v>
      </c>
      <c r="D151" s="278">
        <f>'B) D RI'!AR152</f>
        <v>5184</v>
      </c>
      <c r="E151" s="285">
        <f>'D) Ecrêtage'!N150</f>
        <v>265909.61515625002</v>
      </c>
      <c r="F151" s="289">
        <f>'E) Fact soc'!G156</f>
        <v>5138787.5677413931</v>
      </c>
      <c r="G151" s="289">
        <f>'H) Péréquation directe'!I161</f>
        <v>3023790</v>
      </c>
      <c r="H151" s="289">
        <f>'I) Dépenses thématiques'!O150</f>
        <v>0</v>
      </c>
      <c r="I151" s="289">
        <f>'K) Plafonnement aide'!J150</f>
        <v>0</v>
      </c>
      <c r="J151" s="289">
        <f>'J) Plafonnement effort'!I150</f>
        <v>0</v>
      </c>
      <c r="K151" s="289">
        <f>'L) Plafonnement taux'!Q151</f>
        <v>0</v>
      </c>
      <c r="L151" s="401">
        <f t="shared" si="4"/>
        <v>8162577.5677413931</v>
      </c>
      <c r="M151" s="401">
        <f>'M) Police'!O151</f>
        <v>358943.31140556687</v>
      </c>
      <c r="N151" s="401">
        <f t="shared" si="5"/>
        <v>8521520.8791469596</v>
      </c>
    </row>
    <row r="152" spans="1:14" s="279" customFormat="1" x14ac:dyDescent="0.25">
      <c r="A152" s="275">
        <f>'B) D RI'!A153</f>
        <v>5644</v>
      </c>
      <c r="B152" s="276" t="str">
        <f>'B) D RI'!B153</f>
        <v>Reverolle</v>
      </c>
      <c r="C152" s="277">
        <f>'B) D RI'!S153</f>
        <v>78</v>
      </c>
      <c r="D152" s="278">
        <f>'B) D RI'!AR153</f>
        <v>356</v>
      </c>
      <c r="E152" s="285">
        <f>'D) Ecrêtage'!N151</f>
        <v>14878.554871794875</v>
      </c>
      <c r="F152" s="289">
        <f>'E) Fact soc'!G157</f>
        <v>241756.36508658994</v>
      </c>
      <c r="G152" s="289">
        <f>'H) Péréquation directe'!I162</f>
        <v>222720.10111104924</v>
      </c>
      <c r="H152" s="289">
        <f>'I) Dépenses thématiques'!O151</f>
        <v>-78863</v>
      </c>
      <c r="I152" s="289">
        <f>'K) Plafonnement aide'!J151</f>
        <v>0</v>
      </c>
      <c r="J152" s="289">
        <f>'J) Plafonnement effort'!I151</f>
        <v>0</v>
      </c>
      <c r="K152" s="289">
        <f>'L) Plafonnement taux'!Q152</f>
        <v>0</v>
      </c>
      <c r="L152" s="401">
        <f t="shared" si="4"/>
        <v>385613.46619763918</v>
      </c>
      <c r="M152" s="401">
        <f>'M) Police'!O152</f>
        <v>48337.171532074208</v>
      </c>
      <c r="N152" s="401">
        <f t="shared" si="5"/>
        <v>433950.6377297134</v>
      </c>
    </row>
    <row r="153" spans="1:14" s="279" customFormat="1" x14ac:dyDescent="0.25">
      <c r="A153" s="275">
        <f>'B) D RI'!A154</f>
        <v>5645</v>
      </c>
      <c r="B153" s="276" t="str">
        <f>'B) D RI'!B154</f>
        <v>Romanel-sur-Morges</v>
      </c>
      <c r="C153" s="277">
        <f>'B) D RI'!S154</f>
        <v>56</v>
      </c>
      <c r="D153" s="278">
        <f>'B) D RI'!AR154</f>
        <v>435</v>
      </c>
      <c r="E153" s="285">
        <f>'D) Ecrêtage'!N152</f>
        <v>24679.645623864293</v>
      </c>
      <c r="F153" s="289">
        <f>'E) Fact soc'!G158</f>
        <v>476516.80231814808</v>
      </c>
      <c r="G153" s="289">
        <f>'H) Péréquation directe'!I163</f>
        <v>414453</v>
      </c>
      <c r="H153" s="289">
        <f>'I) Dépenses thématiques'!O152</f>
        <v>0</v>
      </c>
      <c r="I153" s="289">
        <f>'K) Plafonnement aide'!J152</f>
        <v>0</v>
      </c>
      <c r="J153" s="289">
        <f>'J) Plafonnement effort'!I152</f>
        <v>0</v>
      </c>
      <c r="K153" s="289">
        <f>'L) Plafonnement taux'!Q153</f>
        <v>0</v>
      </c>
      <c r="L153" s="401">
        <f t="shared" si="4"/>
        <v>890969.80231814808</v>
      </c>
      <c r="M153" s="401">
        <f>'M) Police'!O153</f>
        <v>70674.608902985419</v>
      </c>
      <c r="N153" s="401">
        <f t="shared" si="5"/>
        <v>961644.41122113355</v>
      </c>
    </row>
    <row r="154" spans="1:14" s="279" customFormat="1" x14ac:dyDescent="0.25">
      <c r="A154" s="275">
        <f>'B) D RI'!A155</f>
        <v>5646</v>
      </c>
      <c r="B154" s="276" t="str">
        <f>'B) D RI'!B155</f>
        <v>Saint-Prex</v>
      </c>
      <c r="C154" s="277">
        <f>'B) D RI'!S155</f>
        <v>55</v>
      </c>
      <c r="D154" s="278">
        <f>'B) D RI'!AR155</f>
        <v>5447</v>
      </c>
      <c r="E154" s="285">
        <f>'D) Ecrêtage'!N153</f>
        <v>348606.97222302243</v>
      </c>
      <c r="F154" s="289">
        <f>'E) Fact soc'!G159</f>
        <v>11615950.048668418</v>
      </c>
      <c r="G154" s="289">
        <f>'H) Péréquation directe'!I164</f>
        <v>4400513</v>
      </c>
      <c r="H154" s="289">
        <f>'I) Dépenses thématiques'!O153</f>
        <v>0</v>
      </c>
      <c r="I154" s="289">
        <f>'K) Plafonnement aide'!J153</f>
        <v>0</v>
      </c>
      <c r="J154" s="289">
        <f>'J) Plafonnement effort'!I153</f>
        <v>0</v>
      </c>
      <c r="K154" s="289">
        <f>'L) Plafonnement taux'!Q154</f>
        <v>0</v>
      </c>
      <c r="L154" s="401">
        <f t="shared" si="4"/>
        <v>16016463.048668418</v>
      </c>
      <c r="M154" s="401">
        <f>'M) Police'!O154</f>
        <v>470573.96143901354</v>
      </c>
      <c r="N154" s="401">
        <f t="shared" si="5"/>
        <v>16487037.010107432</v>
      </c>
    </row>
    <row r="155" spans="1:14" s="279" customFormat="1" x14ac:dyDescent="0.25">
      <c r="A155" s="275">
        <f>'B) D RI'!A156</f>
        <v>5648</v>
      </c>
      <c r="B155" s="276" t="str">
        <f>'B) D RI'!B156</f>
        <v>Saint-Sulpice</v>
      </c>
      <c r="C155" s="277">
        <f>'B) D RI'!S156</f>
        <v>55</v>
      </c>
      <c r="D155" s="278">
        <f>'B) D RI'!AR156</f>
        <v>3463</v>
      </c>
      <c r="E155" s="285">
        <f>'D) Ecrêtage'!N154</f>
        <v>249354.37864273257</v>
      </c>
      <c r="F155" s="289">
        <f>'E) Fact soc'!G160</f>
        <v>6785092.8746016175</v>
      </c>
      <c r="G155" s="289">
        <f>'H) Péréquation directe'!I165</f>
        <v>3595493</v>
      </c>
      <c r="H155" s="289">
        <f>'I) Dépenses thématiques'!O154</f>
        <v>-259999</v>
      </c>
      <c r="I155" s="289">
        <f>'K) Plafonnement aide'!J154</f>
        <v>0</v>
      </c>
      <c r="J155" s="289">
        <f>'J) Plafonnement effort'!I154</f>
        <v>0</v>
      </c>
      <c r="K155" s="289">
        <f>'L) Plafonnement taux'!Q155</f>
        <v>0</v>
      </c>
      <c r="L155" s="401">
        <f t="shared" si="4"/>
        <v>10120586.874601617</v>
      </c>
      <c r="M155" s="401">
        <f>'M) Police'!O155</f>
        <v>336595.90056909702</v>
      </c>
      <c r="N155" s="401">
        <f t="shared" si="5"/>
        <v>10457182.775170714</v>
      </c>
    </row>
    <row r="156" spans="1:14" s="279" customFormat="1" x14ac:dyDescent="0.25">
      <c r="A156" s="275">
        <f>'B) D RI'!A157</f>
        <v>5649</v>
      </c>
      <c r="B156" s="276" t="str">
        <f>'B) D RI'!B157</f>
        <v>Tolochenaz</v>
      </c>
      <c r="C156" s="277">
        <f>'B) D RI'!S157</f>
        <v>65</v>
      </c>
      <c r="D156" s="278">
        <f>'B) D RI'!AR157</f>
        <v>1812</v>
      </c>
      <c r="E156" s="285">
        <f>'D) Ecrêtage'!N155</f>
        <v>102066.20805593611</v>
      </c>
      <c r="F156" s="289">
        <f>'E) Fact soc'!G161</f>
        <v>1957826.5896798468</v>
      </c>
      <c r="G156" s="289">
        <f>'H) Péréquation directe'!I166</f>
        <v>1509730</v>
      </c>
      <c r="H156" s="289">
        <f>'I) Dépenses thématiques'!O155</f>
        <v>-264363</v>
      </c>
      <c r="I156" s="289">
        <f>'K) Plafonnement aide'!J155</f>
        <v>0</v>
      </c>
      <c r="J156" s="289">
        <f>'J) Plafonnement effort'!I155</f>
        <v>0</v>
      </c>
      <c r="K156" s="289">
        <f>'L) Plafonnement taux'!Q156</f>
        <v>0</v>
      </c>
      <c r="L156" s="401">
        <f t="shared" si="4"/>
        <v>3203193.5896798465</v>
      </c>
      <c r="M156" s="401">
        <f>'M) Police'!O156</f>
        <v>137776.07357552578</v>
      </c>
      <c r="N156" s="401">
        <f t="shared" si="5"/>
        <v>3340969.6632553721</v>
      </c>
    </row>
    <row r="157" spans="1:14" s="279" customFormat="1" x14ac:dyDescent="0.25">
      <c r="A157" s="275">
        <f>'B) D RI'!A158</f>
        <v>5650</v>
      </c>
      <c r="B157" s="276" t="str">
        <f>'B) D RI'!B158</f>
        <v>Vaux-sur-Morges</v>
      </c>
      <c r="C157" s="277">
        <f>'B) D RI'!S158</f>
        <v>39</v>
      </c>
      <c r="D157" s="278">
        <f>'B) D RI'!AR158</f>
        <v>196</v>
      </c>
      <c r="E157" s="285">
        <f>'D) Ecrêtage'!N156</f>
        <v>63213.556944204865</v>
      </c>
      <c r="F157" s="289">
        <f>'E) Fact soc'!G162</f>
        <v>4673650.5516934358</v>
      </c>
      <c r="G157" s="289">
        <f>'H) Péréquation directe'!I167</f>
        <v>1153384</v>
      </c>
      <c r="H157" s="289">
        <f>'I) Dépenses thématiques'!O156</f>
        <v>0</v>
      </c>
      <c r="I157" s="289">
        <f>'K) Plafonnement aide'!J156</f>
        <v>0</v>
      </c>
      <c r="J157" s="289">
        <f>'J) Plafonnement effort'!I156</f>
        <v>0</v>
      </c>
      <c r="K157" s="289">
        <f>'L) Plafonnement taux'!Q157</f>
        <v>0</v>
      </c>
      <c r="L157" s="401">
        <f t="shared" si="4"/>
        <v>5827034.5516934358</v>
      </c>
      <c r="M157" s="401">
        <f>'M) Police'!O157</f>
        <v>102163.66884720362</v>
      </c>
      <c r="N157" s="401">
        <f t="shared" si="5"/>
        <v>5929198.220540639</v>
      </c>
    </row>
    <row r="158" spans="1:14" s="279" customFormat="1" x14ac:dyDescent="0.25">
      <c r="A158" s="275">
        <f>'B) D RI'!A159</f>
        <v>5651</v>
      </c>
      <c r="B158" s="276" t="str">
        <f>'B) D RI'!B159</f>
        <v>Villars-Sainte-Croix</v>
      </c>
      <c r="C158" s="277">
        <f>'B) D RI'!S159</f>
        <v>59</v>
      </c>
      <c r="D158" s="278">
        <f>'B) D RI'!AR159</f>
        <v>673</v>
      </c>
      <c r="E158" s="285">
        <f>'D) Ecrêtage'!N157</f>
        <v>43785.503891702981</v>
      </c>
      <c r="F158" s="289">
        <f>'E) Fact soc'!G163</f>
        <v>971776.62030360708</v>
      </c>
      <c r="G158" s="289">
        <f>'H) Péréquation directe'!I168</f>
        <v>745179</v>
      </c>
      <c r="H158" s="289">
        <f>'I) Dépenses thématiques'!O157</f>
        <v>-726</v>
      </c>
      <c r="I158" s="289">
        <f>'K) Plafonnement aide'!J157</f>
        <v>0</v>
      </c>
      <c r="J158" s="289">
        <f>'J) Plafonnement effort'!I157</f>
        <v>0</v>
      </c>
      <c r="K158" s="289">
        <f>'L) Plafonnement taux'!Q158</f>
        <v>0</v>
      </c>
      <c r="L158" s="401">
        <f t="shared" si="4"/>
        <v>1716229.6203036071</v>
      </c>
      <c r="M158" s="401">
        <f>'M) Police'!O158</f>
        <v>59104.721539362494</v>
      </c>
      <c r="N158" s="401">
        <f t="shared" si="5"/>
        <v>1775334.3418429696</v>
      </c>
    </row>
    <row r="159" spans="1:14" s="279" customFormat="1" x14ac:dyDescent="0.25">
      <c r="A159" s="275">
        <f>'B) D RI'!A160</f>
        <v>5652</v>
      </c>
      <c r="B159" s="276" t="str">
        <f>'B) D RI'!B160</f>
        <v>Villars-sous-Yens</v>
      </c>
      <c r="C159" s="277">
        <f>'B) D RI'!S160</f>
        <v>76</v>
      </c>
      <c r="D159" s="278">
        <f>'B) D RI'!AR160</f>
        <v>570</v>
      </c>
      <c r="E159" s="285">
        <f>'D) Ecrêtage'!N158</f>
        <v>24426.645087719295</v>
      </c>
      <c r="F159" s="289">
        <f>'E) Fact soc'!G164</f>
        <v>384212.69599646475</v>
      </c>
      <c r="G159" s="289">
        <f>'H) Péréquation directe'!I169</f>
        <v>383135.84861554863</v>
      </c>
      <c r="H159" s="289">
        <f>'I) Dépenses thématiques'!O158</f>
        <v>-95947</v>
      </c>
      <c r="I159" s="289">
        <f>'K) Plafonnement aide'!J158</f>
        <v>0</v>
      </c>
      <c r="J159" s="289">
        <f>'J) Plafonnement effort'!I158</f>
        <v>0</v>
      </c>
      <c r="K159" s="289">
        <f>'L) Plafonnement taux'!Q159</f>
        <v>0</v>
      </c>
      <c r="L159" s="401">
        <f t="shared" si="4"/>
        <v>671401.54461201339</v>
      </c>
      <c r="M159" s="401">
        <f>'M) Police'!O159</f>
        <v>79350.578512925393</v>
      </c>
      <c r="N159" s="401">
        <f t="shared" si="5"/>
        <v>750752.12312493881</v>
      </c>
    </row>
    <row r="160" spans="1:14" s="279" customFormat="1" x14ac:dyDescent="0.25">
      <c r="A160" s="275">
        <f>'B) D RI'!A161</f>
        <v>5653</v>
      </c>
      <c r="B160" s="276" t="str">
        <f>'B) D RI'!B161</f>
        <v>Vufflens-le-Château</v>
      </c>
      <c r="C160" s="277">
        <f>'B) D RI'!S161</f>
        <v>55</v>
      </c>
      <c r="D160" s="278">
        <f>'B) D RI'!AR161</f>
        <v>825</v>
      </c>
      <c r="E160" s="285">
        <f>'D) Ecrêtage'!N159</f>
        <v>51090.812390571104</v>
      </c>
      <c r="F160" s="289">
        <f>'E) Fact soc'!G165</f>
        <v>1033825.2847833987</v>
      </c>
      <c r="G160" s="289">
        <f>'H) Péréquation directe'!I170</f>
        <v>865536</v>
      </c>
      <c r="H160" s="289">
        <f>'I) Dépenses thématiques'!O159</f>
        <v>0</v>
      </c>
      <c r="I160" s="289">
        <f>'K) Plafonnement aide'!J159</f>
        <v>0</v>
      </c>
      <c r="J160" s="289">
        <f>'J) Plafonnement effort'!I159</f>
        <v>0</v>
      </c>
      <c r="K160" s="289">
        <f>'L) Plafonnement taux'!Q160</f>
        <v>0</v>
      </c>
      <c r="L160" s="401">
        <f t="shared" si="4"/>
        <v>1899361.2847833987</v>
      </c>
      <c r="M160" s="401">
        <f>'M) Police'!O160</f>
        <v>139821.68645457714</v>
      </c>
      <c r="N160" s="401">
        <f t="shared" si="5"/>
        <v>2039182.9712379759</v>
      </c>
    </row>
    <row r="161" spans="1:14" s="279" customFormat="1" x14ac:dyDescent="0.25">
      <c r="A161" s="275">
        <f>'B) D RI'!A162</f>
        <v>5654</v>
      </c>
      <c r="B161" s="276" t="str">
        <f>'B) D RI'!B162</f>
        <v>Vullierens</v>
      </c>
      <c r="C161" s="277">
        <f>'B) D RI'!S162</f>
        <v>76</v>
      </c>
      <c r="D161" s="278">
        <f>'B) D RI'!AR162</f>
        <v>457</v>
      </c>
      <c r="E161" s="285">
        <f>'D) Ecrêtage'!N160</f>
        <v>15860.891578947369</v>
      </c>
      <c r="F161" s="289">
        <f>'E) Fact soc'!G166</f>
        <v>302166.07159584376</v>
      </c>
      <c r="G161" s="289">
        <f>'H) Péréquation directe'!I171</f>
        <v>152554.36385738919</v>
      </c>
      <c r="H161" s="289">
        <f>'I) Dépenses thématiques'!O160</f>
        <v>-42371</v>
      </c>
      <c r="I161" s="289">
        <f>'K) Plafonnement aide'!J160</f>
        <v>0</v>
      </c>
      <c r="J161" s="289">
        <f>'J) Plafonnement effort'!I160</f>
        <v>0</v>
      </c>
      <c r="K161" s="289">
        <f>'L) Plafonnement taux'!Q161</f>
        <v>0</v>
      </c>
      <c r="L161" s="401">
        <f t="shared" si="4"/>
        <v>412349.43545323296</v>
      </c>
      <c r="M161" s="401">
        <f>'M) Police'!O161</f>
        <v>51020.338597602284</v>
      </c>
      <c r="N161" s="401">
        <f t="shared" si="5"/>
        <v>463369.77405083523</v>
      </c>
    </row>
    <row r="162" spans="1:14" s="279" customFormat="1" x14ac:dyDescent="0.25">
      <c r="A162" s="275">
        <f>'B) D RI'!A163</f>
        <v>5655</v>
      </c>
      <c r="B162" s="276" t="str">
        <f>'B) D RI'!B163</f>
        <v>Yens</v>
      </c>
      <c r="C162" s="277">
        <f>'B) D RI'!S163</f>
        <v>73</v>
      </c>
      <c r="D162" s="278">
        <f>'B) D RI'!AR163</f>
        <v>1327</v>
      </c>
      <c r="E162" s="285">
        <f>'D) Ecrêtage'!N161</f>
        <v>73269.563430074471</v>
      </c>
      <c r="F162" s="289">
        <f>'E) Fact soc'!G167</f>
        <v>1288765.6080385435</v>
      </c>
      <c r="G162" s="289">
        <f>'H) Péréquation directe'!I172</f>
        <v>1145132</v>
      </c>
      <c r="H162" s="289">
        <f>'I) Dépenses thématiques'!O161</f>
        <v>0</v>
      </c>
      <c r="I162" s="289">
        <f>'K) Plafonnement aide'!J161</f>
        <v>0</v>
      </c>
      <c r="J162" s="289">
        <f>'J) Plafonnement effort'!I161</f>
        <v>0</v>
      </c>
      <c r="K162" s="289">
        <f>'L) Plafonnement taux'!Q162</f>
        <v>0</v>
      </c>
      <c r="L162" s="401">
        <f t="shared" si="4"/>
        <v>2433897.6080385437</v>
      </c>
      <c r="M162" s="401">
        <f>'M) Police'!O162</f>
        <v>212874.75956382093</v>
      </c>
      <c r="N162" s="401">
        <f t="shared" si="5"/>
        <v>2646772.3676023646</v>
      </c>
    </row>
    <row r="163" spans="1:14" s="279" customFormat="1" x14ac:dyDescent="0.25">
      <c r="A163" s="275">
        <f>'B) D RI'!A164</f>
        <v>5661</v>
      </c>
      <c r="B163" s="276" t="str">
        <f>'B) D RI'!B164</f>
        <v>Boulens</v>
      </c>
      <c r="C163" s="277">
        <f>'B) D RI'!S164</f>
        <v>79</v>
      </c>
      <c r="D163" s="278">
        <f>'B) D RI'!AR164</f>
        <v>313</v>
      </c>
      <c r="E163" s="285">
        <f>'D) Ecrêtage'!N162</f>
        <v>6901.8381012658238</v>
      </c>
      <c r="F163" s="289">
        <f>'E) Fact soc'!G168</f>
        <v>124771.26659064373</v>
      </c>
      <c r="G163" s="289">
        <f>'H) Péréquation directe'!I173</f>
        <v>-72650.153014673531</v>
      </c>
      <c r="H163" s="289">
        <f>'I) Dépenses thématiques'!O162</f>
        <v>-25988</v>
      </c>
      <c r="I163" s="289">
        <f>'K) Plafonnement aide'!J162</f>
        <v>0</v>
      </c>
      <c r="J163" s="289">
        <f>'J) Plafonnement effort'!I162</f>
        <v>0</v>
      </c>
      <c r="K163" s="289">
        <f>'L) Plafonnement taux'!Q163</f>
        <v>0</v>
      </c>
      <c r="L163" s="401">
        <f t="shared" si="4"/>
        <v>26133.113575970201</v>
      </c>
      <c r="M163" s="401">
        <f>'M) Police'!O163</f>
        <v>22118.731201546299</v>
      </c>
      <c r="N163" s="401">
        <f t="shared" si="5"/>
        <v>48251.844777516497</v>
      </c>
    </row>
    <row r="164" spans="1:14" s="279" customFormat="1" x14ac:dyDescent="0.25">
      <c r="A164" s="275">
        <f>'B) D RI'!A165</f>
        <v>5662</v>
      </c>
      <c r="B164" s="276" t="str">
        <f>'B) D RI'!B165</f>
        <v>Brenles</v>
      </c>
      <c r="C164" s="277">
        <f>'B) D RI'!S165</f>
        <v>78</v>
      </c>
      <c r="D164" s="278">
        <f>'B) D RI'!AR165</f>
        <v>144</v>
      </c>
      <c r="E164" s="285">
        <f>'D) Ecrêtage'!N163</f>
        <v>4031.2468945868945</v>
      </c>
      <c r="F164" s="289">
        <f>'E) Fact soc'!G169</f>
        <v>81859.207317510329</v>
      </c>
      <c r="G164" s="289">
        <f>'H) Péréquation directe'!I174</f>
        <v>5132.956276938261</v>
      </c>
      <c r="H164" s="289">
        <f>'I) Dépenses thématiques'!O163</f>
        <v>-11962</v>
      </c>
      <c r="I164" s="289">
        <f>'K) Plafonnement aide'!J163</f>
        <v>0</v>
      </c>
      <c r="J164" s="289">
        <f>'J) Plafonnement effort'!I163</f>
        <v>0</v>
      </c>
      <c r="K164" s="289">
        <f>'L) Plafonnement taux'!Q164</f>
        <v>0</v>
      </c>
      <c r="L164" s="401">
        <f t="shared" si="4"/>
        <v>75030.16359444859</v>
      </c>
      <c r="M164" s="401">
        <f>'M) Police'!O164</f>
        <v>13039.144384031151</v>
      </c>
      <c r="N164" s="401">
        <f t="shared" si="5"/>
        <v>88069.307978479745</v>
      </c>
    </row>
    <row r="165" spans="1:14" s="279" customFormat="1" x14ac:dyDescent="0.25">
      <c r="A165" s="275">
        <f>'B) D RI'!A166</f>
        <v>5663</v>
      </c>
      <c r="B165" s="276" t="str">
        <f>'B) D RI'!B166</f>
        <v>Bussy-sur-Moudon</v>
      </c>
      <c r="C165" s="277">
        <f>'B) D RI'!S166</f>
        <v>80</v>
      </c>
      <c r="D165" s="278">
        <f>'B) D RI'!AR166</f>
        <v>197</v>
      </c>
      <c r="E165" s="285">
        <f>'D) Ecrêtage'!N164</f>
        <v>5172.1214999999993</v>
      </c>
      <c r="F165" s="289">
        <f>'E) Fact soc'!G170</f>
        <v>84896.23370060591</v>
      </c>
      <c r="G165" s="289">
        <f>'H) Péréquation directe'!I175</f>
        <v>-11994.223657668073</v>
      </c>
      <c r="H165" s="289">
        <f>'I) Dépenses thématiques'!O164</f>
        <v>-33765</v>
      </c>
      <c r="I165" s="289">
        <f>'K) Plafonnement aide'!J164</f>
        <v>0</v>
      </c>
      <c r="J165" s="289">
        <f>'J) Plafonnement effort'!I164</f>
        <v>0</v>
      </c>
      <c r="K165" s="289">
        <f>'L) Plafonnement taux'!Q165</f>
        <v>0</v>
      </c>
      <c r="L165" s="401">
        <f t="shared" si="4"/>
        <v>39137.010042937836</v>
      </c>
      <c r="M165" s="401">
        <f>'M) Police'!O165</f>
        <v>16649.412688471919</v>
      </c>
      <c r="N165" s="401">
        <f t="shared" si="5"/>
        <v>55786.422731409752</v>
      </c>
    </row>
    <row r="166" spans="1:14" s="279" customFormat="1" x14ac:dyDescent="0.25">
      <c r="A166" s="275">
        <f>'B) D RI'!A167</f>
        <v>5665</v>
      </c>
      <c r="B166" s="276" t="str">
        <f>'B) D RI'!B167</f>
        <v>Chavannes-sur-Moudon</v>
      </c>
      <c r="C166" s="277">
        <f>'B) D RI'!S167</f>
        <v>72</v>
      </c>
      <c r="D166" s="278">
        <f>'B) D RI'!AR167</f>
        <v>233</v>
      </c>
      <c r="E166" s="285">
        <f>'D) Ecrêtage'!N165</f>
        <v>3708.5273611111106</v>
      </c>
      <c r="F166" s="289">
        <f>'E) Fact soc'!G171</f>
        <v>56808.581108186147</v>
      </c>
      <c r="G166" s="289">
        <f>'H) Péréquation directe'!I176</f>
        <v>-88713.252506763005</v>
      </c>
      <c r="H166" s="289">
        <f>'I) Dépenses thématiques'!O165</f>
        <v>-6661</v>
      </c>
      <c r="I166" s="289">
        <f>'K) Plafonnement aide'!J165</f>
        <v>11507.770912465745</v>
      </c>
      <c r="J166" s="289">
        <f>'J) Plafonnement effort'!I165</f>
        <v>0</v>
      </c>
      <c r="K166" s="289">
        <f>'L) Plafonnement taux'!Q166</f>
        <v>0</v>
      </c>
      <c r="L166" s="401">
        <f t="shared" si="4"/>
        <v>-27057.900486111113</v>
      </c>
      <c r="M166" s="401">
        <f>'M) Police'!O166</f>
        <v>11806.435923053368</v>
      </c>
      <c r="N166" s="401">
        <f t="shared" si="5"/>
        <v>-15251.464563057745</v>
      </c>
    </row>
    <row r="167" spans="1:14" s="279" customFormat="1" x14ac:dyDescent="0.25">
      <c r="A167" s="275">
        <f>'B) D RI'!A168</f>
        <v>5666</v>
      </c>
      <c r="B167" s="276" t="str">
        <f>'B) D RI'!B168</f>
        <v>Chesalles-sur-Moudon</v>
      </c>
      <c r="C167" s="277">
        <f>'B) D RI'!S168</f>
        <v>75</v>
      </c>
      <c r="D167" s="278">
        <f>'B) D RI'!AR168</f>
        <v>160</v>
      </c>
      <c r="E167" s="285">
        <f>'D) Ecrêtage'!N166</f>
        <v>3731.231866666667</v>
      </c>
      <c r="F167" s="289">
        <f>'E) Fact soc'!G172</f>
        <v>60403.107553375448</v>
      </c>
      <c r="G167" s="289">
        <f>'H) Péréquation directe'!I177</f>
        <v>-20275.698293815658</v>
      </c>
      <c r="H167" s="289">
        <f>'I) Dépenses thématiques'!O166</f>
        <v>0</v>
      </c>
      <c r="I167" s="289">
        <f>'K) Plafonnement aide'!J166</f>
        <v>0</v>
      </c>
      <c r="J167" s="289">
        <f>'J) Plafonnement effort'!I166</f>
        <v>0</v>
      </c>
      <c r="K167" s="289">
        <f>'L) Plafonnement taux'!Q167</f>
        <v>0</v>
      </c>
      <c r="L167" s="401">
        <f t="shared" si="4"/>
        <v>40127.40925955979</v>
      </c>
      <c r="M167" s="401">
        <f>'M) Police'!O167</f>
        <v>11936.402678693783</v>
      </c>
      <c r="N167" s="401">
        <f t="shared" si="5"/>
        <v>52063.811938253573</v>
      </c>
    </row>
    <row r="168" spans="1:14" s="279" customFormat="1" x14ac:dyDescent="0.25">
      <c r="A168" s="275">
        <f>'B) D RI'!A169</f>
        <v>5668</v>
      </c>
      <c r="B168" s="276" t="str">
        <f>'B) D RI'!B169</f>
        <v>Cremin</v>
      </c>
      <c r="C168" s="277">
        <f>'B) D RI'!S169</f>
        <v>77</v>
      </c>
      <c r="D168" s="278">
        <f>'B) D RI'!AR169</f>
        <v>51</v>
      </c>
      <c r="E168" s="285">
        <f>'D) Ecrêtage'!N167</f>
        <v>1020.8936363636363</v>
      </c>
      <c r="F168" s="289">
        <f>'E) Fact soc'!G173</f>
        <v>15094.601742074405</v>
      </c>
      <c r="G168" s="289">
        <f>'H) Péréquation directe'!I178</f>
        <v>-14826.346572195034</v>
      </c>
      <c r="H168" s="289">
        <f>'I) Dépenses thématiques'!O167</f>
        <v>0</v>
      </c>
      <c r="I168" s="289">
        <f>'K) Plafonnement aide'!J167</f>
        <v>0</v>
      </c>
      <c r="J168" s="289">
        <f>'J) Plafonnement effort'!I167</f>
        <v>0</v>
      </c>
      <c r="K168" s="289">
        <f>'L) Plafonnement taux'!Q168</f>
        <v>0</v>
      </c>
      <c r="L168" s="401">
        <f t="shared" si="4"/>
        <v>268.25516987937044</v>
      </c>
      <c r="M168" s="401">
        <f>'M) Police'!O168</f>
        <v>3270.4696695373564</v>
      </c>
      <c r="N168" s="401">
        <f t="shared" si="5"/>
        <v>3538.7248394167268</v>
      </c>
    </row>
    <row r="169" spans="1:14" s="279" customFormat="1" x14ac:dyDescent="0.25">
      <c r="A169" s="275">
        <f>'B) D RI'!A170</f>
        <v>5669</v>
      </c>
      <c r="B169" s="276" t="str">
        <f>'B) D RI'!B170</f>
        <v>Curtilles</v>
      </c>
      <c r="C169" s="277">
        <f>'B) D RI'!S170</f>
        <v>72</v>
      </c>
      <c r="D169" s="278">
        <f>'B) D RI'!AR170</f>
        <v>306</v>
      </c>
      <c r="E169" s="285">
        <f>'D) Ecrêtage'!N168</f>
        <v>8099.7640277777791</v>
      </c>
      <c r="F169" s="289">
        <f>'E) Fact soc'!G174</f>
        <v>152684.70527841442</v>
      </c>
      <c r="G169" s="289">
        <f>'H) Péréquation directe'!I179</f>
        <v>10001.613965220051</v>
      </c>
      <c r="H169" s="289">
        <f>'I) Dépenses thématiques'!O168</f>
        <v>-68689</v>
      </c>
      <c r="I169" s="289">
        <f>'K) Plafonnement aide'!J168</f>
        <v>0</v>
      </c>
      <c r="J169" s="289">
        <f>'J) Plafonnement effort'!I168</f>
        <v>0</v>
      </c>
      <c r="K169" s="289">
        <f>'L) Plafonnement taux'!Q169</f>
        <v>0</v>
      </c>
      <c r="L169" s="401">
        <f t="shared" si="4"/>
        <v>93997.319243634469</v>
      </c>
      <c r="M169" s="401">
        <f>'M) Police'!O169</f>
        <v>25985.41456425099</v>
      </c>
      <c r="N169" s="401">
        <f t="shared" si="5"/>
        <v>119982.73380788547</v>
      </c>
    </row>
    <row r="170" spans="1:14" s="279" customFormat="1" x14ac:dyDescent="0.25">
      <c r="A170" s="275">
        <f>'B) D RI'!A171</f>
        <v>5671</v>
      </c>
      <c r="B170" s="276" t="str">
        <f>'B) D RI'!B171</f>
        <v>Dompierre</v>
      </c>
      <c r="C170" s="277">
        <f>'B) D RI'!S171</f>
        <v>80</v>
      </c>
      <c r="D170" s="278">
        <f>'B) D RI'!AR171</f>
        <v>247</v>
      </c>
      <c r="E170" s="285">
        <f>'D) Ecrêtage'!N169</f>
        <v>5882.5981250000004</v>
      </c>
      <c r="F170" s="289">
        <f>'E) Fact soc'!G175</f>
        <v>90097.685329700893</v>
      </c>
      <c r="G170" s="289">
        <f>'H) Péréquation directe'!I180</f>
        <v>-41543.657709964144</v>
      </c>
      <c r="H170" s="289">
        <f>'I) Dépenses thématiques'!O169</f>
        <v>-77041</v>
      </c>
      <c r="I170" s="289">
        <f>'K) Plafonnement aide'!J169</f>
        <v>0</v>
      </c>
      <c r="J170" s="289">
        <f>'J) Plafonnement effort'!I169</f>
        <v>0</v>
      </c>
      <c r="K170" s="289">
        <f>'L) Plafonnement taux'!Q170</f>
        <v>0</v>
      </c>
      <c r="L170" s="401">
        <f t="shared" si="4"/>
        <v>-28486.972380263251</v>
      </c>
      <c r="M170" s="401">
        <f>'M) Police'!O170</f>
        <v>18882.919250921481</v>
      </c>
      <c r="N170" s="401">
        <f t="shared" si="5"/>
        <v>-9604.0531293417698</v>
      </c>
    </row>
    <row r="171" spans="1:14" s="279" customFormat="1" x14ac:dyDescent="0.25">
      <c r="A171" s="275">
        <f>'B) D RI'!A172</f>
        <v>5672</v>
      </c>
      <c r="B171" s="276" t="str">
        <f>'B) D RI'!B172</f>
        <v>Forel-sur-Lucens</v>
      </c>
      <c r="C171" s="277">
        <f>'B) D RI'!S172</f>
        <v>75</v>
      </c>
      <c r="D171" s="278">
        <f>'B) D RI'!AR172</f>
        <v>153</v>
      </c>
      <c r="E171" s="285">
        <f>'D) Ecrêtage'!N170</f>
        <v>3859.3261000000002</v>
      </c>
      <c r="F171" s="289">
        <f>'E) Fact soc'!G176</f>
        <v>71320.692285076933</v>
      </c>
      <c r="G171" s="289">
        <f>'H) Péréquation directe'!I181</f>
        <v>-7464.4467986886011</v>
      </c>
      <c r="H171" s="289">
        <f>'I) Dépenses thématiques'!O170</f>
        <v>0</v>
      </c>
      <c r="I171" s="289">
        <f>'K) Plafonnement aide'!J170</f>
        <v>0</v>
      </c>
      <c r="J171" s="289">
        <f>'J) Plafonnement effort'!I170</f>
        <v>0</v>
      </c>
      <c r="K171" s="289">
        <f>'L) Plafonnement taux'!Q171</f>
        <v>0</v>
      </c>
      <c r="L171" s="401">
        <f t="shared" ref="L171:L226" si="6">F171+G171+H171+I171+J171+K171</f>
        <v>63856.245486388332</v>
      </c>
      <c r="M171" s="401">
        <f>'M) Police'!O171</f>
        <v>12517.794259550043</v>
      </c>
      <c r="N171" s="401">
        <f t="shared" si="5"/>
        <v>76374.039745938382</v>
      </c>
    </row>
    <row r="172" spans="1:14" s="279" customFormat="1" x14ac:dyDescent="0.25">
      <c r="A172" s="275">
        <f>'B) D RI'!A173</f>
        <v>5673</v>
      </c>
      <c r="B172" s="276" t="str">
        <f>'B) D RI'!B173</f>
        <v>Hermenches</v>
      </c>
      <c r="C172" s="277">
        <f>'B) D RI'!S173</f>
        <v>71</v>
      </c>
      <c r="D172" s="278">
        <f>'B) D RI'!AR173</f>
        <v>376</v>
      </c>
      <c r="E172" s="285">
        <f>'D) Ecrêtage'!N171</f>
        <v>9584.1538967136148</v>
      </c>
      <c r="F172" s="289">
        <f>'E) Fact soc'!G177</f>
        <v>201887.29678128409</v>
      </c>
      <c r="G172" s="289">
        <f>'H) Péréquation directe'!I182</f>
        <v>1782.3332683561312</v>
      </c>
      <c r="H172" s="289">
        <f>'I) Dépenses thématiques'!O171</f>
        <v>-30019</v>
      </c>
      <c r="I172" s="289">
        <f>'K) Plafonnement aide'!J171</f>
        <v>0</v>
      </c>
      <c r="J172" s="289">
        <f>'J) Plafonnement effort'!I171</f>
        <v>0</v>
      </c>
      <c r="K172" s="289">
        <f>'L) Plafonnement taux'!Q172</f>
        <v>0</v>
      </c>
      <c r="L172" s="401">
        <f t="shared" si="6"/>
        <v>173650.63004964023</v>
      </c>
      <c r="M172" s="401">
        <f>'M) Police'!O172</f>
        <v>30892.154243575787</v>
      </c>
      <c r="N172" s="401">
        <f t="shared" si="5"/>
        <v>204542.78429321601</v>
      </c>
    </row>
    <row r="173" spans="1:14" s="279" customFormat="1" x14ac:dyDescent="0.25">
      <c r="A173" s="275">
        <f>'B) D RI'!A174</f>
        <v>5674</v>
      </c>
      <c r="B173" s="276" t="str">
        <f>'B) D RI'!B174</f>
        <v>Lovatens</v>
      </c>
      <c r="C173" s="277">
        <f>'B) D RI'!S174</f>
        <v>71</v>
      </c>
      <c r="D173" s="278">
        <f>'B) D RI'!AR174</f>
        <v>140</v>
      </c>
      <c r="E173" s="285">
        <f>'D) Ecrêtage'!N172</f>
        <v>5762.0609054325942</v>
      </c>
      <c r="F173" s="289">
        <f>'E) Fact soc'!G178</f>
        <v>87181.636149180209</v>
      </c>
      <c r="G173" s="289">
        <f>'H) Péréquation directe'!I183</f>
        <v>85345.860170800879</v>
      </c>
      <c r="H173" s="289">
        <f>'I) Dépenses thématiques'!O172</f>
        <v>0</v>
      </c>
      <c r="I173" s="289">
        <f>'K) Plafonnement aide'!J172</f>
        <v>0</v>
      </c>
      <c r="J173" s="289">
        <f>'J) Plafonnement effort'!I172</f>
        <v>0</v>
      </c>
      <c r="K173" s="289">
        <f>'L) Plafonnement taux'!Q173</f>
        <v>0</v>
      </c>
      <c r="L173" s="401">
        <f t="shared" si="6"/>
        <v>172527.49631998109</v>
      </c>
      <c r="M173" s="401">
        <f>'M) Police'!O173</f>
        <v>18828.949561588557</v>
      </c>
      <c r="N173" s="401">
        <f t="shared" si="5"/>
        <v>191356.44588156964</v>
      </c>
    </row>
    <row r="174" spans="1:14" s="279" customFormat="1" x14ac:dyDescent="0.25">
      <c r="A174" s="275">
        <f>'B) D RI'!A175</f>
        <v>5675</v>
      </c>
      <c r="B174" s="276" t="str">
        <f>'B) D RI'!B175</f>
        <v>Lucens</v>
      </c>
      <c r="C174" s="277">
        <f>'B) D RI'!S175</f>
        <v>66</v>
      </c>
      <c r="D174" s="278">
        <f>'B) D RI'!AR175</f>
        <v>3262</v>
      </c>
      <c r="E174" s="285">
        <f>'D) Ecrêtage'!N173</f>
        <v>78725.785578512397</v>
      </c>
      <c r="F174" s="289">
        <f>'E) Fact soc'!G179</f>
        <v>1307913.4170523582</v>
      </c>
      <c r="G174" s="289">
        <f>'H) Péréquation directe'!I184</f>
        <v>-584776.40051236353</v>
      </c>
      <c r="H174" s="289">
        <f>'I) Dépenses thématiques'!O173</f>
        <v>-230246</v>
      </c>
      <c r="I174" s="289">
        <f>'K) Plafonnement aide'!J173</f>
        <v>0</v>
      </c>
      <c r="J174" s="289">
        <f>'J) Plafonnement effort'!I173</f>
        <v>0</v>
      </c>
      <c r="K174" s="289">
        <f>'L) Plafonnement taux'!Q174</f>
        <v>0</v>
      </c>
      <c r="L174" s="401">
        <f t="shared" si="6"/>
        <v>492891.01653999463</v>
      </c>
      <c r="M174" s="401">
        <f>'M) Police'!O174</f>
        <v>248798.75936450099</v>
      </c>
      <c r="N174" s="401">
        <f t="shared" si="5"/>
        <v>741689.77590449562</v>
      </c>
    </row>
    <row r="175" spans="1:14" s="279" customFormat="1" x14ac:dyDescent="0.25">
      <c r="A175" s="275">
        <f>'B) D RI'!A176</f>
        <v>5678</v>
      </c>
      <c r="B175" s="276" t="str">
        <f>'B) D RI'!B176</f>
        <v>Moudon</v>
      </c>
      <c r="C175" s="277">
        <f>'B) D RI'!S176</f>
        <v>75</v>
      </c>
      <c r="D175" s="278">
        <f>'B) D RI'!AR176</f>
        <v>5656</v>
      </c>
      <c r="E175" s="285">
        <f>'D) Ecrêtage'!N174</f>
        <v>119060.24706666666</v>
      </c>
      <c r="F175" s="289">
        <f>'E) Fact soc'!G180</f>
        <v>2056328.5698149682</v>
      </c>
      <c r="G175" s="289">
        <f>'H) Péréquation directe'!I185</f>
        <v>-2870214.7572527174</v>
      </c>
      <c r="H175" s="289">
        <f>'I) Dépenses thématiques'!O174</f>
        <v>-1158062</v>
      </c>
      <c r="I175" s="289">
        <f>'K) Plafonnement aide'!J174</f>
        <v>159054.82857108247</v>
      </c>
      <c r="J175" s="289">
        <f>'J) Plafonnement effort'!I174</f>
        <v>0</v>
      </c>
      <c r="K175" s="289">
        <f>'L) Plafonnement taux'!Q175</f>
        <v>0</v>
      </c>
      <c r="L175" s="401">
        <f t="shared" si="6"/>
        <v>-1812893.3588666667</v>
      </c>
      <c r="M175" s="401">
        <f>'M) Police'!O175</f>
        <v>378203.77003922686</v>
      </c>
      <c r="N175" s="401">
        <f t="shared" si="5"/>
        <v>-1434689.5888274398</v>
      </c>
    </row>
    <row r="176" spans="1:14" s="279" customFormat="1" x14ac:dyDescent="0.25">
      <c r="A176" s="275">
        <f>'B) D RI'!A177</f>
        <v>5680</v>
      </c>
      <c r="B176" s="276" t="str">
        <f>'B) D RI'!B177</f>
        <v>Ogens</v>
      </c>
      <c r="C176" s="277">
        <f>'B) D RI'!S177</f>
        <v>78</v>
      </c>
      <c r="D176" s="278">
        <f>'B) D RI'!AR177</f>
        <v>261</v>
      </c>
      <c r="E176" s="285">
        <f>'D) Ecrêtage'!N175</f>
        <v>6568.1873076923084</v>
      </c>
      <c r="F176" s="289">
        <f>'E) Fact soc'!G181</f>
        <v>108011.55931976232</v>
      </c>
      <c r="G176" s="289">
        <f>'H) Péréquation directe'!I186</f>
        <v>-22267.553559641616</v>
      </c>
      <c r="H176" s="289">
        <f>'I) Dépenses thématiques'!O175</f>
        <v>-64821</v>
      </c>
      <c r="I176" s="289">
        <f>'K) Plafonnement aide'!J175</f>
        <v>0</v>
      </c>
      <c r="J176" s="289">
        <f>'J) Plafonnement effort'!I175</f>
        <v>0</v>
      </c>
      <c r="K176" s="289">
        <f>'L) Plafonnement taux'!Q176</f>
        <v>0</v>
      </c>
      <c r="L176" s="401">
        <f t="shared" si="6"/>
        <v>20923.005760120708</v>
      </c>
      <c r="M176" s="401">
        <f>'M) Police'!O176</f>
        <v>21071.468562339949</v>
      </c>
      <c r="N176" s="401">
        <f t="shared" si="5"/>
        <v>41994.474322460657</v>
      </c>
    </row>
    <row r="177" spans="1:14" s="279" customFormat="1" x14ac:dyDescent="0.25">
      <c r="A177" s="275">
        <f>'B) D RI'!A178</f>
        <v>5683</v>
      </c>
      <c r="B177" s="276" t="str">
        <f>'B) D RI'!B178</f>
        <v>Prévonloup</v>
      </c>
      <c r="C177" s="277">
        <f>'B) D RI'!S178</f>
        <v>74</v>
      </c>
      <c r="D177" s="278">
        <f>'B) D RI'!AR178</f>
        <v>173</v>
      </c>
      <c r="E177" s="285">
        <f>'D) Ecrêtage'!N176</f>
        <v>3760.4979729729735</v>
      </c>
      <c r="F177" s="289">
        <f>'E) Fact soc'!G182</f>
        <v>59644.001696192754</v>
      </c>
      <c r="G177" s="289">
        <f>'H) Péréquation directe'!I187</f>
        <v>-30865.689566794303</v>
      </c>
      <c r="H177" s="289">
        <f>'I) Dépenses thématiques'!O176</f>
        <v>-70027</v>
      </c>
      <c r="I177" s="289">
        <f>'K) Plafonnement aide'!J176</f>
        <v>0</v>
      </c>
      <c r="J177" s="289">
        <f>'J) Plafonnement effort'!I176</f>
        <v>0</v>
      </c>
      <c r="K177" s="289">
        <f>'L) Plafonnement taux'!Q177</f>
        <v>0</v>
      </c>
      <c r="L177" s="401">
        <f t="shared" si="6"/>
        <v>-41248.687870601549</v>
      </c>
      <c r="M177" s="401">
        <f>'M) Police'!O177</f>
        <v>12158.784675888168</v>
      </c>
      <c r="N177" s="401">
        <f t="shared" si="5"/>
        <v>-29089.903194713381</v>
      </c>
    </row>
    <row r="178" spans="1:14" s="279" customFormat="1" x14ac:dyDescent="0.25">
      <c r="A178" s="275">
        <f>'B) D RI'!A179</f>
        <v>5684</v>
      </c>
      <c r="B178" s="276" t="str">
        <f>'B) D RI'!B179</f>
        <v>Rossenges</v>
      </c>
      <c r="C178" s="277">
        <f>'B) D RI'!S179</f>
        <v>60</v>
      </c>
      <c r="D178" s="278">
        <f>'B) D RI'!AR179</f>
        <v>63</v>
      </c>
      <c r="E178" s="285">
        <f>'D) Ecrêtage'!N177</f>
        <v>1257.3034166666666</v>
      </c>
      <c r="F178" s="289">
        <f>'E) Fact soc'!G183</f>
        <v>18590.07997261405</v>
      </c>
      <c r="G178" s="289">
        <f>'H) Péréquation directe'!I188</f>
        <v>-4528.6719138602894</v>
      </c>
      <c r="H178" s="289">
        <f>'I) Dépenses thématiques'!O177</f>
        <v>-1540</v>
      </c>
      <c r="I178" s="289">
        <f>'K) Plafonnement aide'!J177</f>
        <v>0</v>
      </c>
      <c r="J178" s="289">
        <f>'J) Plafonnement effort'!I177</f>
        <v>0</v>
      </c>
      <c r="K178" s="289">
        <f>'L) Plafonnement taux'!Q178</f>
        <v>0</v>
      </c>
      <c r="L178" s="401">
        <f t="shared" si="6"/>
        <v>12521.408058753761</v>
      </c>
      <c r="M178" s="401">
        <f>'M) Police'!O178</f>
        <v>3956.2233530831945</v>
      </c>
      <c r="N178" s="401">
        <f t="shared" si="5"/>
        <v>16477.631411836956</v>
      </c>
    </row>
    <row r="179" spans="1:14" s="279" customFormat="1" x14ac:dyDescent="0.25">
      <c r="A179" s="275">
        <f>'B) D RI'!A180</f>
        <v>5686</v>
      </c>
      <c r="B179" s="276" t="str">
        <f>'B) D RI'!B180</f>
        <v>Sarzens</v>
      </c>
      <c r="C179" s="277">
        <f>'B) D RI'!S180</f>
        <v>76</v>
      </c>
      <c r="D179" s="278">
        <f>'B) D RI'!AR180</f>
        <v>87</v>
      </c>
      <c r="E179" s="285">
        <f>'D) Ecrêtage'!N178</f>
        <v>1531.7207894736844</v>
      </c>
      <c r="F179" s="289">
        <f>'E) Fact soc'!G184</f>
        <v>32704.601121835476</v>
      </c>
      <c r="G179" s="289">
        <f>'H) Péréquation directe'!I189</f>
        <v>-32744.132942576944</v>
      </c>
      <c r="H179" s="289">
        <f>'I) Dépenses thématiques'!O178</f>
        <v>0</v>
      </c>
      <c r="I179" s="289">
        <f>'K) Plafonnement aide'!J178</f>
        <v>0</v>
      </c>
      <c r="J179" s="289">
        <f>'J) Plafonnement effort'!I178</f>
        <v>0</v>
      </c>
      <c r="K179" s="289">
        <f>'L) Plafonnement taux'!Q179</f>
        <v>0</v>
      </c>
      <c r="L179" s="401">
        <f t="shared" si="6"/>
        <v>-39.531820741467527</v>
      </c>
      <c r="M179" s="401">
        <f>'M) Police'!O179</f>
        <v>4894.5109929958235</v>
      </c>
      <c r="N179" s="401">
        <f t="shared" si="5"/>
        <v>4854.9791722543559</v>
      </c>
    </row>
    <row r="180" spans="1:14" s="279" customFormat="1" x14ac:dyDescent="0.25">
      <c r="A180" s="275">
        <f>'B) D RI'!A181</f>
        <v>5688</v>
      </c>
      <c r="B180" s="276" t="str">
        <f>'B) D RI'!B181</f>
        <v>Syens</v>
      </c>
      <c r="C180" s="277">
        <f>'B) D RI'!S181</f>
        <v>75.599999999999994</v>
      </c>
      <c r="D180" s="278">
        <f>'B) D RI'!AR181</f>
        <v>126</v>
      </c>
      <c r="E180" s="285">
        <f>'D) Ecrêtage'!N179</f>
        <v>4602.8089947089957</v>
      </c>
      <c r="F180" s="289">
        <f>'E) Fact soc'!G185</f>
        <v>70374.263898333418</v>
      </c>
      <c r="G180" s="289">
        <f>'H) Péréquation directe'!I190</f>
        <v>51826.20812355238</v>
      </c>
      <c r="H180" s="289">
        <f>'I) Dépenses thématiques'!O179</f>
        <v>0</v>
      </c>
      <c r="I180" s="289">
        <f>'K) Plafonnement aide'!J179</f>
        <v>0</v>
      </c>
      <c r="J180" s="289">
        <f>'J) Plafonnement effort'!I179</f>
        <v>0</v>
      </c>
      <c r="K180" s="289">
        <f>'L) Plafonnement taux'!Q180</f>
        <v>0</v>
      </c>
      <c r="L180" s="401">
        <f t="shared" si="6"/>
        <v>122200.4720218858</v>
      </c>
      <c r="M180" s="401">
        <f>'M) Police'!O180</f>
        <v>14912.212138599229</v>
      </c>
      <c r="N180" s="401">
        <f t="shared" si="5"/>
        <v>137112.68416048502</v>
      </c>
    </row>
    <row r="181" spans="1:14" s="279" customFormat="1" x14ac:dyDescent="0.25">
      <c r="A181" s="275">
        <f>'B) D RI'!A182</f>
        <v>5690</v>
      </c>
      <c r="B181" s="276" t="str">
        <f>'B) D RI'!B182</f>
        <v>Villars-le-Comte</v>
      </c>
      <c r="C181" s="277">
        <f>'B) D RI'!S182</f>
        <v>76</v>
      </c>
      <c r="D181" s="278">
        <f>'B) D RI'!AR182</f>
        <v>153</v>
      </c>
      <c r="E181" s="285">
        <f>'D) Ecrêtage'!N180</f>
        <v>3143.0732894736843</v>
      </c>
      <c r="F181" s="289">
        <f>'E) Fact soc'!G186</f>
        <v>46719.710852775781</v>
      </c>
      <c r="G181" s="289">
        <f>'H) Péréquation directe'!I191</f>
        <v>-38921.574161325581</v>
      </c>
      <c r="H181" s="289">
        <f>'I) Dépenses thématiques'!O180</f>
        <v>-652</v>
      </c>
      <c r="I181" s="289">
        <f>'K) Plafonnement aide'!J180</f>
        <v>0</v>
      </c>
      <c r="J181" s="289">
        <f>'J) Plafonnement effort'!I180</f>
        <v>0</v>
      </c>
      <c r="K181" s="289">
        <f>'L) Plafonnement taux'!Q181</f>
        <v>0</v>
      </c>
      <c r="L181" s="401">
        <f t="shared" si="6"/>
        <v>7146.1366914501996</v>
      </c>
      <c r="M181" s="401">
        <f>'M) Police'!O181</f>
        <v>10023.867307628543</v>
      </c>
      <c r="N181" s="401">
        <f t="shared" si="5"/>
        <v>17170.003999078741</v>
      </c>
    </row>
    <row r="182" spans="1:14" s="279" customFormat="1" x14ac:dyDescent="0.25">
      <c r="A182" s="275">
        <f>'B) D RI'!A183</f>
        <v>5692</v>
      </c>
      <c r="B182" s="276" t="str">
        <f>'B) D RI'!B183</f>
        <v>Vucherens</v>
      </c>
      <c r="C182" s="277">
        <f>'B) D RI'!S183</f>
        <v>79</v>
      </c>
      <c r="D182" s="278">
        <f>'B) D RI'!AR183</f>
        <v>532</v>
      </c>
      <c r="E182" s="285">
        <f>'D) Ecrêtage'!N181</f>
        <v>15992.362531645569</v>
      </c>
      <c r="F182" s="289">
        <f>'E) Fact soc'!G187</f>
        <v>261054.80840338537</v>
      </c>
      <c r="G182" s="289">
        <f>'H) Péréquation directe'!I192</f>
        <v>61376.072838531836</v>
      </c>
      <c r="H182" s="289">
        <f>'I) Dépenses thématiques'!O181</f>
        <v>0</v>
      </c>
      <c r="I182" s="289">
        <f>'K) Plafonnement aide'!J181</f>
        <v>0</v>
      </c>
      <c r="J182" s="289">
        <f>'J) Plafonnement effort'!I181</f>
        <v>0</v>
      </c>
      <c r="K182" s="289">
        <f>'L) Plafonnement taux'!Q182</f>
        <v>0</v>
      </c>
      <c r="L182" s="401">
        <f t="shared" si="6"/>
        <v>322430.8812419172</v>
      </c>
      <c r="M182" s="401">
        <f>'M) Police'!O182</f>
        <v>51560.629411235124</v>
      </c>
      <c r="N182" s="401">
        <f t="shared" si="5"/>
        <v>373991.51065315231</v>
      </c>
    </row>
    <row r="183" spans="1:14" s="279" customFormat="1" x14ac:dyDescent="0.25">
      <c r="A183" s="275">
        <f>'B) D RI'!A184</f>
        <v>5693</v>
      </c>
      <c r="B183" s="276" t="str">
        <f>'B) D RI'!B184</f>
        <v>Montanaire</v>
      </c>
      <c r="C183" s="277">
        <f>'B) D RI'!S184</f>
        <v>72</v>
      </c>
      <c r="D183" s="278">
        <f>'B) D RI'!AR184</f>
        <v>2436</v>
      </c>
      <c r="E183" s="285">
        <f>'D) Ecrêtage'!N182</f>
        <v>59073.542638888895</v>
      </c>
      <c r="F183" s="289">
        <f>'E) Fact soc'!G188</f>
        <v>1022772.4505902866</v>
      </c>
      <c r="G183" s="289">
        <f>'H) Péréquation directe'!I193</f>
        <v>-491193.63441397343</v>
      </c>
      <c r="H183" s="289">
        <f>'I) Dépenses thématiques'!O182</f>
        <v>-158839</v>
      </c>
      <c r="I183" s="289">
        <f>'K) Plafonnement aide'!J182</f>
        <v>0</v>
      </c>
      <c r="J183" s="289">
        <f>'J) Plafonnement effort'!I182</f>
        <v>0</v>
      </c>
      <c r="K183" s="289">
        <f>'L) Plafonnement taux'!Q183</f>
        <v>0</v>
      </c>
      <c r="L183" s="401">
        <f>F183+G183+H183+I183+J183+K183</f>
        <v>372739.81617631321</v>
      </c>
      <c r="M183" s="401">
        <f>'M) Police'!O183</f>
        <v>189596.57005182907</v>
      </c>
      <c r="N183" s="401">
        <f t="shared" si="5"/>
        <v>562336.38622814231</v>
      </c>
    </row>
    <row r="184" spans="1:14" s="279" customFormat="1" x14ac:dyDescent="0.25">
      <c r="A184" s="275">
        <f>'B) D RI'!A185</f>
        <v>5701</v>
      </c>
      <c r="B184" s="276" t="str">
        <f>'B) D RI'!B185</f>
        <v>Arnex-sur-Nyon</v>
      </c>
      <c r="C184" s="277">
        <f>'B) D RI'!S185</f>
        <v>63</v>
      </c>
      <c r="D184" s="278">
        <f>'B) D RI'!AR185</f>
        <v>190</v>
      </c>
      <c r="E184" s="285">
        <f>'D) Ecrêtage'!N183</f>
        <v>12877.220634577323</v>
      </c>
      <c r="F184" s="289">
        <f>'E) Fact soc'!G189</f>
        <v>306129.57206880476</v>
      </c>
      <c r="G184" s="289">
        <f>'H) Péréquation directe'!I194</f>
        <v>219948</v>
      </c>
      <c r="H184" s="289">
        <f>'I) Dépenses thématiques'!O183</f>
        <v>0</v>
      </c>
      <c r="I184" s="289">
        <f>'K) Plafonnement aide'!J183</f>
        <v>0</v>
      </c>
      <c r="J184" s="289">
        <f>'J) Plafonnement effort'!I183</f>
        <v>0</v>
      </c>
      <c r="K184" s="289">
        <f>'L) Plafonnement taux'!Q184</f>
        <v>0</v>
      </c>
      <c r="L184" s="401">
        <f>F184+G184+H184+I184+J184+K184</f>
        <v>526077.57206880476</v>
      </c>
      <c r="M184" s="401">
        <f>'M) Police'!O184</f>
        <v>33700.863083245647</v>
      </c>
      <c r="N184" s="401">
        <f t="shared" si="5"/>
        <v>559778.43515205046</v>
      </c>
    </row>
    <row r="185" spans="1:14" s="279" customFormat="1" x14ac:dyDescent="0.25">
      <c r="A185" s="275">
        <f>'B) D RI'!A186</f>
        <v>5702</v>
      </c>
      <c r="B185" s="276" t="str">
        <f>'B) D RI'!B186</f>
        <v>Arzier-Le Muids</v>
      </c>
      <c r="C185" s="277">
        <f>'B) D RI'!S186</f>
        <v>64</v>
      </c>
      <c r="D185" s="278">
        <f>'B) D RI'!AR186</f>
        <v>2442</v>
      </c>
      <c r="E185" s="285">
        <f>'D) Ecrêtage'!N184</f>
        <v>123913.10833333334</v>
      </c>
      <c r="F185" s="289">
        <f>'E) Fact soc'!G190</f>
        <v>2211613.440394647</v>
      </c>
      <c r="G185" s="289">
        <f>'H) Péréquation directe'!I195</f>
        <v>1694618</v>
      </c>
      <c r="H185" s="289">
        <f>'I) Dépenses thématiques'!O184</f>
        <v>-332737</v>
      </c>
      <c r="I185" s="289">
        <f>'K) Plafonnement aide'!J184</f>
        <v>0</v>
      </c>
      <c r="J185" s="289">
        <f>'J) Plafonnement effort'!I184</f>
        <v>0</v>
      </c>
      <c r="K185" s="289">
        <f>'L) Plafonnement taux'!Q185</f>
        <v>0</v>
      </c>
      <c r="L185" s="401">
        <f t="shared" si="6"/>
        <v>3573494.440394647</v>
      </c>
      <c r="M185" s="401">
        <f>'M) Police'!O185</f>
        <v>376999.56323863519</v>
      </c>
      <c r="N185" s="401">
        <f t="shared" si="5"/>
        <v>3950494.0036332821</v>
      </c>
    </row>
    <row r="186" spans="1:14" s="279" customFormat="1" x14ac:dyDescent="0.25">
      <c r="A186" s="275">
        <f>'B) D RI'!A187</f>
        <v>5703</v>
      </c>
      <c r="B186" s="276" t="str">
        <f>'B) D RI'!B187</f>
        <v>Bassins</v>
      </c>
      <c r="C186" s="277">
        <f>'B) D RI'!S187</f>
        <v>70</v>
      </c>
      <c r="D186" s="278">
        <f>'B) D RI'!AR187</f>
        <v>1318</v>
      </c>
      <c r="E186" s="285">
        <f>'D) Ecrêtage'!N185</f>
        <v>52680.758714285716</v>
      </c>
      <c r="F186" s="289">
        <f>'E) Fact soc'!G191</f>
        <v>968936.34872547886</v>
      </c>
      <c r="G186" s="289">
        <f>'H) Péréquation directe'!I196</f>
        <v>666427.56236912985</v>
      </c>
      <c r="H186" s="289">
        <f>'I) Dépenses thématiques'!O185</f>
        <v>-265188</v>
      </c>
      <c r="I186" s="289">
        <f>'K) Plafonnement aide'!J185</f>
        <v>0</v>
      </c>
      <c r="J186" s="289">
        <f>'J) Plafonnement effort'!I185</f>
        <v>0</v>
      </c>
      <c r="K186" s="289">
        <f>'L) Plafonnement taux'!Q186</f>
        <v>0</v>
      </c>
      <c r="L186" s="401">
        <f t="shared" si="6"/>
        <v>1370175.9110946087</v>
      </c>
      <c r="M186" s="401">
        <f>'M) Police'!O186</f>
        <v>168950.39036599098</v>
      </c>
      <c r="N186" s="401">
        <f t="shared" si="5"/>
        <v>1539126.3014605998</v>
      </c>
    </row>
    <row r="187" spans="1:14" s="279" customFormat="1" x14ac:dyDescent="0.25">
      <c r="A187" s="275">
        <f>'B) D RI'!A188</f>
        <v>5704</v>
      </c>
      <c r="B187" s="276" t="str">
        <f>'B) D RI'!B188</f>
        <v>Begnins</v>
      </c>
      <c r="C187" s="277">
        <f>'B) D RI'!S188</f>
        <v>67</v>
      </c>
      <c r="D187" s="278">
        <f>'B) D RI'!AR188</f>
        <v>1698</v>
      </c>
      <c r="E187" s="285">
        <f>'D) Ecrêtage'!N186</f>
        <v>96844.377238102184</v>
      </c>
      <c r="F187" s="289">
        <f>'E) Fact soc'!G192</f>
        <v>2284974.8054999779</v>
      </c>
      <c r="G187" s="289">
        <f>'H) Péréquation directe'!I197</f>
        <v>1452734</v>
      </c>
      <c r="H187" s="289">
        <f>'I) Dépenses thématiques'!O186</f>
        <v>0</v>
      </c>
      <c r="I187" s="289">
        <f>'K) Plafonnement aide'!J186</f>
        <v>0</v>
      </c>
      <c r="J187" s="289">
        <f>'J) Plafonnement effort'!I186</f>
        <v>0</v>
      </c>
      <c r="K187" s="289">
        <f>'L) Plafonnement taux'!Q187</f>
        <v>0</v>
      </c>
      <c r="L187" s="401">
        <f t="shared" si="6"/>
        <v>3737708.8054999779</v>
      </c>
      <c r="M187" s="401">
        <f>'M) Police'!O187</f>
        <v>276561.30100763612</v>
      </c>
      <c r="N187" s="401">
        <f t="shared" si="5"/>
        <v>4014270.1065076143</v>
      </c>
    </row>
    <row r="188" spans="1:14" s="279" customFormat="1" x14ac:dyDescent="0.25">
      <c r="A188" s="275">
        <f>'B) D RI'!A189</f>
        <v>5705</v>
      </c>
      <c r="B188" s="276" t="str">
        <f>'B) D RI'!B189</f>
        <v>Bogis-Bossey</v>
      </c>
      <c r="C188" s="277">
        <f>'B) D RI'!S189</f>
        <v>64</v>
      </c>
      <c r="D188" s="278">
        <f>'B) D RI'!AR189</f>
        <v>830</v>
      </c>
      <c r="E188" s="285">
        <f>'D) Ecrêtage'!N187</f>
        <v>43467.757968750004</v>
      </c>
      <c r="F188" s="289">
        <f>'E) Fact soc'!G193</f>
        <v>726648.46689462243</v>
      </c>
      <c r="G188" s="289">
        <f>'H) Péréquation directe'!I198</f>
        <v>723583</v>
      </c>
      <c r="H188" s="289">
        <f>'I) Dépenses thématiques'!O187</f>
        <v>0</v>
      </c>
      <c r="I188" s="289">
        <f>'K) Plafonnement aide'!J187</f>
        <v>0</v>
      </c>
      <c r="J188" s="289">
        <f>'J) Plafonnement effort'!I187</f>
        <v>0</v>
      </c>
      <c r="K188" s="289">
        <f>'L) Plafonnement taux'!Q188</f>
        <v>0</v>
      </c>
      <c r="L188" s="401">
        <f t="shared" si="6"/>
        <v>1450231.4668946224</v>
      </c>
      <c r="M188" s="401">
        <f>'M) Police'!O188</f>
        <v>129960.9856654076</v>
      </c>
      <c r="N188" s="401">
        <f t="shared" si="5"/>
        <v>1580192.4525600299</v>
      </c>
    </row>
    <row r="189" spans="1:14" s="279" customFormat="1" x14ac:dyDescent="0.25">
      <c r="A189" s="275">
        <f>'B) D RI'!A190</f>
        <v>5706</v>
      </c>
      <c r="B189" s="276" t="str">
        <f>'B) D RI'!B190</f>
        <v>Borex</v>
      </c>
      <c r="C189" s="277">
        <f>'B) D RI'!S190</f>
        <v>57</v>
      </c>
      <c r="D189" s="278">
        <f>'B) D RI'!AR190</f>
        <v>919</v>
      </c>
      <c r="E189" s="285">
        <f>'D) Ecrêtage'!N188</f>
        <v>73959.517893209413</v>
      </c>
      <c r="F189" s="289">
        <f>'E) Fact soc'!G194</f>
        <v>2378161.106129976</v>
      </c>
      <c r="G189" s="289">
        <f>'H) Péréquation directe'!I199</f>
        <v>1280485</v>
      </c>
      <c r="H189" s="289">
        <f>'I) Dépenses thématiques'!O188</f>
        <v>-74820</v>
      </c>
      <c r="I189" s="289">
        <f>'K) Plafonnement aide'!J188</f>
        <v>0</v>
      </c>
      <c r="J189" s="289">
        <f>'J) Plafonnement effort'!I188</f>
        <v>0</v>
      </c>
      <c r="K189" s="289">
        <f>'L) Plafonnement taux'!Q189</f>
        <v>0</v>
      </c>
      <c r="L189" s="401">
        <f t="shared" si="6"/>
        <v>3583826.106129976</v>
      </c>
      <c r="M189" s="401">
        <f>'M) Police'!O189</f>
        <v>178764.71859678836</v>
      </c>
      <c r="N189" s="401">
        <f t="shared" si="5"/>
        <v>3762590.8247267641</v>
      </c>
    </row>
    <row r="190" spans="1:14" s="279" customFormat="1" x14ac:dyDescent="0.25">
      <c r="A190" s="275">
        <f>'B) D RI'!A191</f>
        <v>5707</v>
      </c>
      <c r="B190" s="276" t="str">
        <f>'B) D RI'!B191</f>
        <v>Chavannes-de-Bogis</v>
      </c>
      <c r="C190" s="277">
        <f>'B) D RI'!S191</f>
        <v>59</v>
      </c>
      <c r="D190" s="278">
        <f>'B) D RI'!AR191</f>
        <v>1125</v>
      </c>
      <c r="E190" s="285">
        <f>'D) Ecrêtage'!N189</f>
        <v>83046.071989492659</v>
      </c>
      <c r="F190" s="289">
        <f>'E) Fact soc'!G195</f>
        <v>2422488.6080717877</v>
      </c>
      <c r="G190" s="289">
        <f>'H) Péréquation directe'!I200</f>
        <v>1397244</v>
      </c>
      <c r="H190" s="289">
        <f>'I) Dépenses thématiques'!O189</f>
        <v>0</v>
      </c>
      <c r="I190" s="289">
        <f>'K) Plafonnement aide'!J189</f>
        <v>0</v>
      </c>
      <c r="J190" s="289">
        <f>'J) Plafonnement effort'!I189</f>
        <v>0</v>
      </c>
      <c r="K190" s="289">
        <f>'L) Plafonnement taux'!Q190</f>
        <v>0</v>
      </c>
      <c r="L190" s="401">
        <f t="shared" si="6"/>
        <v>3819732.6080717877</v>
      </c>
      <c r="M190" s="401">
        <f>'M) Police'!O190</f>
        <v>208722.84821570653</v>
      </c>
      <c r="N190" s="401">
        <f t="shared" si="5"/>
        <v>4028455.4562874944</v>
      </c>
    </row>
    <row r="191" spans="1:14" s="279" customFormat="1" x14ac:dyDescent="0.25">
      <c r="A191" s="275">
        <f>'B) D RI'!A192</f>
        <v>5708</v>
      </c>
      <c r="B191" s="276" t="str">
        <f>'B) D RI'!B192</f>
        <v>Chavannes-des-Bois</v>
      </c>
      <c r="C191" s="277">
        <f>'B) D RI'!S192</f>
        <v>61</v>
      </c>
      <c r="D191" s="278">
        <f>'B) D RI'!AR192</f>
        <v>797</v>
      </c>
      <c r="E191" s="285">
        <f>'D) Ecrêtage'!N190</f>
        <v>53850.357898268448</v>
      </c>
      <c r="F191" s="289">
        <f>'E) Fact soc'!G196</f>
        <v>1332760.7906037779</v>
      </c>
      <c r="G191" s="289">
        <f>'H) Péréquation directe'!I201</f>
        <v>919541</v>
      </c>
      <c r="H191" s="289">
        <f>'I) Dépenses thématiques'!O190</f>
        <v>0</v>
      </c>
      <c r="I191" s="289">
        <f>'K) Plafonnement aide'!J190</f>
        <v>0</v>
      </c>
      <c r="J191" s="289">
        <f>'J) Plafonnement effort'!I190</f>
        <v>0</v>
      </c>
      <c r="K191" s="289">
        <f>'L) Plafonnement taux'!Q191</f>
        <v>0</v>
      </c>
      <c r="L191" s="401">
        <f t="shared" si="6"/>
        <v>2252301.7906037779</v>
      </c>
      <c r="M191" s="401">
        <f>'M) Police'!O191</f>
        <v>141141.91186020896</v>
      </c>
      <c r="N191" s="401">
        <f t="shared" si="5"/>
        <v>2393443.7024639868</v>
      </c>
    </row>
    <row r="192" spans="1:14" s="279" customFormat="1" x14ac:dyDescent="0.25">
      <c r="A192" s="275">
        <f>'B) D RI'!A193</f>
        <v>5709</v>
      </c>
      <c r="B192" s="276" t="str">
        <f>'B) D RI'!B193</f>
        <v>Chéserex</v>
      </c>
      <c r="C192" s="277">
        <f>'B) D RI'!S193</f>
        <v>52</v>
      </c>
      <c r="D192" s="278">
        <f>'B) D RI'!AR193</f>
        <v>1225</v>
      </c>
      <c r="E192" s="285">
        <f>'D) Ecrêtage'!N191</f>
        <v>108302.70031303026</v>
      </c>
      <c r="F192" s="289">
        <f>'E) Fact soc'!G197</f>
        <v>3718769.8310674503</v>
      </c>
      <c r="G192" s="289">
        <f>'H) Péréquation directe'!I202</f>
        <v>1830903</v>
      </c>
      <c r="H192" s="289">
        <f>'I) Dépenses thématiques'!O191</f>
        <v>0</v>
      </c>
      <c r="I192" s="289">
        <f>'K) Plafonnement aide'!J191</f>
        <v>0</v>
      </c>
      <c r="J192" s="289">
        <f>'J) Plafonnement effort'!I191</f>
        <v>0</v>
      </c>
      <c r="K192" s="289">
        <f>'L) Plafonnement taux'!Q192</f>
        <v>0</v>
      </c>
      <c r="L192" s="401">
        <f t="shared" si="6"/>
        <v>5549672.8310674503</v>
      </c>
      <c r="M192" s="401">
        <f>'M) Police'!O192</f>
        <v>251404.5793829211</v>
      </c>
      <c r="N192" s="401">
        <f t="shared" si="5"/>
        <v>5801077.410450371</v>
      </c>
    </row>
    <row r="193" spans="1:14" s="279" customFormat="1" x14ac:dyDescent="0.25">
      <c r="A193" s="275">
        <f>'B) D RI'!A194</f>
        <v>5710</v>
      </c>
      <c r="B193" s="276" t="str">
        <f>'B) D RI'!B194</f>
        <v>Coinsins</v>
      </c>
      <c r="C193" s="277">
        <f>'B) D RI'!S194</f>
        <v>39</v>
      </c>
      <c r="D193" s="278">
        <f>'B) D RI'!AR194</f>
        <v>427</v>
      </c>
      <c r="E193" s="285">
        <f>'D) Ecrêtage'!N192</f>
        <v>56105.937023684404</v>
      </c>
      <c r="F193" s="289">
        <f>'E) Fact soc'!G198</f>
        <v>2696860.0338572818</v>
      </c>
      <c r="G193" s="289">
        <f>'H) Péréquation directe'!I203</f>
        <v>998396</v>
      </c>
      <c r="H193" s="289">
        <f>'I) Dépenses thématiques'!O192</f>
        <v>0</v>
      </c>
      <c r="I193" s="289">
        <f>'K) Plafonnement aide'!J192</f>
        <v>0</v>
      </c>
      <c r="J193" s="289">
        <f>'J) Plafonnement effort'!I192</f>
        <v>0</v>
      </c>
      <c r="K193" s="289">
        <f>'L) Plafonnement taux'!Q193</f>
        <v>0</v>
      </c>
      <c r="L193" s="401">
        <f t="shared" si="6"/>
        <v>3695256.0338572818</v>
      </c>
      <c r="M193" s="401">
        <f>'M) Police'!O193</f>
        <v>112408.91889191839</v>
      </c>
      <c r="N193" s="401">
        <f t="shared" si="5"/>
        <v>3807664.9527492002</v>
      </c>
    </row>
    <row r="194" spans="1:14" s="279" customFormat="1" x14ac:dyDescent="0.25">
      <c r="A194" s="275">
        <f>'B) D RI'!A195</f>
        <v>5711</v>
      </c>
      <c r="B194" s="276" t="str">
        <f>'B) D RI'!B195</f>
        <v>Commugny</v>
      </c>
      <c r="C194" s="277">
        <f>'B) D RI'!S195</f>
        <v>58</v>
      </c>
      <c r="D194" s="278">
        <f>'B) D RI'!AR195</f>
        <v>2524</v>
      </c>
      <c r="E194" s="285">
        <f>'D) Ecrêtage'!N193</f>
        <v>194635.01689141191</v>
      </c>
      <c r="F194" s="289">
        <f>'E) Fact soc'!G199</f>
        <v>5797961.922769011</v>
      </c>
      <c r="G194" s="289">
        <f>'H) Péréquation directe'!I204</f>
        <v>2978226</v>
      </c>
      <c r="H194" s="289">
        <f>'I) Dépenses thématiques'!O193</f>
        <v>0</v>
      </c>
      <c r="I194" s="289">
        <f>'K) Plafonnement aide'!J193</f>
        <v>0</v>
      </c>
      <c r="J194" s="289">
        <f>'J) Plafonnement effort'!I193</f>
        <v>0</v>
      </c>
      <c r="K194" s="289">
        <f>'L) Plafonnement taux'!Q194</f>
        <v>0</v>
      </c>
      <c r="L194" s="401">
        <f t="shared" si="6"/>
        <v>8776187.9227690101</v>
      </c>
      <c r="M194" s="401">
        <f>'M) Police'!O194</f>
        <v>479507.5513442941</v>
      </c>
      <c r="N194" s="401">
        <f t="shared" si="5"/>
        <v>9255695.4741133042</v>
      </c>
    </row>
    <row r="195" spans="1:14" s="279" customFormat="1" x14ac:dyDescent="0.25">
      <c r="A195" s="275">
        <f>'B) D RI'!A196</f>
        <v>5712</v>
      </c>
      <c r="B195" s="276" t="str">
        <f>'B) D RI'!B196</f>
        <v>Coppet</v>
      </c>
      <c r="C195" s="277">
        <f>'B) D RI'!S196</f>
        <v>53</v>
      </c>
      <c r="D195" s="278">
        <f>'B) D RI'!AR196</f>
        <v>2892</v>
      </c>
      <c r="E195" s="285">
        <f>'D) Ecrêtage'!N194</f>
        <v>232817.25798164154</v>
      </c>
      <c r="F195" s="289">
        <f>'E) Fact soc'!G200</f>
        <v>7682487.7575790808</v>
      </c>
      <c r="G195" s="289">
        <f>'H) Péréquation directe'!I205</f>
        <v>3557932</v>
      </c>
      <c r="H195" s="289">
        <f>'I) Dépenses thématiques'!O194</f>
        <v>0</v>
      </c>
      <c r="I195" s="289">
        <f>'K) Plafonnement aide'!J194</f>
        <v>0</v>
      </c>
      <c r="J195" s="289">
        <f>'J) Plafonnement effort'!I194</f>
        <v>0</v>
      </c>
      <c r="K195" s="289">
        <f>'L) Plafonnement taux'!Q195</f>
        <v>0</v>
      </c>
      <c r="L195" s="401">
        <f t="shared" si="6"/>
        <v>11240419.757579081</v>
      </c>
      <c r="M195" s="401">
        <f>'M) Police'!O195</f>
        <v>562654.55783990631</v>
      </c>
      <c r="N195" s="401">
        <f t="shared" si="5"/>
        <v>11803074.315418987</v>
      </c>
    </row>
    <row r="196" spans="1:14" s="279" customFormat="1" x14ac:dyDescent="0.25">
      <c r="A196" s="275">
        <f>'B) D RI'!A197</f>
        <v>5713</v>
      </c>
      <c r="B196" s="276" t="str">
        <f>'B) D RI'!B197</f>
        <v>Crans-près-Céligny</v>
      </c>
      <c r="C196" s="277">
        <f>'B) D RI'!S197</f>
        <v>53</v>
      </c>
      <c r="D196" s="278">
        <f>'B) D RI'!AR197</f>
        <v>2048</v>
      </c>
      <c r="E196" s="285">
        <f>'D) Ecrêtage'!N195</f>
        <v>216191.68457830031</v>
      </c>
      <c r="F196" s="289">
        <f>'E) Fact soc'!G201</f>
        <v>10486927.280924385</v>
      </c>
      <c r="G196" s="289">
        <f>'H) Péréquation directe'!I206</f>
        <v>3544830</v>
      </c>
      <c r="H196" s="289">
        <f>'I) Dépenses thématiques'!O195</f>
        <v>0</v>
      </c>
      <c r="I196" s="289">
        <f>'K) Plafonnement aide'!J195</f>
        <v>0</v>
      </c>
      <c r="J196" s="289">
        <f>'J) Plafonnement effort'!I195</f>
        <v>0</v>
      </c>
      <c r="K196" s="289">
        <f>'L) Plafonnement taux'!Q196</f>
        <v>0</v>
      </c>
      <c r="L196" s="401">
        <f t="shared" si="6"/>
        <v>14031757.280924385</v>
      </c>
      <c r="M196" s="401">
        <f>'M) Police'!O196</f>
        <v>291830.58730420261</v>
      </c>
      <c r="N196" s="401">
        <f t="shared" si="5"/>
        <v>14323587.868228588</v>
      </c>
    </row>
    <row r="197" spans="1:14" s="279" customFormat="1" x14ac:dyDescent="0.25">
      <c r="A197" s="275">
        <f>'B) D RI'!A198</f>
        <v>5714</v>
      </c>
      <c r="B197" s="276" t="str">
        <f>'B) D RI'!B198</f>
        <v>Crassier</v>
      </c>
      <c r="C197" s="277">
        <f>'B) D RI'!S198</f>
        <v>64</v>
      </c>
      <c r="D197" s="278">
        <f>'B) D RI'!AR198</f>
        <v>1114</v>
      </c>
      <c r="E197" s="285">
        <f>'D) Ecrêtage'!N196</f>
        <v>63355.554014382178</v>
      </c>
      <c r="F197" s="289">
        <f>'E) Fact soc'!G202</f>
        <v>1282519.4431588871</v>
      </c>
      <c r="G197" s="289">
        <f>'H) Péréquation directe'!I207</f>
        <v>1035719</v>
      </c>
      <c r="H197" s="289">
        <f>'I) Dépenses thématiques'!O196</f>
        <v>0</v>
      </c>
      <c r="I197" s="289">
        <f>'K) Plafonnement aide'!J196</f>
        <v>0</v>
      </c>
      <c r="J197" s="289">
        <f>'J) Plafonnement effort'!I196</f>
        <v>0</v>
      </c>
      <c r="K197" s="289">
        <f>'L) Plafonnement taux'!Q197</f>
        <v>0</v>
      </c>
      <c r="L197" s="401">
        <f t="shared" si="6"/>
        <v>2318238.4431588873</v>
      </c>
      <c r="M197" s="401">
        <f>'M) Police'!O197</f>
        <v>181198.47283590009</v>
      </c>
      <c r="N197" s="401">
        <f t="shared" si="5"/>
        <v>2499436.9159947876</v>
      </c>
    </row>
    <row r="198" spans="1:14" s="279" customFormat="1" x14ac:dyDescent="0.25">
      <c r="A198" s="275">
        <f>'B) D RI'!A199</f>
        <v>5715</v>
      </c>
      <c r="B198" s="276" t="str">
        <f>'B) D RI'!B199</f>
        <v>Duillier</v>
      </c>
      <c r="C198" s="277">
        <f>'B) D RI'!S199</f>
        <v>66</v>
      </c>
      <c r="D198" s="278">
        <f>'B) D RI'!AR199</f>
        <v>1014</v>
      </c>
      <c r="E198" s="285">
        <f>'D) Ecrêtage'!N197</f>
        <v>58830.820609299182</v>
      </c>
      <c r="F198" s="289">
        <f>'E) Fact soc'!G203</f>
        <v>1008385.4312781364</v>
      </c>
      <c r="G198" s="289">
        <f>'H) Péréquation directe'!I208</f>
        <v>986758</v>
      </c>
      <c r="H198" s="289">
        <f>'I) Dépenses thématiques'!O197</f>
        <v>0</v>
      </c>
      <c r="I198" s="289">
        <f>'K) Plafonnement aide'!J197</f>
        <v>0</v>
      </c>
      <c r="J198" s="289">
        <f>'J) Plafonnement effort'!I197</f>
        <v>0</v>
      </c>
      <c r="K198" s="289">
        <f>'L) Plafonnement taux'!Q198</f>
        <v>0</v>
      </c>
      <c r="L198" s="401">
        <f t="shared" si="6"/>
        <v>1995143.4312781366</v>
      </c>
      <c r="M198" s="401">
        <f>'M) Police'!O198</f>
        <v>166502.09680287133</v>
      </c>
      <c r="N198" s="401">
        <f t="shared" si="5"/>
        <v>2161645.5280810078</v>
      </c>
    </row>
    <row r="199" spans="1:14" s="279" customFormat="1" x14ac:dyDescent="0.25">
      <c r="A199" s="275">
        <f>'B) D RI'!A200</f>
        <v>5716</v>
      </c>
      <c r="B199" s="276" t="str">
        <f>'B) D RI'!B200</f>
        <v>Eysins</v>
      </c>
      <c r="C199" s="277">
        <f>'B) D RI'!S200</f>
        <v>61</v>
      </c>
      <c r="D199" s="278">
        <f>'B) D RI'!AR200</f>
        <v>1462</v>
      </c>
      <c r="E199" s="285">
        <f>'D) Ecrêtage'!N198</f>
        <v>113150.03286801104</v>
      </c>
      <c r="F199" s="289">
        <f>'E) Fact soc'!G204</f>
        <v>3663328.1222406523</v>
      </c>
      <c r="G199" s="289">
        <f>'H) Péréquation directe'!I209</f>
        <v>1837900</v>
      </c>
      <c r="H199" s="289">
        <f>'I) Dépenses thématiques'!O198</f>
        <v>0</v>
      </c>
      <c r="I199" s="289">
        <f>'K) Plafonnement aide'!J198</f>
        <v>0</v>
      </c>
      <c r="J199" s="289">
        <f>'J) Plafonnement effort'!I198</f>
        <v>0</v>
      </c>
      <c r="K199" s="289">
        <f>'L) Plafonnement taux'!Q199</f>
        <v>0</v>
      </c>
      <c r="L199" s="401">
        <f t="shared" si="6"/>
        <v>5501228.1222406523</v>
      </c>
      <c r="M199" s="401">
        <f>'M) Police'!O199</f>
        <v>278302.77114566951</v>
      </c>
      <c r="N199" s="401">
        <f t="shared" ref="N199:N262" si="7">L199+M199</f>
        <v>5779530.8933863221</v>
      </c>
    </row>
    <row r="200" spans="1:14" s="279" customFormat="1" x14ac:dyDescent="0.25">
      <c r="A200" s="275">
        <f>'B) D RI'!A201</f>
        <v>5717</v>
      </c>
      <c r="B200" s="276" t="str">
        <f>'B) D RI'!B201</f>
        <v>Founex</v>
      </c>
      <c r="C200" s="277">
        <f>'B) D RI'!S201</f>
        <v>57</v>
      </c>
      <c r="D200" s="278">
        <f>'B) D RI'!AR201</f>
        <v>3276</v>
      </c>
      <c r="E200" s="285">
        <f>'D) Ecrêtage'!N199</f>
        <v>263834.45529888675</v>
      </c>
      <c r="F200" s="289">
        <f>'E) Fact soc'!G205</f>
        <v>9111521.9860230014</v>
      </c>
      <c r="G200" s="289">
        <f>'H) Péréquation directe'!I210</f>
        <v>3957684</v>
      </c>
      <c r="H200" s="289">
        <f>'I) Dépenses thématiques'!O199</f>
        <v>0</v>
      </c>
      <c r="I200" s="289">
        <f>'K) Plafonnement aide'!J199</f>
        <v>0</v>
      </c>
      <c r="J200" s="289">
        <f>'J) Plafonnement effort'!I199</f>
        <v>0</v>
      </c>
      <c r="K200" s="289">
        <f>'L) Plafonnement taux'!Q200</f>
        <v>0</v>
      </c>
      <c r="L200" s="401">
        <f t="shared" si="6"/>
        <v>13069205.986023001</v>
      </c>
      <c r="M200" s="401">
        <f>'M) Police'!O200</f>
        <v>637503.86155261402</v>
      </c>
      <c r="N200" s="401">
        <f t="shared" si="7"/>
        <v>13706709.847575616</v>
      </c>
    </row>
    <row r="201" spans="1:14" s="279" customFormat="1" x14ac:dyDescent="0.25">
      <c r="A201" s="275">
        <f>'B) D RI'!A202</f>
        <v>5718</v>
      </c>
      <c r="B201" s="276" t="str">
        <f>'B) D RI'!B202</f>
        <v>Genolier</v>
      </c>
      <c r="C201" s="277">
        <f>'B) D RI'!S202</f>
        <v>55</v>
      </c>
      <c r="D201" s="278">
        <f>'B) D RI'!AR202</f>
        <v>1875</v>
      </c>
      <c r="E201" s="285">
        <f>'D) Ecrêtage'!N200</f>
        <v>146074.76258704002</v>
      </c>
      <c r="F201" s="289">
        <f>'E) Fact soc'!G206</f>
        <v>4572915.9252545107</v>
      </c>
      <c r="G201" s="289">
        <f>'H) Péréquation directe'!I211</f>
        <v>2304298</v>
      </c>
      <c r="H201" s="289">
        <f>'I) Dépenses thématiques'!O200</f>
        <v>0</v>
      </c>
      <c r="I201" s="289">
        <f>'K) Plafonnement aide'!J200</f>
        <v>0</v>
      </c>
      <c r="J201" s="289">
        <f>'J) Plafonnement effort'!I200</f>
        <v>0</v>
      </c>
      <c r="K201" s="289">
        <f>'L) Plafonnement taux'!Q201</f>
        <v>0</v>
      </c>
      <c r="L201" s="401">
        <f t="shared" si="6"/>
        <v>6877213.9252545107</v>
      </c>
      <c r="M201" s="401">
        <f>'M) Police'!O201</f>
        <v>358217.68189981207</v>
      </c>
      <c r="N201" s="401">
        <f t="shared" si="7"/>
        <v>7235431.6071543228</v>
      </c>
    </row>
    <row r="202" spans="1:14" s="279" customFormat="1" x14ac:dyDescent="0.25">
      <c r="A202" s="275">
        <f>'B) D RI'!A203</f>
        <v>5719</v>
      </c>
      <c r="B202" s="276" t="str">
        <f>'B) D RI'!B203</f>
        <v>Gingins</v>
      </c>
      <c r="C202" s="277">
        <f>'B) D RI'!S203</f>
        <v>51</v>
      </c>
      <c r="D202" s="278">
        <f>'B) D RI'!AR203</f>
        <v>1217</v>
      </c>
      <c r="E202" s="285">
        <f>'D) Ecrêtage'!N201</f>
        <v>84481.2208721801</v>
      </c>
      <c r="F202" s="289">
        <f>'E) Fact soc'!G207</f>
        <v>2074464.5962433273</v>
      </c>
      <c r="G202" s="289">
        <f>'H) Péréquation directe'!I212</f>
        <v>1391674</v>
      </c>
      <c r="H202" s="289">
        <f>'I) Dépenses thématiques'!O201</f>
        <v>0</v>
      </c>
      <c r="I202" s="289">
        <f>'K) Plafonnement aide'!J201</f>
        <v>0</v>
      </c>
      <c r="J202" s="289">
        <f>'J) Plafonnement effort'!I201</f>
        <v>0</v>
      </c>
      <c r="K202" s="289">
        <f>'L) Plafonnement taux'!Q202</f>
        <v>0</v>
      </c>
      <c r="L202" s="401">
        <f t="shared" si="6"/>
        <v>3466138.5962433275</v>
      </c>
      <c r="M202" s="401">
        <f>'M) Police'!O202</f>
        <v>218561.60189139424</v>
      </c>
      <c r="N202" s="401">
        <f t="shared" si="7"/>
        <v>3684700.1981347217</v>
      </c>
    </row>
    <row r="203" spans="1:14" s="279" customFormat="1" x14ac:dyDescent="0.25">
      <c r="A203" s="275">
        <f>'B) D RI'!A204</f>
        <v>5720</v>
      </c>
      <c r="B203" s="276" t="str">
        <f>'B) D RI'!B204</f>
        <v>Givrins</v>
      </c>
      <c r="C203" s="277">
        <f>'B) D RI'!S204</f>
        <v>61</v>
      </c>
      <c r="D203" s="278">
        <f>'B) D RI'!AR204</f>
        <v>948</v>
      </c>
      <c r="E203" s="285">
        <f>'D) Ecrêtage'!N202</f>
        <v>65818.893879817115</v>
      </c>
      <c r="F203" s="289">
        <f>'E) Fact soc'!G208</f>
        <v>1689559.9071743952</v>
      </c>
      <c r="G203" s="289">
        <f>'H) Péréquation directe'!I213</f>
        <v>1126528</v>
      </c>
      <c r="H203" s="289">
        <f>'I) Dépenses thématiques'!O202</f>
        <v>-34184</v>
      </c>
      <c r="I203" s="289">
        <f>'K) Plafonnement aide'!J202</f>
        <v>0</v>
      </c>
      <c r="J203" s="289">
        <f>'J) Plafonnement effort'!I202</f>
        <v>0</v>
      </c>
      <c r="K203" s="289">
        <f>'L) Plafonnement taux'!Q203</f>
        <v>0</v>
      </c>
      <c r="L203" s="401">
        <f t="shared" si="6"/>
        <v>2781903.9071743954</v>
      </c>
      <c r="M203" s="401">
        <f>'M) Police'!O203</f>
        <v>170266.62454729021</v>
      </c>
      <c r="N203" s="401">
        <f t="shared" si="7"/>
        <v>2952170.5317216855</v>
      </c>
    </row>
    <row r="204" spans="1:14" s="279" customFormat="1" x14ac:dyDescent="0.25">
      <c r="A204" s="275">
        <f>'B) D RI'!A205</f>
        <v>5721</v>
      </c>
      <c r="B204" s="276" t="str">
        <f>'B) D RI'!B205</f>
        <v>Gland</v>
      </c>
      <c r="C204" s="277">
        <f>'B) D RI'!S205</f>
        <v>62.5</v>
      </c>
      <c r="D204" s="278">
        <f>'B) D RI'!AR205</f>
        <v>12482</v>
      </c>
      <c r="E204" s="285">
        <f>'D) Ecrêtage'!N203</f>
        <v>545180.59375999996</v>
      </c>
      <c r="F204" s="289">
        <f>'E) Fact soc'!G209</f>
        <v>9874728.8409222346</v>
      </c>
      <c r="G204" s="289">
        <f>'H) Péréquation directe'!I214</f>
        <v>2849697.3602491552</v>
      </c>
      <c r="H204" s="289">
        <f>'I) Dépenses thématiques'!O203</f>
        <v>0</v>
      </c>
      <c r="I204" s="289">
        <f>'K) Plafonnement aide'!J203</f>
        <v>0</v>
      </c>
      <c r="J204" s="289">
        <f>'J) Plafonnement effort'!I203</f>
        <v>0</v>
      </c>
      <c r="K204" s="289">
        <f>'L) Plafonnement taux'!Q204</f>
        <v>0</v>
      </c>
      <c r="L204" s="401">
        <f t="shared" si="6"/>
        <v>12724426.201171391</v>
      </c>
      <c r="M204" s="401">
        <f>'M) Police'!O204</f>
        <v>1747268.6241427646</v>
      </c>
      <c r="N204" s="401">
        <f t="shared" si="7"/>
        <v>14471694.825314155</v>
      </c>
    </row>
    <row r="205" spans="1:14" s="279" customFormat="1" x14ac:dyDescent="0.25">
      <c r="A205" s="275">
        <f>'B) D RI'!A206</f>
        <v>5722</v>
      </c>
      <c r="B205" s="276" t="str">
        <f>'B) D RI'!B206</f>
        <v>Grens</v>
      </c>
      <c r="C205" s="277">
        <f>'B) D RI'!S206</f>
        <v>57</v>
      </c>
      <c r="D205" s="278">
        <f>'B) D RI'!AR206</f>
        <v>366</v>
      </c>
      <c r="E205" s="285">
        <f>'D) Ecrêtage'!N204</f>
        <v>17973.033684210524</v>
      </c>
      <c r="F205" s="289">
        <f>'E) Fact soc'!G210</f>
        <v>292249.15378406958</v>
      </c>
      <c r="G205" s="289">
        <f>'H) Péréquation directe'!I215</f>
        <v>296906</v>
      </c>
      <c r="H205" s="289">
        <f>'I) Dépenses thématiques'!O204</f>
        <v>0</v>
      </c>
      <c r="I205" s="289">
        <f>'K) Plafonnement aide'!J204</f>
        <v>0</v>
      </c>
      <c r="J205" s="289">
        <f>'J) Plafonnement effort'!I204</f>
        <v>0</v>
      </c>
      <c r="K205" s="289">
        <f>'L) Plafonnement taux'!Q205</f>
        <v>0</v>
      </c>
      <c r="L205" s="401">
        <f t="shared" si="6"/>
        <v>589155.15378406958</v>
      </c>
      <c r="M205" s="401">
        <f>'M) Police'!O205</f>
        <v>55695.439838352249</v>
      </c>
      <c r="N205" s="401">
        <f t="shared" si="7"/>
        <v>644850.59362242185</v>
      </c>
    </row>
    <row r="206" spans="1:14" s="279" customFormat="1" x14ac:dyDescent="0.25">
      <c r="A206" s="275">
        <f>'B) D RI'!A207</f>
        <v>5723</v>
      </c>
      <c r="B206" s="276" t="str">
        <f>'B) D RI'!B207</f>
        <v>Mies</v>
      </c>
      <c r="C206" s="277">
        <f>'B) D RI'!S207</f>
        <v>52</v>
      </c>
      <c r="D206" s="278">
        <f>'B) D RI'!AR207</f>
        <v>1775</v>
      </c>
      <c r="E206" s="285">
        <f>'D) Ecrêtage'!N205</f>
        <v>149527.37004038764</v>
      </c>
      <c r="F206" s="289">
        <f>'E) Fact soc'!G211</f>
        <v>7596815.1729110572</v>
      </c>
      <c r="G206" s="289">
        <f>'H) Péréquation directe'!I216</f>
        <v>2403364</v>
      </c>
      <c r="H206" s="289">
        <f>'I) Dépenses thématiques'!O205</f>
        <v>0</v>
      </c>
      <c r="I206" s="289">
        <f>'K) Plafonnement aide'!J205</f>
        <v>0</v>
      </c>
      <c r="J206" s="289">
        <f>'J) Plafonnement effort'!I205</f>
        <v>-203846.23121607001</v>
      </c>
      <c r="K206" s="289">
        <f>'L) Plafonnement taux'!Q206</f>
        <v>0</v>
      </c>
      <c r="L206" s="401">
        <f t="shared" si="6"/>
        <v>9796332.9416949879</v>
      </c>
      <c r="M206" s="401">
        <f>'M) Police'!O206</f>
        <v>354289.67594717117</v>
      </c>
      <c r="N206" s="401">
        <f t="shared" si="7"/>
        <v>10150622.617642159</v>
      </c>
    </row>
    <row r="207" spans="1:14" s="279" customFormat="1" x14ac:dyDescent="0.25">
      <c r="A207" s="275">
        <f>'B) D RI'!A208</f>
        <v>5724</v>
      </c>
      <c r="B207" s="276" t="str">
        <f>'B) D RI'!B208</f>
        <v>Nyon</v>
      </c>
      <c r="C207" s="277">
        <f>'B) D RI'!S208</f>
        <v>61</v>
      </c>
      <c r="D207" s="278">
        <f>'B) D RI'!AR208</f>
        <v>19632</v>
      </c>
      <c r="E207" s="285">
        <f>'D) Ecrêtage'!N206</f>
        <v>1208176.5686258627</v>
      </c>
      <c r="F207" s="289">
        <f>'E) Fact soc'!G212</f>
        <v>25992965.808230616</v>
      </c>
      <c r="G207" s="289">
        <f>'H) Péréquation directe'!I217</f>
        <v>7805194</v>
      </c>
      <c r="H207" s="289">
        <f>'I) Dépenses thématiques'!O206</f>
        <v>0</v>
      </c>
      <c r="I207" s="289">
        <f>'K) Plafonnement aide'!J206</f>
        <v>0</v>
      </c>
      <c r="J207" s="289">
        <f>'J) Plafonnement effort'!I206</f>
        <v>0</v>
      </c>
      <c r="K207" s="289">
        <f>'L) Plafonnement taux'!Q207</f>
        <v>0</v>
      </c>
      <c r="L207" s="401">
        <f t="shared" si="6"/>
        <v>33798159.808230616</v>
      </c>
      <c r="M207" s="401">
        <f>'M) Police'!O207</f>
        <v>1630880.8466755031</v>
      </c>
      <c r="N207" s="401">
        <f t="shared" si="7"/>
        <v>35429040.654906116</v>
      </c>
    </row>
    <row r="208" spans="1:14" s="279" customFormat="1" x14ac:dyDescent="0.25">
      <c r="A208" s="275">
        <f>'B) D RI'!A209</f>
        <v>5725</v>
      </c>
      <c r="B208" s="276" t="str">
        <f>'B) D RI'!B209</f>
        <v>Prangins</v>
      </c>
      <c r="C208" s="277">
        <f>'B) D RI'!S209</f>
        <v>56</v>
      </c>
      <c r="D208" s="278">
        <f>'B) D RI'!AR209</f>
        <v>3930</v>
      </c>
      <c r="E208" s="285">
        <f>'D) Ecrêtage'!N207</f>
        <v>283931.1838937492</v>
      </c>
      <c r="F208" s="289">
        <f>'E) Fact soc'!G213</f>
        <v>8267557.0862959633</v>
      </c>
      <c r="G208" s="289">
        <f>'H) Péréquation directe'!I218</f>
        <v>4003596</v>
      </c>
      <c r="H208" s="289">
        <f>'I) Dépenses thématiques'!O207</f>
        <v>0</v>
      </c>
      <c r="I208" s="289">
        <f>'K) Plafonnement aide'!J207</f>
        <v>0</v>
      </c>
      <c r="J208" s="289">
        <f>'J) Plafonnement effort'!I207</f>
        <v>0</v>
      </c>
      <c r="K208" s="289">
        <f>'L) Plafonnement taux'!Q208</f>
        <v>0</v>
      </c>
      <c r="L208" s="401">
        <f t="shared" si="6"/>
        <v>12271153.086295962</v>
      </c>
      <c r="M208" s="401">
        <f>'M) Police'!O208</f>
        <v>383270.07956534153</v>
      </c>
      <c r="N208" s="401">
        <f t="shared" si="7"/>
        <v>12654423.165861303</v>
      </c>
    </row>
    <row r="209" spans="1:14" s="279" customFormat="1" x14ac:dyDescent="0.25">
      <c r="A209" s="275">
        <f>'B) D RI'!A210</f>
        <v>5726</v>
      </c>
      <c r="B209" s="276" t="str">
        <f>'B) D RI'!B210</f>
        <v>La Rippe</v>
      </c>
      <c r="C209" s="277">
        <f>'B) D RI'!S210</f>
        <v>65</v>
      </c>
      <c r="D209" s="278">
        <f>'B) D RI'!AR210</f>
        <v>1057</v>
      </c>
      <c r="E209" s="285">
        <f>'D) Ecrêtage'!N208</f>
        <v>52407.476615384607</v>
      </c>
      <c r="F209" s="289">
        <f>'E) Fact soc'!G214</f>
        <v>894300.67336751672</v>
      </c>
      <c r="G209" s="289">
        <f>'H) Péréquation directe'!I219</f>
        <v>852517</v>
      </c>
      <c r="H209" s="289">
        <f>'I) Dépenses thématiques'!O208</f>
        <v>-77184</v>
      </c>
      <c r="I209" s="289">
        <f>'K) Plafonnement aide'!J208</f>
        <v>0</v>
      </c>
      <c r="J209" s="289">
        <f>'J) Plafonnement effort'!I208</f>
        <v>0</v>
      </c>
      <c r="K209" s="289">
        <f>'L) Plafonnement taux'!Q209</f>
        <v>0</v>
      </c>
      <c r="L209" s="401">
        <f t="shared" si="6"/>
        <v>1669633.6733675166</v>
      </c>
      <c r="M209" s="401">
        <f>'M) Police'!O209</f>
        <v>161524.50750360556</v>
      </c>
      <c r="N209" s="401">
        <f t="shared" si="7"/>
        <v>1831158.1808711221</v>
      </c>
    </row>
    <row r="210" spans="1:14" s="279" customFormat="1" x14ac:dyDescent="0.25">
      <c r="A210" s="275">
        <f>'B) D RI'!A211</f>
        <v>5727</v>
      </c>
      <c r="B210" s="276" t="str">
        <f>'B) D RI'!B211</f>
        <v>Saint-Cergue</v>
      </c>
      <c r="C210" s="277">
        <f>'B) D RI'!S211</f>
        <v>66</v>
      </c>
      <c r="D210" s="278">
        <f>'B) D RI'!AR211</f>
        <v>2340</v>
      </c>
      <c r="E210" s="285">
        <f>'D) Ecrêtage'!N209</f>
        <v>86282.692626262622</v>
      </c>
      <c r="F210" s="289">
        <f>'E) Fact soc'!G215</f>
        <v>1617084.5953328363</v>
      </c>
      <c r="G210" s="289">
        <f>'H) Péréquation directe'!I220</f>
        <v>748948.96253691614</v>
      </c>
      <c r="H210" s="289">
        <f>'I) Dépenses thématiques'!O209</f>
        <v>-94947</v>
      </c>
      <c r="I210" s="289">
        <f>'K) Plafonnement aide'!J209</f>
        <v>0</v>
      </c>
      <c r="J210" s="289">
        <f>'J) Plafonnement effort'!I209</f>
        <v>0</v>
      </c>
      <c r="K210" s="289">
        <f>'L) Plafonnement taux'!Q210</f>
        <v>0</v>
      </c>
      <c r="L210" s="401">
        <f t="shared" si="6"/>
        <v>2271086.5578697524</v>
      </c>
      <c r="M210" s="401">
        <f>'M) Police'!O210</f>
        <v>276172.75467685674</v>
      </c>
      <c r="N210" s="401">
        <f t="shared" si="7"/>
        <v>2547259.312546609</v>
      </c>
    </row>
    <row r="211" spans="1:14" s="279" customFormat="1" x14ac:dyDescent="0.25">
      <c r="A211" s="275">
        <f>'B) D RI'!A212</f>
        <v>5728</v>
      </c>
      <c r="B211" s="276" t="str">
        <f>'B) D RI'!B212</f>
        <v>Signy-Avenex</v>
      </c>
      <c r="C211" s="277">
        <f>'B) D RI'!S212</f>
        <v>56</v>
      </c>
      <c r="D211" s="278">
        <f>'B) D RI'!AR212</f>
        <v>457</v>
      </c>
      <c r="E211" s="285">
        <f>'D) Ecrêtage'!N210</f>
        <v>33340.745546475831</v>
      </c>
      <c r="F211" s="289">
        <f>'E) Fact soc'!G216</f>
        <v>963882.13966100675</v>
      </c>
      <c r="G211" s="289">
        <f>'H) Péréquation directe'!I221</f>
        <v>572967</v>
      </c>
      <c r="H211" s="289">
        <f>'I) Dépenses thématiques'!O210</f>
        <v>0</v>
      </c>
      <c r="I211" s="289">
        <f>'K) Plafonnement aide'!J210</f>
        <v>0</v>
      </c>
      <c r="J211" s="289">
        <f>'J) Plafonnement effort'!I210</f>
        <v>0</v>
      </c>
      <c r="K211" s="289">
        <f>'L) Plafonnement taux'!Q211</f>
        <v>0</v>
      </c>
      <c r="L211" s="401">
        <f t="shared" si="6"/>
        <v>1536849.1396610066</v>
      </c>
      <c r="M211" s="401">
        <f>'M) Police'!O211</f>
        <v>84255.451262828894</v>
      </c>
      <c r="N211" s="401">
        <f t="shared" si="7"/>
        <v>1621104.5909238355</v>
      </c>
    </row>
    <row r="212" spans="1:14" s="279" customFormat="1" x14ac:dyDescent="0.25">
      <c r="A212" s="275">
        <f>'B) D RI'!A213</f>
        <v>5729</v>
      </c>
      <c r="B212" s="276" t="str">
        <f>'B) D RI'!B213</f>
        <v>Tannay</v>
      </c>
      <c r="C212" s="277">
        <f>'B) D RI'!S213</f>
        <v>61</v>
      </c>
      <c r="D212" s="278">
        <f>'B) D RI'!AR213</f>
        <v>1511</v>
      </c>
      <c r="E212" s="285">
        <f>'D) Ecrêtage'!N211</f>
        <v>121313.50849358818</v>
      </c>
      <c r="F212" s="289">
        <f>'E) Fact soc'!G217</f>
        <v>4124207.2800183794</v>
      </c>
      <c r="G212" s="289">
        <f>'H) Péréquation directe'!I222</f>
        <v>1972230</v>
      </c>
      <c r="H212" s="289">
        <f>'I) Dépenses thématiques'!O211</f>
        <v>0</v>
      </c>
      <c r="I212" s="289">
        <f>'K) Plafonnement aide'!J211</f>
        <v>0</v>
      </c>
      <c r="J212" s="289">
        <f>'J) Plafonnement effort'!I211</f>
        <v>0</v>
      </c>
      <c r="K212" s="289">
        <f>'L) Plafonnement taux'!Q212</f>
        <v>0</v>
      </c>
      <c r="L212" s="401">
        <f t="shared" si="6"/>
        <v>6096437.2800183799</v>
      </c>
      <c r="M212" s="401">
        <f>'M) Police'!O212</f>
        <v>293530.80106836418</v>
      </c>
      <c r="N212" s="401">
        <f t="shared" si="7"/>
        <v>6389968.0810867436</v>
      </c>
    </row>
    <row r="213" spans="1:14" s="279" customFormat="1" x14ac:dyDescent="0.25">
      <c r="A213" s="275">
        <f>'B) D RI'!A214</f>
        <v>5730</v>
      </c>
      <c r="B213" s="276" t="str">
        <f>'B) D RI'!B214</f>
        <v>Trélex</v>
      </c>
      <c r="C213" s="277">
        <f>'B) D RI'!S214</f>
        <v>53</v>
      </c>
      <c r="D213" s="278">
        <f>'B) D RI'!AR214</f>
        <v>1397</v>
      </c>
      <c r="E213" s="285">
        <f>'D) Ecrêtage'!N212</f>
        <v>112983.75749674175</v>
      </c>
      <c r="F213" s="289">
        <f>'E) Fact soc'!G218</f>
        <v>3420667.0562252384</v>
      </c>
      <c r="G213" s="289">
        <f>'H) Péréquation directe'!I223</f>
        <v>1857564</v>
      </c>
      <c r="H213" s="289">
        <f>'I) Dépenses thématiques'!O212</f>
        <v>0</v>
      </c>
      <c r="I213" s="289">
        <f>'K) Plafonnement aide'!J212</f>
        <v>0</v>
      </c>
      <c r="J213" s="289">
        <f>'J) Plafonnement effort'!I212</f>
        <v>0</v>
      </c>
      <c r="K213" s="289">
        <f>'L) Plafonnement taux'!Q213</f>
        <v>0</v>
      </c>
      <c r="L213" s="401">
        <f t="shared" si="6"/>
        <v>5278231.0562252384</v>
      </c>
      <c r="M213" s="401">
        <f>'M) Police'!O213</f>
        <v>272495.74675985565</v>
      </c>
      <c r="N213" s="401">
        <f t="shared" si="7"/>
        <v>5550726.8029850945</v>
      </c>
    </row>
    <row r="214" spans="1:14" s="279" customFormat="1" x14ac:dyDescent="0.25">
      <c r="A214" s="275">
        <f>'B) D RI'!A215</f>
        <v>5731</v>
      </c>
      <c r="B214" s="276" t="str">
        <f>'B) D RI'!B215</f>
        <v>Le Vaud</v>
      </c>
      <c r="C214" s="277">
        <f>'B) D RI'!S215</f>
        <v>75</v>
      </c>
      <c r="D214" s="278">
        <f>'B) D RI'!AR215</f>
        <v>1238</v>
      </c>
      <c r="E214" s="285">
        <f>'D) Ecrêtage'!N213</f>
        <v>44154.497155555553</v>
      </c>
      <c r="F214" s="289">
        <f>'E) Fact soc'!G219</f>
        <v>725370.87447200459</v>
      </c>
      <c r="G214" s="289">
        <f>'H) Péréquation directe'!I224</f>
        <v>409183.48257324228</v>
      </c>
      <c r="H214" s="289">
        <f>'I) Dépenses thématiques'!O213</f>
        <v>-153823</v>
      </c>
      <c r="I214" s="289">
        <f>'K) Plafonnement aide'!J213</f>
        <v>0</v>
      </c>
      <c r="J214" s="289">
        <f>'J) Plafonnement effort'!I213</f>
        <v>0</v>
      </c>
      <c r="K214" s="289">
        <f>'L) Plafonnement taux'!Q214</f>
        <v>0</v>
      </c>
      <c r="L214" s="401">
        <f t="shared" si="6"/>
        <v>980731.35704524675</v>
      </c>
      <c r="M214" s="401">
        <f>'M) Police'!O214</f>
        <v>141907.52420322178</v>
      </c>
      <c r="N214" s="401">
        <f t="shared" si="7"/>
        <v>1122638.8812484685</v>
      </c>
    </row>
    <row r="215" spans="1:14" s="279" customFormat="1" x14ac:dyDescent="0.25">
      <c r="A215" s="275">
        <f>'B) D RI'!A216</f>
        <v>5732</v>
      </c>
      <c r="B215" s="276" t="str">
        <f>'B) D RI'!B216</f>
        <v>Vich</v>
      </c>
      <c r="C215" s="277">
        <f>'B) D RI'!S216</f>
        <v>70</v>
      </c>
      <c r="D215" s="278">
        <f>'B) D RI'!AR216</f>
        <v>763</v>
      </c>
      <c r="E215" s="285">
        <f>'D) Ecrêtage'!N214</f>
        <v>40390.161857142848</v>
      </c>
      <c r="F215" s="289">
        <f>'E) Fact soc'!G220</f>
        <v>879728.1703281441</v>
      </c>
      <c r="G215" s="289">
        <f>'H) Péréquation directe'!I225</f>
        <v>673175</v>
      </c>
      <c r="H215" s="289">
        <f>'I) Dépenses thématiques'!O214</f>
        <v>0</v>
      </c>
      <c r="I215" s="289">
        <f>'K) Plafonnement aide'!J214</f>
        <v>0</v>
      </c>
      <c r="J215" s="289">
        <f>'J) Plafonnement effort'!I214</f>
        <v>0</v>
      </c>
      <c r="K215" s="289">
        <f>'L) Plafonnement taux'!Q215</f>
        <v>0</v>
      </c>
      <c r="L215" s="401">
        <f t="shared" si="6"/>
        <v>1552903.170328144</v>
      </c>
      <c r="M215" s="401">
        <f>'M) Police'!O215</f>
        <v>120052.28633816898</v>
      </c>
      <c r="N215" s="401">
        <f t="shared" si="7"/>
        <v>1672955.4566663129</v>
      </c>
    </row>
    <row r="216" spans="1:14" s="279" customFormat="1" x14ac:dyDescent="0.25">
      <c r="A216" s="275">
        <f>'B) D RI'!A217</f>
        <v>5741</v>
      </c>
      <c r="B216" s="276" t="str">
        <f>'B) D RI'!B217</f>
        <v>L'Abergement</v>
      </c>
      <c r="C216" s="277">
        <f>'B) D RI'!S217</f>
        <v>81</v>
      </c>
      <c r="D216" s="278">
        <f>'B) D RI'!AR217</f>
        <v>250</v>
      </c>
      <c r="E216" s="285">
        <f>'D) Ecrêtage'!N215</f>
        <v>5658.7408436213982</v>
      </c>
      <c r="F216" s="289">
        <f>'E) Fact soc'!G221</f>
        <v>107951.33927146508</v>
      </c>
      <c r="G216" s="289">
        <f>'H) Péréquation directe'!I226</f>
        <v>-58442.568702602613</v>
      </c>
      <c r="H216" s="289">
        <f>'I) Dépenses thématiques'!O215</f>
        <v>-85147</v>
      </c>
      <c r="I216" s="289">
        <f>'K) Plafonnement aide'!J215</f>
        <v>0</v>
      </c>
      <c r="J216" s="289">
        <f>'J) Plafonnement effort'!I215</f>
        <v>0</v>
      </c>
      <c r="K216" s="289">
        <f>'L) Plafonnement taux'!Q216</f>
        <v>0</v>
      </c>
      <c r="L216" s="401">
        <f t="shared" si="6"/>
        <v>-35638.22943113753</v>
      </c>
      <c r="M216" s="401">
        <f>'M) Police'!O216</f>
        <v>18098.156184530948</v>
      </c>
      <c r="N216" s="401">
        <f t="shared" si="7"/>
        <v>-17540.073246606582</v>
      </c>
    </row>
    <row r="217" spans="1:14" s="279" customFormat="1" x14ac:dyDescent="0.25">
      <c r="A217" s="275">
        <f>'B) D RI'!A218</f>
        <v>5742</v>
      </c>
      <c r="B217" s="276" t="str">
        <f>'B) D RI'!B218</f>
        <v>Agiez</v>
      </c>
      <c r="C217" s="277">
        <f>'B) D RI'!S218</f>
        <v>76</v>
      </c>
      <c r="D217" s="278">
        <f>'B) D RI'!AR218</f>
        <v>297</v>
      </c>
      <c r="E217" s="285">
        <f>'D) Ecrêtage'!N216</f>
        <v>8497.199342105263</v>
      </c>
      <c r="F217" s="289">
        <f>'E) Fact soc'!G222</f>
        <v>158745.13475726717</v>
      </c>
      <c r="G217" s="289">
        <f>'H) Péréquation directe'!I227</f>
        <v>23947.982114261598</v>
      </c>
      <c r="H217" s="289">
        <f>'I) Dépenses thématiques'!O216</f>
        <v>-32209</v>
      </c>
      <c r="I217" s="289">
        <f>'K) Plafonnement aide'!J216</f>
        <v>0</v>
      </c>
      <c r="J217" s="289">
        <f>'J) Plafonnement effort'!I216</f>
        <v>0</v>
      </c>
      <c r="K217" s="289">
        <f>'L) Plafonnement taux'!Q217</f>
        <v>0</v>
      </c>
      <c r="L217" s="401">
        <f t="shared" si="6"/>
        <v>150484.11687152876</v>
      </c>
      <c r="M217" s="401">
        <f>'M) Police'!O217</f>
        <v>27356.644149406071</v>
      </c>
      <c r="N217" s="401">
        <f t="shared" si="7"/>
        <v>177840.76102093485</v>
      </c>
    </row>
    <row r="218" spans="1:14" s="279" customFormat="1" x14ac:dyDescent="0.25">
      <c r="A218" s="275">
        <f>'B) D RI'!A219</f>
        <v>5743</v>
      </c>
      <c r="B218" s="276" t="str">
        <f>'B) D RI'!B219</f>
        <v>Arnex-sur-Orbe</v>
      </c>
      <c r="C218" s="277">
        <f>'B) D RI'!S219</f>
        <v>73</v>
      </c>
      <c r="D218" s="278">
        <f>'B) D RI'!AR219</f>
        <v>615</v>
      </c>
      <c r="E218" s="285">
        <f>'D) Ecrêtage'!N217</f>
        <v>14235.259246575342</v>
      </c>
      <c r="F218" s="289">
        <f>'E) Fact soc'!G223</f>
        <v>279204.23990124575</v>
      </c>
      <c r="G218" s="289">
        <f>'H) Péréquation directe'!I228</f>
        <v>-67304.446134596947</v>
      </c>
      <c r="H218" s="289">
        <f>'I) Dépenses thématiques'!O217</f>
        <v>-73847</v>
      </c>
      <c r="I218" s="289">
        <f>'K) Plafonnement aide'!J217</f>
        <v>0</v>
      </c>
      <c r="J218" s="289">
        <f>'J) Plafonnement effort'!I217</f>
        <v>0</v>
      </c>
      <c r="K218" s="289">
        <f>'L) Plafonnement taux'!Q218</f>
        <v>0</v>
      </c>
      <c r="L218" s="401">
        <f t="shared" si="6"/>
        <v>138052.7937666488</v>
      </c>
      <c r="M218" s="401">
        <f>'M) Police'!O218</f>
        <v>45690.444002637916</v>
      </c>
      <c r="N218" s="401">
        <f t="shared" si="7"/>
        <v>183743.23776928673</v>
      </c>
    </row>
    <row r="219" spans="1:14" s="279" customFormat="1" x14ac:dyDescent="0.25">
      <c r="A219" s="275">
        <f>'B) D RI'!A220</f>
        <v>5744</v>
      </c>
      <c r="B219" s="276" t="str">
        <f>'B) D RI'!B220</f>
        <v>Ballaigues</v>
      </c>
      <c r="C219" s="277">
        <f>'B) D RI'!S220</f>
        <v>66</v>
      </c>
      <c r="D219" s="278">
        <f>'B) D RI'!AR220</f>
        <v>1037</v>
      </c>
      <c r="E219" s="285">
        <f>'D) Ecrêtage'!N218</f>
        <v>81224.419263744261</v>
      </c>
      <c r="F219" s="289">
        <f>'E) Fact soc'!G224</f>
        <v>2755238.9818103854</v>
      </c>
      <c r="G219" s="289">
        <f>'H) Péréquation directe'!I229</f>
        <v>1394242</v>
      </c>
      <c r="H219" s="289">
        <f>'I) Dépenses thématiques'!O218</f>
        <v>-90389</v>
      </c>
      <c r="I219" s="289">
        <f>'K) Plafonnement aide'!J218</f>
        <v>0</v>
      </c>
      <c r="J219" s="289">
        <f>'J) Plafonnement effort'!I218</f>
        <v>0</v>
      </c>
      <c r="K219" s="289">
        <f>'L) Plafonnement taux'!Q219</f>
        <v>0</v>
      </c>
      <c r="L219" s="401">
        <f t="shared" si="6"/>
        <v>4059091.9818103854</v>
      </c>
      <c r="M219" s="401">
        <f>'M) Police'!O219</f>
        <v>198705.90777858114</v>
      </c>
      <c r="N219" s="401">
        <f t="shared" si="7"/>
        <v>4257797.889588967</v>
      </c>
    </row>
    <row r="220" spans="1:14" s="279" customFormat="1" x14ac:dyDescent="0.25">
      <c r="A220" s="275">
        <f>'B) D RI'!A221</f>
        <v>5745</v>
      </c>
      <c r="B220" s="276" t="str">
        <f>'B) D RI'!B221</f>
        <v>Baulmes</v>
      </c>
      <c r="C220" s="277">
        <f>'B) D RI'!S221</f>
        <v>78</v>
      </c>
      <c r="D220" s="278">
        <f>'B) D RI'!AR221</f>
        <v>1019</v>
      </c>
      <c r="E220" s="285">
        <f>'D) Ecrêtage'!N219</f>
        <v>27286.676794871797</v>
      </c>
      <c r="F220" s="289">
        <f>'E) Fact soc'!G225</f>
        <v>489224.07093910809</v>
      </c>
      <c r="G220" s="289">
        <f>'H) Péréquation directe'!I230</f>
        <v>-21439.774884358048</v>
      </c>
      <c r="H220" s="289">
        <f>'I) Dépenses thématiques'!O219</f>
        <v>-202705</v>
      </c>
      <c r="I220" s="289">
        <f>'K) Plafonnement aide'!J219</f>
        <v>0</v>
      </c>
      <c r="J220" s="289">
        <f>'J) Plafonnement effort'!I219</f>
        <v>0</v>
      </c>
      <c r="K220" s="289">
        <f>'L) Plafonnement taux'!Q220</f>
        <v>0</v>
      </c>
      <c r="L220" s="401">
        <f t="shared" si="6"/>
        <v>265079.29605475004</v>
      </c>
      <c r="M220" s="401">
        <f>'M) Police'!O220</f>
        <v>88480.117342861631</v>
      </c>
      <c r="N220" s="401">
        <f t="shared" si="7"/>
        <v>353559.4133976117</v>
      </c>
    </row>
    <row r="221" spans="1:14" s="279" customFormat="1" x14ac:dyDescent="0.25">
      <c r="A221" s="275">
        <f>'B) D RI'!A222</f>
        <v>5746</v>
      </c>
      <c r="B221" s="276" t="str">
        <f>'B) D RI'!B222</f>
        <v>Bavois</v>
      </c>
      <c r="C221" s="277">
        <f>'B) D RI'!S222</f>
        <v>73</v>
      </c>
      <c r="D221" s="278">
        <f>'B) D RI'!AR222</f>
        <v>919</v>
      </c>
      <c r="E221" s="285">
        <f>'D) Ecrêtage'!N220</f>
        <v>24960.640433789951</v>
      </c>
      <c r="F221" s="289">
        <f>'E) Fact soc'!G226</f>
        <v>433054.12275279011</v>
      </c>
      <c r="G221" s="289">
        <f>'H) Péréquation directe'!I231</f>
        <v>46061.296297718654</v>
      </c>
      <c r="H221" s="289">
        <f>'I) Dépenses thématiques'!O220</f>
        <v>-178259</v>
      </c>
      <c r="I221" s="289">
        <f>'K) Plafonnement aide'!J220</f>
        <v>0</v>
      </c>
      <c r="J221" s="289">
        <f>'J) Plafonnement effort'!I220</f>
        <v>0</v>
      </c>
      <c r="K221" s="289">
        <f>'L) Plafonnement taux'!Q221</f>
        <v>0</v>
      </c>
      <c r="L221" s="401">
        <f t="shared" si="6"/>
        <v>300856.41905050876</v>
      </c>
      <c r="M221" s="401">
        <f>'M) Police'!O221</f>
        <v>79578.67078781419</v>
      </c>
      <c r="N221" s="401">
        <f t="shared" si="7"/>
        <v>380435.08983832295</v>
      </c>
    </row>
    <row r="222" spans="1:14" s="279" customFormat="1" x14ac:dyDescent="0.25">
      <c r="A222" s="275">
        <f>'B) D RI'!A223</f>
        <v>5747</v>
      </c>
      <c r="B222" s="276" t="str">
        <f>'B) D RI'!B223</f>
        <v>Bofflens</v>
      </c>
      <c r="C222" s="277">
        <f>'B) D RI'!S223</f>
        <v>69</v>
      </c>
      <c r="D222" s="278">
        <f>'B) D RI'!AR223</f>
        <v>189</v>
      </c>
      <c r="E222" s="285">
        <f>'D) Ecrêtage'!N221</f>
        <v>5444.2446376811595</v>
      </c>
      <c r="F222" s="289">
        <f>'E) Fact soc'!G227</f>
        <v>94963.14803437666</v>
      </c>
      <c r="G222" s="289">
        <f>'H) Péréquation directe'!I232</f>
        <v>28257.445988398758</v>
      </c>
      <c r="H222" s="289">
        <f>'I) Dépenses thématiques'!O221</f>
        <v>0</v>
      </c>
      <c r="I222" s="289">
        <f>'K) Plafonnement aide'!J221</f>
        <v>0</v>
      </c>
      <c r="J222" s="289">
        <f>'J) Plafonnement effort'!I221</f>
        <v>0</v>
      </c>
      <c r="K222" s="289">
        <f>'L) Plafonnement taux'!Q222</f>
        <v>0</v>
      </c>
      <c r="L222" s="401">
        <f t="shared" si="6"/>
        <v>123220.59402277542</v>
      </c>
      <c r="M222" s="401">
        <f>'M) Police'!O222</f>
        <v>17516.15174952049</v>
      </c>
      <c r="N222" s="401">
        <f t="shared" si="7"/>
        <v>140736.74577229592</v>
      </c>
    </row>
    <row r="223" spans="1:14" s="279" customFormat="1" x14ac:dyDescent="0.25">
      <c r="A223" s="275">
        <f>'B) D RI'!A224</f>
        <v>5748</v>
      </c>
      <c r="B223" s="276" t="str">
        <f>'B) D RI'!B224</f>
        <v>Bretonnières</v>
      </c>
      <c r="C223" s="277">
        <f>'B) D RI'!S224</f>
        <v>70</v>
      </c>
      <c r="D223" s="278">
        <f>'B) D RI'!AR224</f>
        <v>236</v>
      </c>
      <c r="E223" s="285">
        <f>'D) Ecrêtage'!N222</f>
        <v>4853.6245714285715</v>
      </c>
      <c r="F223" s="289">
        <f>'E) Fact soc'!G228</f>
        <v>93529.01155598255</v>
      </c>
      <c r="G223" s="289">
        <f>'H) Péréquation directe'!I233</f>
        <v>-40658.454003516468</v>
      </c>
      <c r="H223" s="289">
        <f>'I) Dépenses thématiques'!O222</f>
        <v>-50376</v>
      </c>
      <c r="I223" s="289">
        <f>'K) Plafonnement aide'!J222</f>
        <v>0</v>
      </c>
      <c r="J223" s="289">
        <f>'J) Plafonnement effort'!I222</f>
        <v>0</v>
      </c>
      <c r="K223" s="289">
        <f>'L) Plafonnement taux'!Q223</f>
        <v>0</v>
      </c>
      <c r="L223" s="401">
        <f t="shared" si="6"/>
        <v>2494.5575524660817</v>
      </c>
      <c r="M223" s="401">
        <f>'M) Police'!O223</f>
        <v>15399.209503099417</v>
      </c>
      <c r="N223" s="401">
        <f t="shared" si="7"/>
        <v>17893.767055565499</v>
      </c>
    </row>
    <row r="224" spans="1:14" s="279" customFormat="1" x14ac:dyDescent="0.25">
      <c r="A224" s="275">
        <f>'B) D RI'!A225</f>
        <v>5749</v>
      </c>
      <c r="B224" s="276" t="str">
        <f>'B) D RI'!B225</f>
        <v>Chavornay</v>
      </c>
      <c r="C224" s="277">
        <f>'B) D RI'!S225</f>
        <v>72</v>
      </c>
      <c r="D224" s="278">
        <f>'B) D RI'!AR225</f>
        <v>4050</v>
      </c>
      <c r="E224" s="285">
        <f>'D) Ecrêtage'!N223</f>
        <v>122489.22791666667</v>
      </c>
      <c r="F224" s="289">
        <f>'E) Fact soc'!G229</f>
        <v>2325736.5270008072</v>
      </c>
      <c r="G224" s="289">
        <f>'H) Péréquation directe'!I234</f>
        <v>-188772.86254245648</v>
      </c>
      <c r="H224" s="289">
        <f>'I) Dépenses thématiques'!O223</f>
        <v>-195992</v>
      </c>
      <c r="I224" s="289">
        <f>'K) Plafonnement aide'!J223</f>
        <v>0</v>
      </c>
      <c r="J224" s="289">
        <f>'J) Plafonnement effort'!I223</f>
        <v>0</v>
      </c>
      <c r="K224" s="289">
        <f>'L) Plafonnement taux'!Q224</f>
        <v>0</v>
      </c>
      <c r="L224" s="401">
        <f t="shared" si="6"/>
        <v>1940971.6644583507</v>
      </c>
      <c r="M224" s="401">
        <f>'M) Police'!O224</f>
        <v>394391.08793041285</v>
      </c>
      <c r="N224" s="401">
        <f t="shared" si="7"/>
        <v>2335362.7523887637</v>
      </c>
    </row>
    <row r="225" spans="1:14" s="279" customFormat="1" x14ac:dyDescent="0.25">
      <c r="A225" s="275">
        <f>'B) D RI'!A226</f>
        <v>5750</v>
      </c>
      <c r="B225" s="276" t="str">
        <f>'B) D RI'!B226</f>
        <v>Les Clées</v>
      </c>
      <c r="C225" s="277">
        <f>'B) D RI'!S226</f>
        <v>80</v>
      </c>
      <c r="D225" s="278">
        <f>'B) D RI'!AR226</f>
        <v>176</v>
      </c>
      <c r="E225" s="285">
        <f>'D) Ecrêtage'!N224</f>
        <v>4745.5921666666673</v>
      </c>
      <c r="F225" s="289">
        <f>'E) Fact soc'!G230</f>
        <v>73149.989505870049</v>
      </c>
      <c r="G225" s="289">
        <f>'H) Péréquation directe'!I235</f>
        <v>-5221.8046145132685</v>
      </c>
      <c r="H225" s="289">
        <f>'I) Dépenses thématiques'!O224</f>
        <v>-24733</v>
      </c>
      <c r="I225" s="289">
        <f>'K) Plafonnement aide'!J224</f>
        <v>0</v>
      </c>
      <c r="J225" s="289">
        <f>'J) Plafonnement effort'!I224</f>
        <v>0</v>
      </c>
      <c r="K225" s="289">
        <f>'L) Plafonnement taux'!Q225</f>
        <v>0</v>
      </c>
      <c r="L225" s="401">
        <f t="shared" si="6"/>
        <v>43195.184891356781</v>
      </c>
      <c r="M225" s="401">
        <f>'M) Police'!O225</f>
        <v>15399.531698981027</v>
      </c>
      <c r="N225" s="401">
        <f t="shared" si="7"/>
        <v>58594.716590337805</v>
      </c>
    </row>
    <row r="226" spans="1:14" s="279" customFormat="1" x14ac:dyDescent="0.25">
      <c r="A226" s="275">
        <f>'B) D RI'!A227</f>
        <v>5751</v>
      </c>
      <c r="B226" s="276" t="str">
        <f>'B) D RI'!B227</f>
        <v>Corcelles-sur-Chavornay</v>
      </c>
      <c r="C226" s="277">
        <f>'B) D RI'!S227</f>
        <v>76</v>
      </c>
      <c r="D226" s="278">
        <f>'B) D RI'!AR227</f>
        <v>330</v>
      </c>
      <c r="E226" s="285">
        <f>'D) Ecrêtage'!N225</f>
        <v>8378.5938157894743</v>
      </c>
      <c r="F226" s="289">
        <f>'E) Fact soc'!G231</f>
        <v>165456.86696579074</v>
      </c>
      <c r="G226" s="289">
        <f>'H) Péréquation directe'!I236</f>
        <v>-17526.514029181009</v>
      </c>
      <c r="H226" s="289">
        <f>'I) Dépenses thématiques'!O225</f>
        <v>-49319</v>
      </c>
      <c r="I226" s="289">
        <f>'K) Plafonnement aide'!J225</f>
        <v>0</v>
      </c>
      <c r="J226" s="289">
        <f>'J) Plafonnement effort'!I225</f>
        <v>0</v>
      </c>
      <c r="K226" s="289">
        <f>'L) Plafonnement taux'!Q226</f>
        <v>0</v>
      </c>
      <c r="L226" s="401">
        <f t="shared" si="6"/>
        <v>98611.352936609735</v>
      </c>
      <c r="M226" s="401">
        <f>'M) Police'!O226</f>
        <v>11310.009257824275</v>
      </c>
      <c r="N226" s="401">
        <f t="shared" si="7"/>
        <v>109921.36219443401</v>
      </c>
    </row>
    <row r="227" spans="1:14" s="279" customFormat="1" x14ac:dyDescent="0.25">
      <c r="A227" s="275">
        <f>'B) D RI'!A228</f>
        <v>5752</v>
      </c>
      <c r="B227" s="276" t="str">
        <f>'B) D RI'!B228</f>
        <v>Croy</v>
      </c>
      <c r="C227" s="277">
        <f>'B) D RI'!S228</f>
        <v>74</v>
      </c>
      <c r="D227" s="278">
        <f>'B) D RI'!AR228</f>
        <v>321</v>
      </c>
      <c r="E227" s="285">
        <f>'D) Ecrêtage'!N226</f>
        <v>8127.3322007722018</v>
      </c>
      <c r="F227" s="289">
        <f>'E) Fact soc'!G232</f>
        <v>134406.81933073595</v>
      </c>
      <c r="G227" s="289">
        <f>'H) Péréquation directe'!I237</f>
        <v>-10892.898736639007</v>
      </c>
      <c r="H227" s="289">
        <f>'I) Dépenses thématiques'!O226</f>
        <v>-44812</v>
      </c>
      <c r="I227" s="289">
        <f>'K) Plafonnement aide'!J226</f>
        <v>0</v>
      </c>
      <c r="J227" s="289">
        <f>'J) Plafonnement effort'!I226</f>
        <v>0</v>
      </c>
      <c r="K227" s="289">
        <f>'L) Plafonnement taux'!Q227</f>
        <v>0</v>
      </c>
      <c r="L227" s="401">
        <f t="shared" ref="L227:L273" si="8">F227+G227+H227+I227+J227+K227</f>
        <v>78701.92059409694</v>
      </c>
      <c r="M227" s="401">
        <f>'M) Police'!O227</f>
        <v>26116.345323299793</v>
      </c>
      <c r="N227" s="401">
        <f t="shared" si="7"/>
        <v>104818.26591739673</v>
      </c>
    </row>
    <row r="228" spans="1:14" s="279" customFormat="1" x14ac:dyDescent="0.25">
      <c r="A228" s="275">
        <f>'B) D RI'!A229</f>
        <v>5754</v>
      </c>
      <c r="B228" s="276" t="str">
        <f>'B) D RI'!B229</f>
        <v>Juriens</v>
      </c>
      <c r="C228" s="277">
        <f>'B) D RI'!S229</f>
        <v>79</v>
      </c>
      <c r="D228" s="278">
        <f>'B) D RI'!AR229</f>
        <v>307</v>
      </c>
      <c r="E228" s="285">
        <f>'D) Ecrêtage'!N227</f>
        <v>6779.1981012658243</v>
      </c>
      <c r="F228" s="289">
        <f>'E) Fact soc'!G233</f>
        <v>103536.16138158643</v>
      </c>
      <c r="G228" s="289">
        <f>'H) Péréquation directe'!I238</f>
        <v>-70838.599466247601</v>
      </c>
      <c r="H228" s="289">
        <f>'I) Dépenses thématiques'!O227</f>
        <v>-52852</v>
      </c>
      <c r="I228" s="289">
        <f>'K) Plafonnement aide'!J227</f>
        <v>0</v>
      </c>
      <c r="J228" s="289">
        <f>'J) Plafonnement effort'!I227</f>
        <v>0</v>
      </c>
      <c r="K228" s="289">
        <f>'L) Plafonnement taux'!Q228</f>
        <v>0</v>
      </c>
      <c r="L228" s="401">
        <f t="shared" si="8"/>
        <v>-20154.438084661175</v>
      </c>
      <c r="M228" s="401">
        <f>'M) Police'!O228</f>
        <v>21830.505722884263</v>
      </c>
      <c r="N228" s="401">
        <f t="shared" si="7"/>
        <v>1676.0676382230886</v>
      </c>
    </row>
    <row r="229" spans="1:14" s="279" customFormat="1" x14ac:dyDescent="0.25">
      <c r="A229" s="275">
        <f>'B) D RI'!A230</f>
        <v>5755</v>
      </c>
      <c r="B229" s="276" t="str">
        <f>'B) D RI'!B230</f>
        <v>Lignerolle</v>
      </c>
      <c r="C229" s="277">
        <f>'B) D RI'!S230</f>
        <v>81</v>
      </c>
      <c r="D229" s="278">
        <f>'B) D RI'!AR230</f>
        <v>391</v>
      </c>
      <c r="E229" s="285">
        <f>'D) Ecrêtage'!N228</f>
        <v>8994.3248324514989</v>
      </c>
      <c r="F229" s="289">
        <f>'E) Fact soc'!G234</f>
        <v>176774.47080141999</v>
      </c>
      <c r="G229" s="289">
        <f>'H) Péréquation directe'!I239</f>
        <v>-84971.615241873893</v>
      </c>
      <c r="H229" s="289">
        <f>'I) Dépenses thématiques'!O228</f>
        <v>-93975</v>
      </c>
      <c r="I229" s="289">
        <f>'K) Plafonnement aide'!J228</f>
        <v>0</v>
      </c>
      <c r="J229" s="289">
        <f>'J) Plafonnement effort'!I228</f>
        <v>0</v>
      </c>
      <c r="K229" s="289">
        <f>'L) Plafonnement taux'!Q229</f>
        <v>0</v>
      </c>
      <c r="L229" s="401">
        <f t="shared" si="8"/>
        <v>-2172.144440453907</v>
      </c>
      <c r="M229" s="401">
        <f>'M) Police'!O229</f>
        <v>28958.702641987835</v>
      </c>
      <c r="N229" s="401">
        <f t="shared" si="7"/>
        <v>26786.558201533928</v>
      </c>
    </row>
    <row r="230" spans="1:14" s="279" customFormat="1" x14ac:dyDescent="0.25">
      <c r="A230" s="275">
        <f>'B) D RI'!A231</f>
        <v>5756</v>
      </c>
      <c r="B230" s="276" t="str">
        <f>'B) D RI'!B231</f>
        <v>Montcherand</v>
      </c>
      <c r="C230" s="277">
        <f>'B) D RI'!S231</f>
        <v>69</v>
      </c>
      <c r="D230" s="278">
        <f>'B) D RI'!AR231</f>
        <v>471</v>
      </c>
      <c r="E230" s="285">
        <f>'D) Ecrêtage'!N229</f>
        <v>15693.326135265701</v>
      </c>
      <c r="F230" s="289">
        <f>'E) Fact soc'!G235</f>
        <v>272507.59336736694</v>
      </c>
      <c r="G230" s="289">
        <f>'H) Péréquation directe'!I240</f>
        <v>150125.55963913025</v>
      </c>
      <c r="H230" s="289">
        <f>'I) Dépenses thématiques'!O229</f>
        <v>-36705</v>
      </c>
      <c r="I230" s="289">
        <f>'K) Plafonnement aide'!J229</f>
        <v>0</v>
      </c>
      <c r="J230" s="289">
        <f>'J) Plafonnement effort'!I229</f>
        <v>0</v>
      </c>
      <c r="K230" s="289">
        <f>'L) Plafonnement taux'!Q230</f>
        <v>0</v>
      </c>
      <c r="L230" s="401">
        <f t="shared" si="8"/>
        <v>385928.15300649719</v>
      </c>
      <c r="M230" s="401">
        <f>'M) Police'!O230</f>
        <v>21183.94420092634</v>
      </c>
      <c r="N230" s="401">
        <f t="shared" si="7"/>
        <v>407112.09720742353</v>
      </c>
    </row>
    <row r="231" spans="1:14" s="279" customFormat="1" x14ac:dyDescent="0.25">
      <c r="A231" s="275">
        <f>'B) D RI'!A232</f>
        <v>5757</v>
      </c>
      <c r="B231" s="276" t="str">
        <f>'B) D RI'!B232</f>
        <v>Orbe</v>
      </c>
      <c r="C231" s="277">
        <f>'B) D RI'!S232</f>
        <v>69</v>
      </c>
      <c r="D231" s="278">
        <f>'B) D RI'!AR232</f>
        <v>6738</v>
      </c>
      <c r="E231" s="285">
        <f>'D) Ecrêtage'!N230</f>
        <v>203617.2094202899</v>
      </c>
      <c r="F231" s="289">
        <f>'E) Fact soc'!G236</f>
        <v>4141308.5828181598</v>
      </c>
      <c r="G231" s="289">
        <f>'H) Péréquation directe'!I241</f>
        <v>-804468.04280690756</v>
      </c>
      <c r="H231" s="289">
        <f>'I) Dépenses thématiques'!O230</f>
        <v>-1243233</v>
      </c>
      <c r="I231" s="289">
        <f>'K) Plafonnement aide'!J230</f>
        <v>0</v>
      </c>
      <c r="J231" s="289">
        <f>'J) Plafonnement effort'!I230</f>
        <v>0</v>
      </c>
      <c r="K231" s="289">
        <f>'L) Plafonnement taux'!Q231</f>
        <v>0</v>
      </c>
      <c r="L231" s="401">
        <f t="shared" si="8"/>
        <v>2093607.5400112523</v>
      </c>
      <c r="M231" s="401">
        <f>'M) Police'!O231</f>
        <v>274856.68528959842</v>
      </c>
      <c r="N231" s="401">
        <f t="shared" si="7"/>
        <v>2368464.2253008508</v>
      </c>
    </row>
    <row r="232" spans="1:14" s="279" customFormat="1" x14ac:dyDescent="0.25">
      <c r="A232" s="275">
        <f>'B) D RI'!A233</f>
        <v>5758</v>
      </c>
      <c r="B232" s="276" t="str">
        <f>'B) D RI'!B233</f>
        <v>La Praz</v>
      </c>
      <c r="C232" s="277">
        <f>'B) D RI'!S233</f>
        <v>83</v>
      </c>
      <c r="D232" s="278">
        <f>'B) D RI'!AR233</f>
        <v>156</v>
      </c>
      <c r="E232" s="285">
        <f>'D) Ecrêtage'!N231</f>
        <v>3854.1398125836677</v>
      </c>
      <c r="F232" s="289">
        <f>'E) Fact soc'!G237</f>
        <v>69554.034523738228</v>
      </c>
      <c r="G232" s="289">
        <f>'H) Péréquation directe'!I242</f>
        <v>-25939.100512881836</v>
      </c>
      <c r="H232" s="289">
        <f>'I) Dépenses thématiques'!O231</f>
        <v>-13633</v>
      </c>
      <c r="I232" s="289">
        <f>'K) Plafonnement aide'!J231</f>
        <v>0</v>
      </c>
      <c r="J232" s="289">
        <f>'J) Plafonnement effort'!I231</f>
        <v>0</v>
      </c>
      <c r="K232" s="289">
        <f>'L) Plafonnement taux'!Q232</f>
        <v>-22091.458427185396</v>
      </c>
      <c r="L232" s="401">
        <f t="shared" si="8"/>
        <v>7890.4755836709955</v>
      </c>
      <c r="M232" s="401">
        <f>'M) Police'!O232</f>
        <v>12416.794922420255</v>
      </c>
      <c r="N232" s="401">
        <f t="shared" si="7"/>
        <v>20307.270506091249</v>
      </c>
    </row>
    <row r="233" spans="1:14" s="279" customFormat="1" x14ac:dyDescent="0.25">
      <c r="A233" s="275">
        <f>'B) D RI'!A234</f>
        <v>5759</v>
      </c>
      <c r="B233" s="276" t="str">
        <f>'B) D RI'!B234</f>
        <v>Premier</v>
      </c>
      <c r="C233" s="277">
        <f>'B) D RI'!S234</f>
        <v>81</v>
      </c>
      <c r="D233" s="278">
        <f>'B) D RI'!AR234</f>
        <v>182</v>
      </c>
      <c r="E233" s="285">
        <f>'D) Ecrêtage'!N232</f>
        <v>3885.6082716049386</v>
      </c>
      <c r="F233" s="289">
        <f>'E) Fact soc'!G238</f>
        <v>71323.841938520258</v>
      </c>
      <c r="G233" s="289">
        <f>'H) Péréquation directe'!I243</f>
        <v>-52992.692988449751</v>
      </c>
      <c r="H233" s="289">
        <f>'I) Dépenses thématiques'!O232</f>
        <v>-32969</v>
      </c>
      <c r="I233" s="289">
        <f>'K) Plafonnement aide'!J232</f>
        <v>0</v>
      </c>
      <c r="J233" s="289">
        <f>'J) Plafonnement effort'!I232</f>
        <v>0</v>
      </c>
      <c r="K233" s="289">
        <f>'L) Plafonnement taux'!Q233</f>
        <v>0</v>
      </c>
      <c r="L233" s="401">
        <f t="shared" si="8"/>
        <v>-14637.851049929493</v>
      </c>
      <c r="M233" s="401">
        <f>'M) Police'!O233</f>
        <v>12394.520613953639</v>
      </c>
      <c r="N233" s="401">
        <f t="shared" si="7"/>
        <v>-2243.3304359758549</v>
      </c>
    </row>
    <row r="234" spans="1:14" s="279" customFormat="1" x14ac:dyDescent="0.25">
      <c r="A234" s="275">
        <f>'B) D RI'!A235</f>
        <v>5760</v>
      </c>
      <c r="B234" s="276" t="str">
        <f>'B) D RI'!B235</f>
        <v>Rances</v>
      </c>
      <c r="C234" s="277">
        <f>'B) D RI'!S235</f>
        <v>78</v>
      </c>
      <c r="D234" s="278">
        <f>'B) D RI'!AR235</f>
        <v>436</v>
      </c>
      <c r="E234" s="285">
        <f>'D) Ecrêtage'!N233</f>
        <v>11324.841153846155</v>
      </c>
      <c r="F234" s="289">
        <f>'E) Fact soc'!G239</f>
        <v>197525.77822592444</v>
      </c>
      <c r="G234" s="289">
        <f>'H) Péréquation directe'!I244</f>
        <v>-22118.676768388919</v>
      </c>
      <c r="H234" s="289">
        <f>'I) Dépenses thématiques'!O233</f>
        <v>-84644</v>
      </c>
      <c r="I234" s="289">
        <f>'K) Plafonnement aide'!J233</f>
        <v>0</v>
      </c>
      <c r="J234" s="289">
        <f>'J) Plafonnement effort'!I233</f>
        <v>0</v>
      </c>
      <c r="K234" s="289">
        <f>'L) Plafonnement taux'!Q234</f>
        <v>0</v>
      </c>
      <c r="L234" s="401">
        <f t="shared" si="8"/>
        <v>90763.101457535522</v>
      </c>
      <c r="M234" s="401">
        <f>'M) Police'!O234</f>
        <v>36376.200317186122</v>
      </c>
      <c r="N234" s="401">
        <f t="shared" si="7"/>
        <v>127139.30177472165</v>
      </c>
    </row>
    <row r="235" spans="1:14" s="279" customFormat="1" x14ac:dyDescent="0.25">
      <c r="A235" s="275">
        <f>'B) D RI'!A236</f>
        <v>5761</v>
      </c>
      <c r="B235" s="276" t="str">
        <f>'B) D RI'!B236</f>
        <v>Romainmôtier-Envy</v>
      </c>
      <c r="C235" s="277">
        <f>'B) D RI'!S236</f>
        <v>76</v>
      </c>
      <c r="D235" s="278">
        <f>'B) D RI'!AR236</f>
        <v>527</v>
      </c>
      <c r="E235" s="285">
        <f>'D) Ecrêtage'!N234</f>
        <v>12066.350855263157</v>
      </c>
      <c r="F235" s="289">
        <f>'E) Fact soc'!G240</f>
        <v>226225.724844018</v>
      </c>
      <c r="G235" s="289">
        <f>'H) Péréquation directe'!I245</f>
        <v>-82559.19306640845</v>
      </c>
      <c r="H235" s="289">
        <f>'I) Dépenses thématiques'!O234</f>
        <v>-50985</v>
      </c>
      <c r="I235" s="289">
        <f>'K) Plafonnement aide'!J234</f>
        <v>0</v>
      </c>
      <c r="J235" s="289">
        <f>'J) Plafonnement effort'!I234</f>
        <v>0</v>
      </c>
      <c r="K235" s="289">
        <f>'L) Plafonnement taux'!Q235</f>
        <v>0</v>
      </c>
      <c r="L235" s="401">
        <f t="shared" si="8"/>
        <v>92681.531777609547</v>
      </c>
      <c r="M235" s="401">
        <f>'M) Police'!O235</f>
        <v>38592.988349419727</v>
      </c>
      <c r="N235" s="401">
        <f t="shared" si="7"/>
        <v>131274.52012702927</v>
      </c>
    </row>
    <row r="236" spans="1:14" s="279" customFormat="1" x14ac:dyDescent="0.25">
      <c r="A236" s="275">
        <f>'B) D RI'!A237</f>
        <v>5762</v>
      </c>
      <c r="B236" s="276" t="str">
        <f>'B) D RI'!B237</f>
        <v>Sergey</v>
      </c>
      <c r="C236" s="277">
        <f>'B) D RI'!S237</f>
        <v>81</v>
      </c>
      <c r="D236" s="278">
        <f>'B) D RI'!AR237</f>
        <v>145</v>
      </c>
      <c r="E236" s="285">
        <f>'D) Ecrêtage'!N235</f>
        <v>4226.1104938271601</v>
      </c>
      <c r="F236" s="289">
        <f>'E) Fact soc'!G241</f>
        <v>67753.197208198719</v>
      </c>
      <c r="G236" s="289">
        <f>'H) Péréquation directe'!I246</f>
        <v>8256.3706017910736</v>
      </c>
      <c r="H236" s="289">
        <f>'I) Dépenses thématiques'!O235</f>
        <v>-24017</v>
      </c>
      <c r="I236" s="289">
        <f>'K) Plafonnement aide'!J235</f>
        <v>0</v>
      </c>
      <c r="J236" s="289">
        <f>'J) Plafonnement effort'!I235</f>
        <v>0</v>
      </c>
      <c r="K236" s="289">
        <f>'L) Plafonnement taux'!Q236</f>
        <v>-34888.345782683231</v>
      </c>
      <c r="L236" s="401">
        <f t="shared" si="8"/>
        <v>17104.222027306561</v>
      </c>
      <c r="M236" s="401">
        <f>'M) Police'!O236</f>
        <v>13709.163602297602</v>
      </c>
      <c r="N236" s="401">
        <f t="shared" si="7"/>
        <v>30813.385629604163</v>
      </c>
    </row>
    <row r="237" spans="1:14" s="279" customFormat="1" x14ac:dyDescent="0.25">
      <c r="A237" s="275">
        <f>'B) D RI'!A238</f>
        <v>5763</v>
      </c>
      <c r="B237" s="276" t="str">
        <f>'B) D RI'!B238</f>
        <v>Valeyres-sous-Rances</v>
      </c>
      <c r="C237" s="277">
        <f>'B) D RI'!S238</f>
        <v>68</v>
      </c>
      <c r="D237" s="278">
        <f>'B) D RI'!AR238</f>
        <v>584</v>
      </c>
      <c r="E237" s="285">
        <f>'D) Ecrêtage'!N236</f>
        <v>15753.099264705883</v>
      </c>
      <c r="F237" s="289">
        <f>'E) Fact soc'!G242</f>
        <v>304254.06444618973</v>
      </c>
      <c r="G237" s="289">
        <f>'H) Péréquation directe'!I247</f>
        <v>52593.872540379554</v>
      </c>
      <c r="H237" s="289">
        <f>'I) Dépenses thématiques'!O236</f>
        <v>-97153</v>
      </c>
      <c r="I237" s="289">
        <f>'K) Plafonnement aide'!J236</f>
        <v>0</v>
      </c>
      <c r="J237" s="289">
        <f>'J) Plafonnement effort'!I236</f>
        <v>0</v>
      </c>
      <c r="K237" s="289">
        <f>'L) Plafonnement taux'!Q237</f>
        <v>0</v>
      </c>
      <c r="L237" s="401">
        <f t="shared" si="8"/>
        <v>259694.93698656932</v>
      </c>
      <c r="M237" s="401">
        <f>'M) Police'!O237</f>
        <v>50471.838956033389</v>
      </c>
      <c r="N237" s="401">
        <f t="shared" si="7"/>
        <v>310166.77594260272</v>
      </c>
    </row>
    <row r="238" spans="1:14" s="279" customFormat="1" x14ac:dyDescent="0.25">
      <c r="A238" s="275">
        <f>'B) D RI'!A239</f>
        <v>5764</v>
      </c>
      <c r="B238" s="276" t="str">
        <f>'B) D RI'!B239</f>
        <v>Vallorbe</v>
      </c>
      <c r="C238" s="277">
        <f>'B) D RI'!S239</f>
        <v>74</v>
      </c>
      <c r="D238" s="278">
        <f>'B) D RI'!AR239</f>
        <v>3569</v>
      </c>
      <c r="E238" s="285">
        <f>'D) Ecrêtage'!N237</f>
        <v>79459.361216216217</v>
      </c>
      <c r="F238" s="289">
        <f>'E) Fact soc'!G243</f>
        <v>1986516.7381812087</v>
      </c>
      <c r="G238" s="289">
        <f>'H) Péréquation directe'!I248</f>
        <v>-1288517.7458939627</v>
      </c>
      <c r="H238" s="289">
        <f>'I) Dépenses thématiques'!O237</f>
        <v>-1449807</v>
      </c>
      <c r="I238" s="289">
        <f>'K) Plafonnement aide'!J237</f>
        <v>0</v>
      </c>
      <c r="J238" s="289">
        <f>'J) Plafonnement effort'!I237</f>
        <v>0</v>
      </c>
      <c r="K238" s="289">
        <f>'L) Plafonnement taux'!Q238</f>
        <v>0</v>
      </c>
      <c r="L238" s="401">
        <f t="shared" si="8"/>
        <v>-751808.00771275396</v>
      </c>
      <c r="M238" s="401">
        <f>'M) Police'!O238</f>
        <v>255799.17455892602</v>
      </c>
      <c r="N238" s="401">
        <f t="shared" si="7"/>
        <v>-496008.83315382793</v>
      </c>
    </row>
    <row r="239" spans="1:14" s="279" customFormat="1" x14ac:dyDescent="0.25">
      <c r="A239" s="275">
        <f>'B) D RI'!A240</f>
        <v>5765</v>
      </c>
      <c r="B239" s="276" t="str">
        <f>'B) D RI'!B240</f>
        <v>Vaulion</v>
      </c>
      <c r="C239" s="277">
        <f>'B) D RI'!S240</f>
        <v>81</v>
      </c>
      <c r="D239" s="278">
        <f>'B) D RI'!AR240</f>
        <v>483</v>
      </c>
      <c r="E239" s="285">
        <f>'D) Ecrêtage'!N238</f>
        <v>10213.279999999997</v>
      </c>
      <c r="F239" s="289">
        <f>'E) Fact soc'!G244</f>
        <v>191463.54601729324</v>
      </c>
      <c r="G239" s="289">
        <f>'H) Péréquation directe'!I249</f>
        <v>-145033.57694781758</v>
      </c>
      <c r="H239" s="289">
        <f>'I) Dépenses thématiques'!O238</f>
        <v>-180385</v>
      </c>
      <c r="I239" s="289">
        <f>'K) Plafonnement aide'!J238</f>
        <v>0</v>
      </c>
      <c r="J239" s="289">
        <f>'J) Plafonnement effort'!I238</f>
        <v>0</v>
      </c>
      <c r="K239" s="289">
        <f>'L) Plafonnement taux'!Q239</f>
        <v>0</v>
      </c>
      <c r="L239" s="401">
        <f t="shared" si="8"/>
        <v>-133955.03093052434</v>
      </c>
      <c r="M239" s="401">
        <f>'M) Police'!O239</f>
        <v>32876.465043756754</v>
      </c>
      <c r="N239" s="401">
        <f t="shared" si="7"/>
        <v>-101078.56588676758</v>
      </c>
    </row>
    <row r="240" spans="1:14" s="279" customFormat="1" x14ac:dyDescent="0.25">
      <c r="A240" s="275">
        <f>'B) D RI'!A241</f>
        <v>5766</v>
      </c>
      <c r="B240" s="276" t="str">
        <f>'B) D RI'!B241</f>
        <v>Vuiteboeuf</v>
      </c>
      <c r="C240" s="277">
        <f>'B) D RI'!S241</f>
        <v>77</v>
      </c>
      <c r="D240" s="278">
        <f>'B) D RI'!AR241</f>
        <v>516</v>
      </c>
      <c r="E240" s="285">
        <f>'D) Ecrêtage'!N239</f>
        <v>13186.718497217067</v>
      </c>
      <c r="F240" s="289">
        <f>'E) Fact soc'!G245</f>
        <v>218429.47692564473</v>
      </c>
      <c r="G240" s="289">
        <f>'H) Péréquation directe'!I250</f>
        <v>-29594.670737470326</v>
      </c>
      <c r="H240" s="289">
        <f>'I) Dépenses thématiques'!O239</f>
        <v>-41622</v>
      </c>
      <c r="I240" s="289">
        <f>'K) Plafonnement aide'!J239</f>
        <v>0</v>
      </c>
      <c r="J240" s="289">
        <f>'J) Plafonnement effort'!I239</f>
        <v>0</v>
      </c>
      <c r="K240" s="289">
        <f>'L) Plafonnement taux'!Q240</f>
        <v>0</v>
      </c>
      <c r="L240" s="401">
        <f t="shared" si="8"/>
        <v>147212.80618817441</v>
      </c>
      <c r="M240" s="401">
        <f>'M) Police'!O240</f>
        <v>42328.236672825748</v>
      </c>
      <c r="N240" s="401">
        <f t="shared" si="7"/>
        <v>189541.04286100017</v>
      </c>
    </row>
    <row r="241" spans="1:14" s="279" customFormat="1" x14ac:dyDescent="0.25">
      <c r="A241" s="275">
        <f>'B) D RI'!A242</f>
        <v>5782</v>
      </c>
      <c r="B241" s="276" t="str">
        <f>'B) D RI'!B242</f>
        <v>Carrouge</v>
      </c>
      <c r="C241" s="277">
        <f>'B) D RI'!S242</f>
        <v>75</v>
      </c>
      <c r="D241" s="278">
        <f>'B) D RI'!AR242</f>
        <v>1103</v>
      </c>
      <c r="E241" s="285">
        <f>'D) Ecrêtage'!N240</f>
        <v>30558.004133333339</v>
      </c>
      <c r="F241" s="289">
        <f>'E) Fact soc'!G246</f>
        <v>525219.92450594832</v>
      </c>
      <c r="G241" s="289">
        <f>'H) Péréquation directe'!I251</f>
        <v>32402.671119988896</v>
      </c>
      <c r="H241" s="289">
        <f>'I) Dépenses thématiques'!O240</f>
        <v>-129877</v>
      </c>
      <c r="I241" s="289">
        <f>'K) Plafonnement aide'!J240</f>
        <v>0</v>
      </c>
      <c r="J241" s="289">
        <f>'J) Plafonnement effort'!I240</f>
        <v>0</v>
      </c>
      <c r="K241" s="289">
        <f>'L) Plafonnement taux'!Q241</f>
        <v>0</v>
      </c>
      <c r="L241" s="401">
        <f t="shared" si="8"/>
        <v>427745.59562593722</v>
      </c>
      <c r="M241" s="401">
        <f>'M) Police'!O241</f>
        <v>97763.711055030726</v>
      </c>
      <c r="N241" s="401">
        <f t="shared" si="7"/>
        <v>525509.30668096791</v>
      </c>
    </row>
    <row r="242" spans="1:14" s="279" customFormat="1" x14ac:dyDescent="0.25">
      <c r="A242" s="275">
        <f>'B) D RI'!A243</f>
        <v>5785</v>
      </c>
      <c r="B242" s="276" t="str">
        <f>'B) D RI'!B243</f>
        <v>Corcelles-le-Jorat</v>
      </c>
      <c r="C242" s="277">
        <f>'B) D RI'!S243</f>
        <v>79</v>
      </c>
      <c r="D242" s="278">
        <f>'B) D RI'!AR243</f>
        <v>443</v>
      </c>
      <c r="E242" s="285">
        <f>'D) Ecrêtage'!N241</f>
        <v>15220.93759493671</v>
      </c>
      <c r="F242" s="289">
        <f>'E) Fact soc'!G247</f>
        <v>267166.9648321179</v>
      </c>
      <c r="G242" s="289">
        <f>'H) Péréquation directe'!I252</f>
        <v>133701.39128645579</v>
      </c>
      <c r="H242" s="289">
        <f>'I) Dépenses thématiques'!O241</f>
        <v>-61948</v>
      </c>
      <c r="I242" s="289">
        <f>'K) Plafonnement aide'!J241</f>
        <v>0</v>
      </c>
      <c r="J242" s="289">
        <f>'J) Plafonnement effort'!I241</f>
        <v>0</v>
      </c>
      <c r="K242" s="289">
        <f>'L) Plafonnement taux'!Q242</f>
        <v>0</v>
      </c>
      <c r="L242" s="401">
        <f t="shared" si="8"/>
        <v>338920.35611857369</v>
      </c>
      <c r="M242" s="401">
        <f>'M) Police'!O242</f>
        <v>49382.090628161888</v>
      </c>
      <c r="N242" s="401">
        <f t="shared" si="7"/>
        <v>388302.4467467356</v>
      </c>
    </row>
    <row r="243" spans="1:14" s="279" customFormat="1" x14ac:dyDescent="0.25">
      <c r="A243" s="275">
        <f>'B) D RI'!A244</f>
        <v>5788</v>
      </c>
      <c r="B243" s="276" t="str">
        <f>'B) D RI'!B244</f>
        <v>Essertes</v>
      </c>
      <c r="C243" s="277">
        <f>'B) D RI'!S244</f>
        <v>70</v>
      </c>
      <c r="D243" s="278">
        <f>'B) D RI'!AR244</f>
        <v>330</v>
      </c>
      <c r="E243" s="285">
        <f>'D) Ecrêtage'!N242</f>
        <v>9308.1854285714289</v>
      </c>
      <c r="F243" s="289">
        <f>'E) Fact soc'!G248</f>
        <v>142124.05664020067</v>
      </c>
      <c r="G243" s="289">
        <f>'H) Péréquation directe'!I253</f>
        <v>39073.275722406863</v>
      </c>
      <c r="H243" s="289">
        <f>'I) Dépenses thématiques'!O242</f>
        <v>-28291</v>
      </c>
      <c r="I243" s="289">
        <f>'K) Plafonnement aide'!J242</f>
        <v>0</v>
      </c>
      <c r="J243" s="289">
        <f>'J) Plafonnement effort'!I242</f>
        <v>0</v>
      </c>
      <c r="K243" s="289">
        <f>'L) Plafonnement taux'!Q243</f>
        <v>0</v>
      </c>
      <c r="L243" s="401">
        <f t="shared" si="8"/>
        <v>152906.33236260753</v>
      </c>
      <c r="M243" s="401">
        <f>'M) Police'!O243</f>
        <v>29632.343592908197</v>
      </c>
      <c r="N243" s="401">
        <f t="shared" si="7"/>
        <v>182538.67595551573</v>
      </c>
    </row>
    <row r="244" spans="1:14" s="279" customFormat="1" x14ac:dyDescent="0.25">
      <c r="A244" s="275">
        <f>'B) D RI'!A245</f>
        <v>5789</v>
      </c>
      <c r="B244" s="276" t="str">
        <f>'B) D RI'!B245</f>
        <v>Ferlens</v>
      </c>
      <c r="C244" s="277">
        <f>'B) D RI'!S245</f>
        <v>77</v>
      </c>
      <c r="D244" s="278">
        <f>'B) D RI'!AR245</f>
        <v>330</v>
      </c>
      <c r="E244" s="285">
        <f>'D) Ecrêtage'!N243</f>
        <v>9496.6311688311671</v>
      </c>
      <c r="F244" s="289">
        <f>'E) Fact soc'!G249</f>
        <v>149104.5791523912</v>
      </c>
      <c r="G244" s="289">
        <f>'H) Péréquation directe'!I254</f>
        <v>25877.039515362354</v>
      </c>
      <c r="H244" s="289">
        <f>'I) Dépenses thématiques'!O243</f>
        <v>-10725</v>
      </c>
      <c r="I244" s="289">
        <f>'K) Plafonnement aide'!J243</f>
        <v>0</v>
      </c>
      <c r="J244" s="289">
        <f>'J) Plafonnement effort'!I243</f>
        <v>0</v>
      </c>
      <c r="K244" s="289">
        <f>'L) Plafonnement taux'!Q244</f>
        <v>0</v>
      </c>
      <c r="L244" s="401">
        <f t="shared" si="8"/>
        <v>164256.61866775356</v>
      </c>
      <c r="M244" s="401">
        <f>'M) Police'!O244</f>
        <v>30589.633396250112</v>
      </c>
      <c r="N244" s="401">
        <f t="shared" si="7"/>
        <v>194846.25206400367</v>
      </c>
    </row>
    <row r="245" spans="1:14" s="279" customFormat="1" x14ac:dyDescent="0.25">
      <c r="A245" s="275">
        <f>'B) D RI'!A246</f>
        <v>5790</v>
      </c>
      <c r="B245" s="276" t="str">
        <f>'B) D RI'!B246</f>
        <v>Maracon</v>
      </c>
      <c r="C245" s="277">
        <f>'B) D RI'!S246</f>
        <v>76</v>
      </c>
      <c r="D245" s="278">
        <f>'B) D RI'!AR246</f>
        <v>444</v>
      </c>
      <c r="E245" s="285">
        <f>'D) Ecrêtage'!N244</f>
        <v>11539.028947368422</v>
      </c>
      <c r="F245" s="289">
        <f>'E) Fact soc'!G250</f>
        <v>202712.45937716673</v>
      </c>
      <c r="G245" s="289">
        <f>'H) Péréquation directe'!I255</f>
        <v>-12533.331732884166</v>
      </c>
      <c r="H245" s="289">
        <f>'I) Dépenses thématiques'!O244</f>
        <v>-86426</v>
      </c>
      <c r="I245" s="289">
        <f>'K) Plafonnement aide'!J244</f>
        <v>0</v>
      </c>
      <c r="J245" s="289">
        <f>'J) Plafonnement effort'!I244</f>
        <v>0</v>
      </c>
      <c r="K245" s="289">
        <f>'L) Plafonnement taux'!Q245</f>
        <v>0</v>
      </c>
      <c r="L245" s="401">
        <f t="shared" si="8"/>
        <v>103753.12764428256</v>
      </c>
      <c r="M245" s="401">
        <f>'M) Police'!O245</f>
        <v>36850.722788673636</v>
      </c>
      <c r="N245" s="401">
        <f t="shared" si="7"/>
        <v>140603.85043295618</v>
      </c>
    </row>
    <row r="246" spans="1:14" s="279" customFormat="1" x14ac:dyDescent="0.25">
      <c r="A246" s="275">
        <f>'B) D RI'!A247</f>
        <v>5791</v>
      </c>
      <c r="B246" s="276" t="str">
        <f>'B) D RI'!B247</f>
        <v>Mézières</v>
      </c>
      <c r="C246" s="277">
        <f>'B) D RI'!S247</f>
        <v>76</v>
      </c>
      <c r="D246" s="278">
        <f>'B) D RI'!AR247</f>
        <v>1192</v>
      </c>
      <c r="E246" s="285">
        <f>'D) Ecrêtage'!N245</f>
        <v>41636.080964912282</v>
      </c>
      <c r="F246" s="289">
        <f>'E) Fact soc'!G251</f>
        <v>712632.59060679236</v>
      </c>
      <c r="G246" s="289">
        <f>'H) Péréquation directe'!I256</f>
        <v>360952.03977277037</v>
      </c>
      <c r="H246" s="289">
        <f>'I) Dépenses thématiques'!O245</f>
        <v>-302652</v>
      </c>
      <c r="I246" s="289">
        <f>'K) Plafonnement aide'!J245</f>
        <v>0</v>
      </c>
      <c r="J246" s="289">
        <f>'J) Plafonnement effort'!I245</f>
        <v>0</v>
      </c>
      <c r="K246" s="289">
        <f>'L) Plafonnement taux'!Q246</f>
        <v>0</v>
      </c>
      <c r="L246" s="401">
        <f t="shared" si="8"/>
        <v>770932.63037956273</v>
      </c>
      <c r="M246" s="401">
        <f>'M) Police'!O246</f>
        <v>133738.27345959315</v>
      </c>
      <c r="N246" s="401">
        <f t="shared" si="7"/>
        <v>904670.90383915592</v>
      </c>
    </row>
    <row r="247" spans="1:14" s="279" customFormat="1" x14ac:dyDescent="0.25">
      <c r="A247" s="275">
        <f>'B) D RI'!A248</f>
        <v>5792</v>
      </c>
      <c r="B247" s="276" t="str">
        <f>'B) D RI'!B248</f>
        <v>Montpreveyres</v>
      </c>
      <c r="C247" s="277">
        <f>'B) D RI'!S248</f>
        <v>79</v>
      </c>
      <c r="D247" s="278">
        <f>'B) D RI'!AR248</f>
        <v>597</v>
      </c>
      <c r="E247" s="285">
        <f>'D) Ecrêtage'!N246</f>
        <v>17052.817341772152</v>
      </c>
      <c r="F247" s="289">
        <f>'E) Fact soc'!G252</f>
        <v>296805.55381206539</v>
      </c>
      <c r="G247" s="289">
        <f>'H) Péréquation directe'!I257</f>
        <v>30114.985959597398</v>
      </c>
      <c r="H247" s="289">
        <f>'I) Dépenses thématiques'!O246</f>
        <v>-125248</v>
      </c>
      <c r="I247" s="289">
        <f>'K) Plafonnement aide'!J246</f>
        <v>0</v>
      </c>
      <c r="J247" s="289">
        <f>'J) Plafonnement effort'!I246</f>
        <v>0</v>
      </c>
      <c r="K247" s="289">
        <f>'L) Plafonnement taux'!Q247</f>
        <v>0</v>
      </c>
      <c r="L247" s="401">
        <f t="shared" si="8"/>
        <v>201672.53977166279</v>
      </c>
      <c r="M247" s="401">
        <f>'M) Police'!O247</f>
        <v>54886.350207057149</v>
      </c>
      <c r="N247" s="401">
        <f t="shared" si="7"/>
        <v>256558.88997871993</v>
      </c>
    </row>
    <row r="248" spans="1:14" s="279" customFormat="1" x14ac:dyDescent="0.25">
      <c r="A248" s="275">
        <f>'B) D RI'!A249</f>
        <v>5798</v>
      </c>
      <c r="B248" s="276" t="str">
        <f>'B) D RI'!B249</f>
        <v>Ropraz</v>
      </c>
      <c r="C248" s="277">
        <f>'B) D RI'!S249</f>
        <v>77.5</v>
      </c>
      <c r="D248" s="278">
        <f>'B) D RI'!AR249</f>
        <v>409</v>
      </c>
      <c r="E248" s="285">
        <f>'D) Ecrêtage'!N247</f>
        <v>11308.746838709676</v>
      </c>
      <c r="F248" s="289">
        <f>'E) Fact soc'!G253</f>
        <v>215229.2079094181</v>
      </c>
      <c r="G248" s="289">
        <f>'H) Péréquation directe'!I258</f>
        <v>10596.702418020926</v>
      </c>
      <c r="H248" s="289">
        <f>'I) Dépenses thématiques'!O247</f>
        <v>-71565</v>
      </c>
      <c r="I248" s="289">
        <f>'K) Plafonnement aide'!J247</f>
        <v>0</v>
      </c>
      <c r="J248" s="289">
        <f>'J) Plafonnement effort'!I247</f>
        <v>0</v>
      </c>
      <c r="K248" s="289">
        <f>'L) Plafonnement taux'!Q248</f>
        <v>0</v>
      </c>
      <c r="L248" s="401">
        <f t="shared" si="8"/>
        <v>154260.91032743902</v>
      </c>
      <c r="M248" s="401">
        <f>'M) Police'!O248</f>
        <v>37186.950066127371</v>
      </c>
      <c r="N248" s="401">
        <f t="shared" si="7"/>
        <v>191447.8603935664</v>
      </c>
    </row>
    <row r="249" spans="1:14" s="279" customFormat="1" x14ac:dyDescent="0.25">
      <c r="A249" s="275">
        <f>'B) D RI'!A250</f>
        <v>5799</v>
      </c>
      <c r="B249" s="276" t="str">
        <f>'B) D RI'!B250</f>
        <v>Servion</v>
      </c>
      <c r="C249" s="277">
        <f>'B) D RI'!S250</f>
        <v>69</v>
      </c>
      <c r="D249" s="278">
        <f>'B) D RI'!AR250</f>
        <v>1893</v>
      </c>
      <c r="E249" s="285">
        <f>'D) Ecrêtage'!N248</f>
        <v>68357.530144927528</v>
      </c>
      <c r="F249" s="289">
        <f>'E) Fact soc'!G254</f>
        <v>1334903.8746069036</v>
      </c>
      <c r="G249" s="289">
        <f>'H) Péréquation directe'!I259</f>
        <v>578243.62587386114</v>
      </c>
      <c r="H249" s="289">
        <f>'I) Dépenses thématiques'!O248</f>
        <v>-132828</v>
      </c>
      <c r="I249" s="289">
        <f>'K) Plafonnement aide'!J248</f>
        <v>0</v>
      </c>
      <c r="J249" s="289">
        <f>'J) Plafonnement effort'!I248</f>
        <v>0</v>
      </c>
      <c r="K249" s="289">
        <f>'L) Plafonnement taux'!Q249</f>
        <v>0</v>
      </c>
      <c r="L249" s="401">
        <f t="shared" si="8"/>
        <v>1780319.5004807648</v>
      </c>
      <c r="M249" s="401">
        <f>'M) Police'!O249</f>
        <v>221290.81359248899</v>
      </c>
      <c r="N249" s="401">
        <f t="shared" si="7"/>
        <v>2001610.3140732539</v>
      </c>
    </row>
    <row r="250" spans="1:14" s="279" customFormat="1" x14ac:dyDescent="0.25">
      <c r="A250" s="275">
        <f>'B) D RI'!A251</f>
        <v>5803</v>
      </c>
      <c r="B250" s="276" t="str">
        <f>'B) D RI'!B251</f>
        <v>Vulliens</v>
      </c>
      <c r="C250" s="277">
        <f>'B) D RI'!S251</f>
        <v>81</v>
      </c>
      <c r="D250" s="278">
        <f>'B) D RI'!AR251</f>
        <v>442</v>
      </c>
      <c r="E250" s="285">
        <f>'D) Ecrêtage'!N249</f>
        <v>12093.749506172839</v>
      </c>
      <c r="F250" s="289">
        <f>'E) Fact soc'!G255</f>
        <v>279391.12739785179</v>
      </c>
      <c r="G250" s="289">
        <f>'H) Péréquation directe'!I260</f>
        <v>-10044.477223882452</v>
      </c>
      <c r="H250" s="289">
        <f>'I) Dépenses thématiques'!O249</f>
        <v>-127810</v>
      </c>
      <c r="I250" s="289">
        <f>'K) Plafonnement aide'!J249</f>
        <v>0</v>
      </c>
      <c r="J250" s="289">
        <f>'J) Plafonnement effort'!I249</f>
        <v>0</v>
      </c>
      <c r="K250" s="289">
        <f>'L) Plafonnement taux'!Q250</f>
        <v>0</v>
      </c>
      <c r="L250" s="401">
        <f t="shared" si="8"/>
        <v>141536.65017396933</v>
      </c>
      <c r="M250" s="401">
        <f>'M) Police'!O250</f>
        <v>38939.369258730469</v>
      </c>
      <c r="N250" s="401">
        <f t="shared" si="7"/>
        <v>180476.0194326998</v>
      </c>
    </row>
    <row r="251" spans="1:14" s="279" customFormat="1" x14ac:dyDescent="0.25">
      <c r="A251" s="275">
        <f>'B) D RI'!A252</f>
        <v>5804</v>
      </c>
      <c r="B251" s="276" t="str">
        <f>'B) D RI'!B252</f>
        <v>Jorat-Menthue</v>
      </c>
      <c r="C251" s="277">
        <f>'B) D RI'!S252</f>
        <v>72</v>
      </c>
      <c r="D251" s="278">
        <f>'B) D RI'!AR252</f>
        <v>1469</v>
      </c>
      <c r="E251" s="285">
        <f>'D) Ecrêtage'!N250</f>
        <v>42711.248333333329</v>
      </c>
      <c r="F251" s="289">
        <f>'E) Fact soc'!G256</f>
        <v>685398.6761240788</v>
      </c>
      <c r="G251" s="289">
        <f>'H) Péréquation directe'!I261</f>
        <v>80691.951409629895</v>
      </c>
      <c r="H251" s="289">
        <f>'I) Dépenses thématiques'!O250</f>
        <v>-346304</v>
      </c>
      <c r="I251" s="289">
        <f>'K) Plafonnement aide'!J250</f>
        <v>0</v>
      </c>
      <c r="J251" s="289">
        <f>'J) Plafonnement effort'!I250</f>
        <v>0</v>
      </c>
      <c r="K251" s="289">
        <f>'L) Plafonnement taux'!Q251</f>
        <v>0</v>
      </c>
      <c r="L251" s="401">
        <f>F251+G251+H251+I251+J251+K251</f>
        <v>419786.6275337087</v>
      </c>
      <c r="M251" s="401">
        <f>'M) Police'!O251</f>
        <v>137111.91465158813</v>
      </c>
      <c r="N251" s="401">
        <f t="shared" si="7"/>
        <v>556898.54218529677</v>
      </c>
    </row>
    <row r="252" spans="1:14" s="279" customFormat="1" x14ac:dyDescent="0.25">
      <c r="A252" s="275">
        <f>'B) D RI'!A253</f>
        <v>5805</v>
      </c>
      <c r="B252" s="276" t="str">
        <f>'B) D RI'!B253</f>
        <v>Oron</v>
      </c>
      <c r="C252" s="277">
        <f>'B) D RI'!S253</f>
        <v>69</v>
      </c>
      <c r="D252" s="278">
        <f>'B) D RI'!AR253</f>
        <v>5180</v>
      </c>
      <c r="E252" s="285">
        <f>'D) Ecrêtage'!N251</f>
        <v>145299.16422924903</v>
      </c>
      <c r="F252" s="289">
        <f>'E) Fact soc'!G257</f>
        <v>2454986.4471217641</v>
      </c>
      <c r="G252" s="289">
        <f>'H) Péréquation directe'!I262</f>
        <v>-762267.2849944625</v>
      </c>
      <c r="H252" s="289">
        <f>'I) Dépenses thématiques'!O251</f>
        <v>-781822</v>
      </c>
      <c r="I252" s="289">
        <f>'K) Plafonnement aide'!J251</f>
        <v>0</v>
      </c>
      <c r="J252" s="289">
        <f>'J) Plafonnement effort'!I251</f>
        <v>0</v>
      </c>
      <c r="K252" s="289">
        <f>'L) Plafonnement taux'!Q252</f>
        <v>0</v>
      </c>
      <c r="L252" s="401">
        <f>F252+G252+H252+I252+J252+K252</f>
        <v>910897.16212730156</v>
      </c>
      <c r="M252" s="401">
        <f>'M) Police'!O252</f>
        <v>463549.23643138621</v>
      </c>
      <c r="N252" s="401">
        <f t="shared" si="7"/>
        <v>1374446.3985586879</v>
      </c>
    </row>
    <row r="253" spans="1:14" s="279" customFormat="1" x14ac:dyDescent="0.25">
      <c r="A253" s="275">
        <f>'B) D RI'!A254</f>
        <v>5812</v>
      </c>
      <c r="B253" s="276" t="str">
        <f>'B) D RI'!B254</f>
        <v>Champtauroz</v>
      </c>
      <c r="C253" s="277">
        <f>'B) D RI'!S254</f>
        <v>77</v>
      </c>
      <c r="D253" s="278">
        <f>'B) D RI'!AR254</f>
        <v>137</v>
      </c>
      <c r="E253" s="285">
        <f>'D) Ecrêtage'!N252</f>
        <v>2756.1429220779223</v>
      </c>
      <c r="F253" s="289">
        <f>'E) Fact soc'!G258</f>
        <v>47836.659107465377</v>
      </c>
      <c r="G253" s="289">
        <f>'H) Péréquation directe'!I263</f>
        <v>-39249.34363544386</v>
      </c>
      <c r="H253" s="289">
        <f>'I) Dépenses thématiques'!O252</f>
        <v>-38207</v>
      </c>
      <c r="I253" s="289">
        <f>'K) Plafonnement aide'!J252</f>
        <v>0</v>
      </c>
      <c r="J253" s="289">
        <f>'J) Plafonnement effort'!I252</f>
        <v>0</v>
      </c>
      <c r="K253" s="289">
        <f>'L) Plafonnement taux'!Q253</f>
        <v>0</v>
      </c>
      <c r="L253" s="401">
        <f t="shared" si="8"/>
        <v>-29619.684527978483</v>
      </c>
      <c r="M253" s="401">
        <f>'M) Police'!O253</f>
        <v>8868.170744238374</v>
      </c>
      <c r="N253" s="401">
        <f t="shared" si="7"/>
        <v>-20751.513783740109</v>
      </c>
    </row>
    <row r="254" spans="1:14" s="279" customFormat="1" x14ac:dyDescent="0.25">
      <c r="A254" s="275">
        <f>'B) D RI'!A255</f>
        <v>5813</v>
      </c>
      <c r="B254" s="276" t="str">
        <f>'B) D RI'!B255</f>
        <v>Chevroux</v>
      </c>
      <c r="C254" s="277">
        <f>'B) D RI'!S255</f>
        <v>70</v>
      </c>
      <c r="D254" s="278">
        <f>'B) D RI'!AR255</f>
        <v>418</v>
      </c>
      <c r="E254" s="285">
        <f>'D) Ecrêtage'!N253</f>
        <v>11438.318904761907</v>
      </c>
      <c r="F254" s="289">
        <f>'E) Fact soc'!G259</f>
        <v>204008.11839573161</v>
      </c>
      <c r="G254" s="289">
        <f>'H) Péréquation directe'!I264</f>
        <v>36098.331145642675</v>
      </c>
      <c r="H254" s="289">
        <f>'I) Dépenses thématiques'!O253</f>
        <v>0</v>
      </c>
      <c r="I254" s="289">
        <f>'K) Plafonnement aide'!J253</f>
        <v>0</v>
      </c>
      <c r="J254" s="289">
        <f>'J) Plafonnement effort'!I253</f>
        <v>0</v>
      </c>
      <c r="K254" s="289">
        <f>'L) Plafonnement taux'!Q254</f>
        <v>0</v>
      </c>
      <c r="L254" s="401">
        <f t="shared" si="8"/>
        <v>240106.44954137428</v>
      </c>
      <c r="M254" s="401">
        <f>'M) Police'!O254</f>
        <v>36415.260346601615</v>
      </c>
      <c r="N254" s="401">
        <f t="shared" si="7"/>
        <v>276521.70988797589</v>
      </c>
    </row>
    <row r="255" spans="1:14" s="279" customFormat="1" x14ac:dyDescent="0.25">
      <c r="A255" s="275">
        <f>'B) D RI'!A256</f>
        <v>5816</v>
      </c>
      <c r="B255" s="276" t="str">
        <f>'B) D RI'!B256</f>
        <v>Corcelles-près-Payerne</v>
      </c>
      <c r="C255" s="277">
        <f>'B) D RI'!S256</f>
        <v>72</v>
      </c>
      <c r="D255" s="278">
        <f>'B) D RI'!AR256</f>
        <v>2091</v>
      </c>
      <c r="E255" s="285">
        <f>'D) Ecrêtage'!N254</f>
        <v>51319.201507936508</v>
      </c>
      <c r="F255" s="289">
        <f>'E) Fact soc'!G260</f>
        <v>976312.74107809947</v>
      </c>
      <c r="G255" s="289">
        <f>'H) Péréquation directe'!I265</f>
        <v>-362246.38279357017</v>
      </c>
      <c r="H255" s="289">
        <f>'I) Dépenses thématiques'!O254</f>
        <v>-384644</v>
      </c>
      <c r="I255" s="289">
        <f>'K) Plafonnement aide'!J254</f>
        <v>0</v>
      </c>
      <c r="J255" s="289">
        <f>'J) Plafonnement effort'!I254</f>
        <v>0</v>
      </c>
      <c r="K255" s="289">
        <f>'L) Plafonnement taux'!Q255</f>
        <v>0</v>
      </c>
      <c r="L255" s="401">
        <f t="shared" si="8"/>
        <v>229422.3582845293</v>
      </c>
      <c r="M255" s="401">
        <f>'M) Police'!O255</f>
        <v>163794.62219570047</v>
      </c>
      <c r="N255" s="401">
        <f t="shared" si="7"/>
        <v>393216.98048022977</v>
      </c>
    </row>
    <row r="256" spans="1:14" s="279" customFormat="1" x14ac:dyDescent="0.25">
      <c r="A256" s="275">
        <f>'B) D RI'!A257</f>
        <v>5817</v>
      </c>
      <c r="B256" s="276" t="str">
        <f>'B) D RI'!B257</f>
        <v>Grandcour</v>
      </c>
      <c r="C256" s="277">
        <f>'B) D RI'!S257</f>
        <v>79.5</v>
      </c>
      <c r="D256" s="278">
        <f>'B) D RI'!AR257</f>
        <v>863</v>
      </c>
      <c r="E256" s="285">
        <f>'D) Ecrêtage'!N255</f>
        <v>20100.413081761009</v>
      </c>
      <c r="F256" s="289">
        <f>'E) Fact soc'!G261</f>
        <v>339607.42962729745</v>
      </c>
      <c r="G256" s="289">
        <f>'H) Péréquation directe'!I266</f>
        <v>-159457.00513689488</v>
      </c>
      <c r="H256" s="289">
        <f>'I) Dépenses thématiques'!O255</f>
        <v>-116196</v>
      </c>
      <c r="I256" s="289">
        <f>'K) Plafonnement aide'!J255</f>
        <v>0</v>
      </c>
      <c r="J256" s="289">
        <f>'J) Plafonnement effort'!I255</f>
        <v>0</v>
      </c>
      <c r="K256" s="289">
        <f>'L) Plafonnement taux'!Q256</f>
        <v>0</v>
      </c>
      <c r="L256" s="401">
        <f t="shared" si="8"/>
        <v>63954.424490402569</v>
      </c>
      <c r="M256" s="401">
        <f>'M) Police'!O256</f>
        <v>64764.848684794008</v>
      </c>
      <c r="N256" s="401">
        <f t="shared" si="7"/>
        <v>128719.27317519658</v>
      </c>
    </row>
    <row r="257" spans="1:14" s="279" customFormat="1" x14ac:dyDescent="0.25">
      <c r="A257" s="275">
        <f>'B) D RI'!A258</f>
        <v>5819</v>
      </c>
      <c r="B257" s="276" t="str">
        <f>'B) D RI'!B258</f>
        <v>Henniez</v>
      </c>
      <c r="C257" s="277">
        <f>'B) D RI'!S258</f>
        <v>67</v>
      </c>
      <c r="D257" s="278">
        <f>'B) D RI'!AR258</f>
        <v>287</v>
      </c>
      <c r="E257" s="285">
        <f>'D) Ecrêtage'!N256</f>
        <v>9884.2255223880602</v>
      </c>
      <c r="F257" s="289">
        <f>'E) Fact soc'!G262</f>
        <v>155340.65838143107</v>
      </c>
      <c r="G257" s="289">
        <f>'H) Péréquation directe'!I267</f>
        <v>106460.16945502121</v>
      </c>
      <c r="H257" s="289">
        <f>'I) Dépenses thématiques'!O256</f>
        <v>-54171</v>
      </c>
      <c r="I257" s="289">
        <f>'K) Plafonnement aide'!J256</f>
        <v>0</v>
      </c>
      <c r="J257" s="289">
        <f>'J) Plafonnement effort'!I256</f>
        <v>0</v>
      </c>
      <c r="K257" s="289">
        <f>'L) Plafonnement taux'!Q257</f>
        <v>0</v>
      </c>
      <c r="L257" s="401">
        <f t="shared" si="8"/>
        <v>207629.82783645228</v>
      </c>
      <c r="M257" s="401">
        <f>'M) Police'!O257</f>
        <v>30928.796654353209</v>
      </c>
      <c r="N257" s="401">
        <f t="shared" si="7"/>
        <v>238558.62449080549</v>
      </c>
    </row>
    <row r="258" spans="1:14" s="279" customFormat="1" x14ac:dyDescent="0.25">
      <c r="A258" s="275">
        <f>'B) D RI'!A259</f>
        <v>5821</v>
      </c>
      <c r="B258" s="276" t="str">
        <f>'B) D RI'!B259</f>
        <v>Missy</v>
      </c>
      <c r="C258" s="277">
        <f>'B) D RI'!S259</f>
        <v>72</v>
      </c>
      <c r="D258" s="278">
        <f>'B) D RI'!AR259</f>
        <v>335</v>
      </c>
      <c r="E258" s="285">
        <f>'D) Ecrêtage'!N257</f>
        <v>7497.2731944444431</v>
      </c>
      <c r="F258" s="289">
        <f>'E) Fact soc'!G263</f>
        <v>146617.49649334472</v>
      </c>
      <c r="G258" s="289">
        <f>'H) Péréquation directe'!I268</f>
        <v>-42724.07341804498</v>
      </c>
      <c r="H258" s="289">
        <f>'I) Dépenses thématiques'!O257</f>
        <v>-61708</v>
      </c>
      <c r="I258" s="289">
        <f>'K) Plafonnement aide'!J257</f>
        <v>0</v>
      </c>
      <c r="J258" s="289">
        <f>'J) Plafonnement effort'!I257</f>
        <v>0</v>
      </c>
      <c r="K258" s="289">
        <f>'L) Plafonnement taux'!Q258</f>
        <v>0</v>
      </c>
      <c r="L258" s="401">
        <f t="shared" si="8"/>
        <v>42185.423075299739</v>
      </c>
      <c r="M258" s="401">
        <f>'M) Police'!O258</f>
        <v>24061.501602572585</v>
      </c>
      <c r="N258" s="401">
        <f t="shared" si="7"/>
        <v>66246.924677872332</v>
      </c>
    </row>
    <row r="259" spans="1:14" s="279" customFormat="1" x14ac:dyDescent="0.25">
      <c r="A259" s="275">
        <f>'B) D RI'!A260</f>
        <v>5822</v>
      </c>
      <c r="B259" s="276" t="str">
        <f>'B) D RI'!B260</f>
        <v>Payerne</v>
      </c>
      <c r="C259" s="277">
        <f>'B) D RI'!S260</f>
        <v>73</v>
      </c>
      <c r="D259" s="278">
        <f>'B) D RI'!AR260</f>
        <v>9207</v>
      </c>
      <c r="E259" s="285">
        <f>'D) Ecrêtage'!N258</f>
        <v>232171.67534246575</v>
      </c>
      <c r="F259" s="289">
        <f>'E) Fact soc'!G264</f>
        <v>4283648.3220418245</v>
      </c>
      <c r="G259" s="289">
        <f>'H) Péréquation directe'!I269</f>
        <v>-3705201.1562506799</v>
      </c>
      <c r="H259" s="289">
        <f>'I) Dépenses thématiques'!O258</f>
        <v>-914186</v>
      </c>
      <c r="I259" s="289">
        <f>'K) Plafonnement aide'!J258</f>
        <v>0</v>
      </c>
      <c r="J259" s="289">
        <f>'J) Plafonnement effort'!I258</f>
        <v>0</v>
      </c>
      <c r="K259" s="289">
        <f>'L) Plafonnement taux'!Q259</f>
        <v>0</v>
      </c>
      <c r="L259" s="401">
        <f t="shared" si="8"/>
        <v>-335738.83420885541</v>
      </c>
      <c r="M259" s="401">
        <f>'M) Police'!O259</f>
        <v>742956.74754345184</v>
      </c>
      <c r="N259" s="401">
        <f t="shared" si="7"/>
        <v>407217.91333459644</v>
      </c>
    </row>
    <row r="260" spans="1:14" s="279" customFormat="1" x14ac:dyDescent="0.25">
      <c r="A260" s="275">
        <f>'B) D RI'!A261</f>
        <v>5827</v>
      </c>
      <c r="B260" s="276" t="str">
        <f>'B) D RI'!B261</f>
        <v>Trey</v>
      </c>
      <c r="C260" s="277">
        <f>'B) D RI'!S261</f>
        <v>80</v>
      </c>
      <c r="D260" s="278">
        <f>'B) D RI'!AR261</f>
        <v>267</v>
      </c>
      <c r="E260" s="285">
        <f>'D) Ecrêtage'!N259</f>
        <v>6148.4623749999992</v>
      </c>
      <c r="F260" s="289">
        <f>'E) Fact soc'!G265</f>
        <v>104404.35278297562</v>
      </c>
      <c r="G260" s="289">
        <f>'H) Péréquation directe'!I270</f>
        <v>-54170.543534401339</v>
      </c>
      <c r="H260" s="289">
        <f>'I) Dépenses thématiques'!O259</f>
        <v>-46956</v>
      </c>
      <c r="I260" s="289">
        <f>'K) Plafonnement aide'!J259</f>
        <v>0</v>
      </c>
      <c r="J260" s="289">
        <f>'J) Plafonnement effort'!I259</f>
        <v>0</v>
      </c>
      <c r="K260" s="289">
        <f>'L) Plafonnement taux'!Q260</f>
        <v>0</v>
      </c>
      <c r="L260" s="401">
        <f t="shared" si="8"/>
        <v>3277.8092485742818</v>
      </c>
      <c r="M260" s="401">
        <f>'M) Police'!O260</f>
        <v>19816.358575280778</v>
      </c>
      <c r="N260" s="401">
        <f t="shared" si="7"/>
        <v>23094.167823855059</v>
      </c>
    </row>
    <row r="261" spans="1:14" s="279" customFormat="1" x14ac:dyDescent="0.25">
      <c r="A261" s="275">
        <f>'B) D RI'!A262</f>
        <v>5828</v>
      </c>
      <c r="B261" s="276" t="str">
        <f>'B) D RI'!B262</f>
        <v>Treytorrens</v>
      </c>
      <c r="C261" s="277">
        <f>'B) D RI'!S262</f>
        <v>84</v>
      </c>
      <c r="D261" s="278">
        <f>'B) D RI'!AR262</f>
        <v>120</v>
      </c>
      <c r="E261" s="285">
        <f>'D) Ecrêtage'!N260</f>
        <v>2457.9002380952379</v>
      </c>
      <c r="F261" s="289">
        <f>'E) Fact soc'!G266</f>
        <v>47983.46464517025</v>
      </c>
      <c r="G261" s="289">
        <f>'H) Péréquation directe'!I271</f>
        <v>-45107.589103525519</v>
      </c>
      <c r="H261" s="289">
        <f>'I) Dépenses thématiques'!O260</f>
        <v>-28914</v>
      </c>
      <c r="I261" s="289">
        <f>'K) Plafonnement aide'!J260</f>
        <v>0</v>
      </c>
      <c r="J261" s="289">
        <f>'J) Plafonnement effort'!I260</f>
        <v>0</v>
      </c>
      <c r="K261" s="289">
        <f>'L) Plafonnement taux'!Q261</f>
        <v>0</v>
      </c>
      <c r="L261" s="401">
        <f t="shared" si="8"/>
        <v>-26038.124458355269</v>
      </c>
      <c r="M261" s="401">
        <f>'M) Police'!O261</f>
        <v>7910.6477197591357</v>
      </c>
      <c r="N261" s="401">
        <f t="shared" si="7"/>
        <v>-18127.476738596131</v>
      </c>
    </row>
    <row r="262" spans="1:14" s="279" customFormat="1" x14ac:dyDescent="0.25">
      <c r="A262" s="275">
        <f>'B) D RI'!A263</f>
        <v>5830</v>
      </c>
      <c r="B262" s="276" t="str">
        <f>'B) D RI'!B263</f>
        <v>Villarzel</v>
      </c>
      <c r="C262" s="277">
        <f>'B) D RI'!S263</f>
        <v>81</v>
      </c>
      <c r="D262" s="278">
        <f>'B) D RI'!AR263</f>
        <v>413</v>
      </c>
      <c r="E262" s="285">
        <f>'D) Ecrêtage'!N261</f>
        <v>9888.3237037037015</v>
      </c>
      <c r="F262" s="289">
        <f>'E) Fact soc'!G267</f>
        <v>174695.06775935937</v>
      </c>
      <c r="G262" s="289">
        <f>'H) Péréquation directe'!I272</f>
        <v>-72430.988013590541</v>
      </c>
      <c r="H262" s="289">
        <f>'I) Dépenses thématiques'!O261</f>
        <v>-81098</v>
      </c>
      <c r="I262" s="289">
        <f>'K) Plafonnement aide'!J261</f>
        <v>0</v>
      </c>
      <c r="J262" s="289">
        <f>'J) Plafonnement effort'!I261</f>
        <v>0</v>
      </c>
      <c r="K262" s="289">
        <f>'L) Plafonnement taux'!Q262</f>
        <v>0</v>
      </c>
      <c r="L262" s="401">
        <f t="shared" si="8"/>
        <v>21166.079745768831</v>
      </c>
      <c r="M262" s="401">
        <f>'M) Police'!O262</f>
        <v>31814.095176697163</v>
      </c>
      <c r="N262" s="401">
        <f t="shared" si="7"/>
        <v>52980.174922465994</v>
      </c>
    </row>
    <row r="263" spans="1:14" s="279" customFormat="1" x14ac:dyDescent="0.25">
      <c r="A263" s="275">
        <f>'B) D RI'!A264</f>
        <v>5831</v>
      </c>
      <c r="B263" s="276" t="str">
        <f>'B) D RI'!B264</f>
        <v>Valbroye</v>
      </c>
      <c r="C263" s="277">
        <f>'B) D RI'!S264</f>
        <v>75</v>
      </c>
      <c r="D263" s="278">
        <f>'B) D RI'!AR264</f>
        <v>2928</v>
      </c>
      <c r="E263" s="285">
        <f>'D) Ecrêtage'!N262</f>
        <v>72189.06751111109</v>
      </c>
      <c r="F263" s="289">
        <f>'E) Fact soc'!G268</f>
        <v>1209372.7116989782</v>
      </c>
      <c r="G263" s="289">
        <f>'H) Péréquation directe'!I273</f>
        <v>-693107.1954992516</v>
      </c>
      <c r="H263" s="289">
        <f>'I) Dépenses thématiques'!O262</f>
        <v>-556127</v>
      </c>
      <c r="I263" s="289">
        <f>'K) Plafonnement aide'!J262</f>
        <v>0</v>
      </c>
      <c r="J263" s="289">
        <f>'J) Plafonnement effort'!I262</f>
        <v>0</v>
      </c>
      <c r="K263" s="289">
        <f>'L) Plafonnement taux'!Q263</f>
        <v>0</v>
      </c>
      <c r="L263" s="401">
        <f>F263+G263+H263+I263+J263+K263</f>
        <v>-39861.483800273389</v>
      </c>
      <c r="M263" s="401">
        <f>'M) Police'!O263</f>
        <v>231841.52199460176</v>
      </c>
      <c r="N263" s="401">
        <f t="shared" ref="N263:N323" si="9">L263+M263</f>
        <v>191980.03819432837</v>
      </c>
    </row>
    <row r="264" spans="1:14" s="279" customFormat="1" x14ac:dyDescent="0.25">
      <c r="A264" s="275">
        <f>'B) D RI'!A265</f>
        <v>5841</v>
      </c>
      <c r="B264" s="276" t="str">
        <f>'B) D RI'!B265</f>
        <v>Château-d'Oex</v>
      </c>
      <c r="C264" s="277">
        <f>'B) D RI'!S265</f>
        <v>83</v>
      </c>
      <c r="D264" s="278">
        <f>'B) D RI'!AR265</f>
        <v>3440</v>
      </c>
      <c r="E264" s="285">
        <f>'D) Ecrêtage'!N263</f>
        <v>107402.16457831326</v>
      </c>
      <c r="F264" s="289">
        <f>'E) Fact soc'!G269</f>
        <v>2069175.0584469324</v>
      </c>
      <c r="G264" s="289">
        <f>'H) Péréquation directe'!I274</f>
        <v>-217944.43439201172</v>
      </c>
      <c r="H264" s="289">
        <f>'I) Dépenses thématiques'!O263</f>
        <v>-1520448</v>
      </c>
      <c r="I264" s="289">
        <f>'K) Plafonnement aide'!J263</f>
        <v>0</v>
      </c>
      <c r="J264" s="289">
        <f>'J) Plafonnement effort'!I263</f>
        <v>0</v>
      </c>
      <c r="K264" s="289">
        <f>'L) Plafonnement taux'!Q264</f>
        <v>0</v>
      </c>
      <c r="L264" s="401">
        <f t="shared" si="8"/>
        <v>330782.62405492063</v>
      </c>
      <c r="M264" s="401">
        <f>'M) Police'!O264</f>
        <v>338393.79532812303</v>
      </c>
      <c r="N264" s="401">
        <f t="shared" si="9"/>
        <v>669176.41938304366</v>
      </c>
    </row>
    <row r="265" spans="1:14" s="279" customFormat="1" x14ac:dyDescent="0.25">
      <c r="A265" s="275">
        <f>'B) D RI'!A266</f>
        <v>5842</v>
      </c>
      <c r="B265" s="276" t="str">
        <f>'B) D RI'!B266</f>
        <v>Rossinière</v>
      </c>
      <c r="C265" s="277">
        <f>'B) D RI'!S266</f>
        <v>81</v>
      </c>
      <c r="D265" s="278">
        <f>'B) D RI'!AR266</f>
        <v>552</v>
      </c>
      <c r="E265" s="285">
        <f>'D) Ecrêtage'!N264</f>
        <v>14557.548271604937</v>
      </c>
      <c r="F265" s="289">
        <f>'E) Fact soc'!G270</f>
        <v>257914.63075250486</v>
      </c>
      <c r="G265" s="289">
        <f>'H) Péréquation directe'!I275</f>
        <v>-36922.258414147829</v>
      </c>
      <c r="H265" s="289">
        <f>'I) Dépenses thématiques'!O264</f>
        <v>-265616</v>
      </c>
      <c r="I265" s="289">
        <f>'K) Plafonnement aide'!J264</f>
        <v>0</v>
      </c>
      <c r="J265" s="289">
        <f>'J) Plafonnement effort'!I264</f>
        <v>0</v>
      </c>
      <c r="K265" s="289">
        <f>'L) Plafonnement taux'!Q265</f>
        <v>0</v>
      </c>
      <c r="L265" s="401">
        <f t="shared" si="8"/>
        <v>-44623.627661642968</v>
      </c>
      <c r="M265" s="401">
        <f>'M) Police'!O265</f>
        <v>46585.091179021656</v>
      </c>
      <c r="N265" s="401">
        <f t="shared" si="9"/>
        <v>1961.4635173786883</v>
      </c>
    </row>
    <row r="266" spans="1:14" s="279" customFormat="1" x14ac:dyDescent="0.25">
      <c r="A266" s="275">
        <f>'B) D RI'!A267</f>
        <v>5843</v>
      </c>
      <c r="B266" s="276" t="str">
        <f>'B) D RI'!B267</f>
        <v>Rougemont</v>
      </c>
      <c r="C266" s="277">
        <f>'B) D RI'!S267</f>
        <v>69</v>
      </c>
      <c r="D266" s="278">
        <f>'B) D RI'!AR267</f>
        <v>882</v>
      </c>
      <c r="E266" s="285">
        <f>'D) Ecrêtage'!N265</f>
        <v>67072.399341015014</v>
      </c>
      <c r="F266" s="289">
        <f>'E) Fact soc'!G271</f>
        <v>2687680.8450608659</v>
      </c>
      <c r="G266" s="289">
        <f>'H) Péréquation directe'!I276</f>
        <v>1156388</v>
      </c>
      <c r="H266" s="289">
        <f>'I) Dépenses thématiques'!O265</f>
        <v>-882812</v>
      </c>
      <c r="I266" s="289">
        <f>'K) Plafonnement aide'!J265</f>
        <v>0</v>
      </c>
      <c r="J266" s="289">
        <f>'J) Plafonnement effort'!I265</f>
        <v>0</v>
      </c>
      <c r="K266" s="289">
        <f>'L) Plafonnement taux'!Q266</f>
        <v>0</v>
      </c>
      <c r="L266" s="401">
        <f t="shared" si="8"/>
        <v>2961256.8450608659</v>
      </c>
      <c r="M266" s="401">
        <f>'M) Police'!O266</f>
        <v>166290.23341689675</v>
      </c>
      <c r="N266" s="401">
        <f t="shared" si="9"/>
        <v>3127547.0784777626</v>
      </c>
    </row>
    <row r="267" spans="1:14" s="279" customFormat="1" x14ac:dyDescent="0.25">
      <c r="A267" s="275">
        <f>'B) D RI'!A268</f>
        <v>5851</v>
      </c>
      <c r="B267" s="276" t="str">
        <f>'B) D RI'!B268</f>
        <v>Allaman</v>
      </c>
      <c r="C267" s="277">
        <f>'B) D RI'!S268</f>
        <v>61</v>
      </c>
      <c r="D267" s="278">
        <f>'B) D RI'!AR268</f>
        <v>401</v>
      </c>
      <c r="E267" s="285">
        <f>'D) Ecrêtage'!N266</f>
        <v>23760.179579681881</v>
      </c>
      <c r="F267" s="289">
        <f>'E) Fact soc'!G272</f>
        <v>784137.9840882807</v>
      </c>
      <c r="G267" s="289">
        <f>'H) Péréquation directe'!I277</f>
        <v>400791</v>
      </c>
      <c r="H267" s="289">
        <f>'I) Dépenses thématiques'!O266</f>
        <v>0</v>
      </c>
      <c r="I267" s="289">
        <f>'K) Plafonnement aide'!J266</f>
        <v>0</v>
      </c>
      <c r="J267" s="289">
        <f>'J) Plafonnement effort'!I266</f>
        <v>0</v>
      </c>
      <c r="K267" s="289">
        <f>'L) Plafonnement taux'!Q267</f>
        <v>0</v>
      </c>
      <c r="L267" s="401">
        <f t="shared" si="8"/>
        <v>1184928.9840882807</v>
      </c>
      <c r="M267" s="401">
        <f>'M) Police'!O267</f>
        <v>66513.333827772469</v>
      </c>
      <c r="N267" s="401">
        <f t="shared" si="9"/>
        <v>1251442.3179160531</v>
      </c>
    </row>
    <row r="268" spans="1:14" s="279" customFormat="1" x14ac:dyDescent="0.25">
      <c r="A268" s="275">
        <f>'B) D RI'!A269</f>
        <v>5852</v>
      </c>
      <c r="B268" s="276" t="str">
        <f>'B) D RI'!B269</f>
        <v>Bursinel</v>
      </c>
      <c r="C268" s="277">
        <f>'B) D RI'!S269</f>
        <v>61.5</v>
      </c>
      <c r="D268" s="278">
        <f>'B) D RI'!AR269</f>
        <v>471</v>
      </c>
      <c r="E268" s="285">
        <f>'D) Ecrêtage'!N267</f>
        <v>28507.593195351863</v>
      </c>
      <c r="F268" s="289">
        <f>'E) Fact soc'!G273</f>
        <v>564306.77279399976</v>
      </c>
      <c r="G268" s="289">
        <f>'H) Péréquation directe'!I278</f>
        <v>481884</v>
      </c>
      <c r="H268" s="289">
        <f>'I) Dépenses thématiques'!O267</f>
        <v>-36835</v>
      </c>
      <c r="I268" s="289">
        <f>'K) Plafonnement aide'!J267</f>
        <v>0</v>
      </c>
      <c r="J268" s="289">
        <f>'J) Plafonnement effort'!I267</f>
        <v>0</v>
      </c>
      <c r="K268" s="289">
        <f>'L) Plafonnement taux'!Q268</f>
        <v>0</v>
      </c>
      <c r="L268" s="401">
        <f t="shared" si="8"/>
        <v>1009355.7727939998</v>
      </c>
      <c r="M268" s="401">
        <f>'M) Police'!O268</f>
        <v>78933.726352203041</v>
      </c>
      <c r="N268" s="401">
        <f t="shared" si="9"/>
        <v>1088289.4991462028</v>
      </c>
    </row>
    <row r="269" spans="1:14" s="279" customFormat="1" x14ac:dyDescent="0.25">
      <c r="A269" s="275">
        <f>'B) D RI'!A270</f>
        <v>5853</v>
      </c>
      <c r="B269" s="276" t="str">
        <f>'B) D RI'!B270</f>
        <v>Bursins</v>
      </c>
      <c r="C269" s="277">
        <f>'B) D RI'!S270</f>
        <v>71</v>
      </c>
      <c r="D269" s="278">
        <f>'B) D RI'!AR270</f>
        <v>764</v>
      </c>
      <c r="E269" s="285">
        <f>'D) Ecrêtage'!N268</f>
        <v>35670.275774647889</v>
      </c>
      <c r="F269" s="289">
        <f>'E) Fact soc'!G274</f>
        <v>649733.66763403092</v>
      </c>
      <c r="G269" s="289">
        <f>'H) Péréquation directe'!I279</f>
        <v>585494</v>
      </c>
      <c r="H269" s="289">
        <f>'I) Dépenses thématiques'!O268</f>
        <v>-16129</v>
      </c>
      <c r="I269" s="289">
        <f>'K) Plafonnement aide'!J268</f>
        <v>0</v>
      </c>
      <c r="J269" s="289">
        <f>'J) Plafonnement effort'!I268</f>
        <v>0</v>
      </c>
      <c r="K269" s="289">
        <f>'L) Plafonnement taux'!Q269</f>
        <v>0</v>
      </c>
      <c r="L269" s="401">
        <f t="shared" si="8"/>
        <v>1219098.6676340308</v>
      </c>
      <c r="M269" s="401">
        <f>'M) Police'!O269</f>
        <v>113766.94125995193</v>
      </c>
      <c r="N269" s="401">
        <f t="shared" si="9"/>
        <v>1332865.6088939828</v>
      </c>
    </row>
    <row r="270" spans="1:14" s="279" customFormat="1" x14ac:dyDescent="0.25">
      <c r="A270" s="275">
        <f>'B) D RI'!A271</f>
        <v>5854</v>
      </c>
      <c r="B270" s="276" t="str">
        <f>'B) D RI'!B271</f>
        <v>Burtigny</v>
      </c>
      <c r="C270" s="277">
        <f>'B) D RI'!S271</f>
        <v>76</v>
      </c>
      <c r="D270" s="278">
        <f>'B) D RI'!AR271</f>
        <v>371</v>
      </c>
      <c r="E270" s="285">
        <f>'D) Ecrêtage'!N269</f>
        <v>10927.480438596491</v>
      </c>
      <c r="F270" s="289">
        <f>'E) Fact soc'!G275</f>
        <v>182354.77174480809</v>
      </c>
      <c r="G270" s="289">
        <f>'H) Péréquation directe'!I280</f>
        <v>42919.167433947267</v>
      </c>
      <c r="H270" s="289">
        <f>'I) Dépenses thématiques'!O269</f>
        <v>-220453</v>
      </c>
      <c r="I270" s="289">
        <f>'K) Plafonnement aide'!J269</f>
        <v>0</v>
      </c>
      <c r="J270" s="289">
        <f>'J) Plafonnement effort'!I269</f>
        <v>0</v>
      </c>
      <c r="K270" s="289">
        <f>'L) Plafonnement taux'!Q270</f>
        <v>0</v>
      </c>
      <c r="L270" s="401">
        <f t="shared" si="8"/>
        <v>4820.9391787553614</v>
      </c>
      <c r="M270" s="401">
        <f>'M) Police'!O270</f>
        <v>35004.789140236717</v>
      </c>
      <c r="N270" s="401">
        <f t="shared" si="9"/>
        <v>39825.728318992078</v>
      </c>
    </row>
    <row r="271" spans="1:14" s="279" customFormat="1" x14ac:dyDescent="0.25">
      <c r="A271" s="275">
        <f>'B) D RI'!A272</f>
        <v>5855</v>
      </c>
      <c r="B271" s="276" t="str">
        <f>'B) D RI'!B272</f>
        <v>Dully</v>
      </c>
      <c r="C271" s="277">
        <f>'B) D RI'!S272</f>
        <v>49</v>
      </c>
      <c r="D271" s="278">
        <f>'B) D RI'!AR272</f>
        <v>612</v>
      </c>
      <c r="E271" s="285">
        <f>'D) Ecrêtage'!N270</f>
        <v>57346.504059432889</v>
      </c>
      <c r="F271" s="289">
        <f>'E) Fact soc'!G276</f>
        <v>2285486.1301487517</v>
      </c>
      <c r="G271" s="289">
        <f>'H) Péréquation directe'!I281</f>
        <v>1002916</v>
      </c>
      <c r="H271" s="289">
        <f>'I) Dépenses thématiques'!O270</f>
        <v>0</v>
      </c>
      <c r="I271" s="289">
        <f>'K) Plafonnement aide'!J270</f>
        <v>0</v>
      </c>
      <c r="J271" s="289">
        <f>'J) Plafonnement effort'!I270</f>
        <v>0</v>
      </c>
      <c r="K271" s="289">
        <f>'L) Plafonnement taux'!Q271</f>
        <v>0</v>
      </c>
      <c r="L271" s="401">
        <f t="shared" si="8"/>
        <v>3288402.1301487517</v>
      </c>
      <c r="M271" s="401">
        <f>'M) Police'!O271</f>
        <v>129972.38799978644</v>
      </c>
      <c r="N271" s="401">
        <f t="shared" si="9"/>
        <v>3418374.5181485382</v>
      </c>
    </row>
    <row r="272" spans="1:14" s="279" customFormat="1" x14ac:dyDescent="0.25">
      <c r="A272" s="275">
        <f>'B) D RI'!A273</f>
        <v>5856</v>
      </c>
      <c r="B272" s="276" t="str">
        <f>'B) D RI'!B273</f>
        <v>Essertines-sur-Rolle</v>
      </c>
      <c r="C272" s="277">
        <f>'B) D RI'!S273</f>
        <v>68</v>
      </c>
      <c r="D272" s="278">
        <f>'B) D RI'!AR273</f>
        <v>698</v>
      </c>
      <c r="E272" s="285">
        <f>'D) Ecrêtage'!N271</f>
        <v>37372.082975113124</v>
      </c>
      <c r="F272" s="289">
        <f>'E) Fact soc'!G277</f>
        <v>602556.00618822908</v>
      </c>
      <c r="G272" s="289">
        <f>'H) Péréquation directe'!I282</f>
        <v>623672</v>
      </c>
      <c r="H272" s="289">
        <f>'I) Dépenses thématiques'!O271</f>
        <v>0</v>
      </c>
      <c r="I272" s="289">
        <f>'K) Plafonnement aide'!J271</f>
        <v>0</v>
      </c>
      <c r="J272" s="289">
        <f>'J) Plafonnement effort'!I271</f>
        <v>0</v>
      </c>
      <c r="K272" s="289">
        <f>'L) Plafonnement taux'!Q272</f>
        <v>0</v>
      </c>
      <c r="L272" s="401">
        <f t="shared" si="8"/>
        <v>1226228.0061882292</v>
      </c>
      <c r="M272" s="401">
        <f>'M) Police'!O272</f>
        <v>110395.69902839366</v>
      </c>
      <c r="N272" s="401">
        <f t="shared" si="9"/>
        <v>1336623.7052166229</v>
      </c>
    </row>
    <row r="273" spans="1:14" s="279" customFormat="1" x14ac:dyDescent="0.25">
      <c r="A273" s="275">
        <f>'B) D RI'!A274</f>
        <v>5857</v>
      </c>
      <c r="B273" s="276" t="str">
        <f>'B) D RI'!B274</f>
        <v>Gilly</v>
      </c>
      <c r="C273" s="277">
        <f>'B) D RI'!S274</f>
        <v>66</v>
      </c>
      <c r="D273" s="278">
        <f>'B) D RI'!AR274</f>
        <v>1074</v>
      </c>
      <c r="E273" s="285">
        <f>'D) Ecrêtage'!N272</f>
        <v>62471.810834773227</v>
      </c>
      <c r="F273" s="289">
        <f>'E) Fact soc'!G278</f>
        <v>1417077.6053521745</v>
      </c>
      <c r="G273" s="289">
        <f>'H) Péréquation directe'!I283</f>
        <v>1033320</v>
      </c>
      <c r="H273" s="289">
        <f>'I) Dépenses thématiques'!O272</f>
        <v>0</v>
      </c>
      <c r="I273" s="289">
        <f>'K) Plafonnement aide'!J272</f>
        <v>0</v>
      </c>
      <c r="J273" s="289">
        <f>'J) Plafonnement effort'!I272</f>
        <v>0</v>
      </c>
      <c r="K273" s="289">
        <f>'L) Plafonnement taux'!Q273</f>
        <v>0</v>
      </c>
      <c r="L273" s="401">
        <f t="shared" si="8"/>
        <v>2450397.6053521745</v>
      </c>
      <c r="M273" s="401">
        <f>'M) Police'!O273</f>
        <v>176570.10441833732</v>
      </c>
      <c r="N273" s="401">
        <f t="shared" si="9"/>
        <v>2626967.7097705118</v>
      </c>
    </row>
    <row r="274" spans="1:14" s="279" customFormat="1" x14ac:dyDescent="0.25">
      <c r="A274" s="275">
        <f>'B) D RI'!A275</f>
        <v>5858</v>
      </c>
      <c r="B274" s="276" t="str">
        <f>'B) D RI'!B275</f>
        <v>Luins</v>
      </c>
      <c r="C274" s="277">
        <f>'B) D RI'!S275</f>
        <v>60</v>
      </c>
      <c r="D274" s="278">
        <f>'B) D RI'!AR275</f>
        <v>608</v>
      </c>
      <c r="E274" s="285">
        <f>'D) Ecrêtage'!N273</f>
        <v>34847.884728439996</v>
      </c>
      <c r="F274" s="289">
        <f>'E) Fact soc'!G279</f>
        <v>619615.3336807196</v>
      </c>
      <c r="G274" s="289">
        <f>'H) Péréquation directe'!I284</f>
        <v>585834</v>
      </c>
      <c r="H274" s="289">
        <f>'I) Dépenses thématiques'!O273</f>
        <v>0</v>
      </c>
      <c r="I274" s="289">
        <f>'K) Plafonnement aide'!J273</f>
        <v>0</v>
      </c>
      <c r="J274" s="289">
        <f>'J) Plafonnement effort'!I273</f>
        <v>0</v>
      </c>
      <c r="K274" s="289">
        <f>'L) Plafonnement taux'!Q274</f>
        <v>0</v>
      </c>
      <c r="L274" s="401">
        <f t="shared" ref="L274:L324" si="10">F274+G274+H274+I274+J274+K274</f>
        <v>1205449.3336807196</v>
      </c>
      <c r="M274" s="401">
        <f>'M) Police'!O274</f>
        <v>99258.642217933768</v>
      </c>
      <c r="N274" s="401">
        <f t="shared" si="9"/>
        <v>1304707.9758986533</v>
      </c>
    </row>
    <row r="275" spans="1:14" s="279" customFormat="1" x14ac:dyDescent="0.25">
      <c r="A275" s="275">
        <f>'B) D RI'!A276</f>
        <v>5859</v>
      </c>
      <c r="B275" s="276" t="str">
        <f>'B) D RI'!B276</f>
        <v>Mont-sur-Rolle</v>
      </c>
      <c r="C275" s="277">
        <f>'B) D RI'!S276</f>
        <v>63</v>
      </c>
      <c r="D275" s="278">
        <f>'B) D RI'!AR276</f>
        <v>2602</v>
      </c>
      <c r="E275" s="285">
        <f>'D) Ecrêtage'!N274</f>
        <v>135944.39825396828</v>
      </c>
      <c r="F275" s="289">
        <f>'E) Fact soc'!G280</f>
        <v>2420298.8506463207</v>
      </c>
      <c r="G275" s="289">
        <f>'H) Péréquation directe'!I285</f>
        <v>1861870</v>
      </c>
      <c r="H275" s="289">
        <f>'I) Dépenses thématiques'!O274</f>
        <v>0</v>
      </c>
      <c r="I275" s="289">
        <f>'K) Plafonnement aide'!J274</f>
        <v>0</v>
      </c>
      <c r="J275" s="289">
        <f>'J) Plafonnement effort'!I274</f>
        <v>0</v>
      </c>
      <c r="K275" s="289">
        <f>'L) Plafonnement taux'!Q275</f>
        <v>0</v>
      </c>
      <c r="L275" s="401">
        <f t="shared" si="10"/>
        <v>4282168.8506463207</v>
      </c>
      <c r="M275" s="401">
        <f>'M) Police'!O275</f>
        <v>406981.95738969481</v>
      </c>
      <c r="N275" s="401">
        <f t="shared" si="9"/>
        <v>4689150.8080360154</v>
      </c>
    </row>
    <row r="276" spans="1:14" s="279" customFormat="1" x14ac:dyDescent="0.25">
      <c r="A276" s="275">
        <f>'B) D RI'!A277</f>
        <v>5860</v>
      </c>
      <c r="B276" s="276" t="str">
        <f>'B) D RI'!B277</f>
        <v>Perroy</v>
      </c>
      <c r="C276" s="277">
        <f>'B) D RI'!S277</f>
        <v>58</v>
      </c>
      <c r="D276" s="278">
        <f>'B) D RI'!AR277</f>
        <v>1395</v>
      </c>
      <c r="E276" s="285">
        <f>'D) Ecrêtage'!N275</f>
        <v>70993.86</v>
      </c>
      <c r="F276" s="289">
        <f>'E) Fact soc'!G281</f>
        <v>1239739.2416184396</v>
      </c>
      <c r="G276" s="289">
        <f>'H) Péréquation directe'!I286</f>
        <v>1079104</v>
      </c>
      <c r="H276" s="289">
        <f>'I) Dépenses thématiques'!O275</f>
        <v>0</v>
      </c>
      <c r="I276" s="289">
        <f>'K) Plafonnement aide'!J275</f>
        <v>0</v>
      </c>
      <c r="J276" s="289">
        <f>'J) Plafonnement effort'!I275</f>
        <v>0</v>
      </c>
      <c r="K276" s="289">
        <f>'L) Plafonnement taux'!Q276</f>
        <v>0</v>
      </c>
      <c r="L276" s="401">
        <f t="shared" si="10"/>
        <v>2318843.2416184396</v>
      </c>
      <c r="M276" s="401">
        <f>'M) Police'!O276</f>
        <v>215643.08822681505</v>
      </c>
      <c r="N276" s="401">
        <f t="shared" si="9"/>
        <v>2534486.3298452548</v>
      </c>
    </row>
    <row r="277" spans="1:14" s="279" customFormat="1" x14ac:dyDescent="0.25">
      <c r="A277" s="275">
        <f>'B) D RI'!A278</f>
        <v>5861</v>
      </c>
      <c r="B277" s="276" t="str">
        <f>'B) D RI'!B278</f>
        <v>Rolle</v>
      </c>
      <c r="C277" s="277">
        <f>'B) D RI'!S278</f>
        <v>59.5</v>
      </c>
      <c r="D277" s="278">
        <f>'B) D RI'!AR278</f>
        <v>5900</v>
      </c>
      <c r="E277" s="285">
        <f>'D) Ecrêtage'!N276</f>
        <v>345453.70007532346</v>
      </c>
      <c r="F277" s="289">
        <f>'E) Fact soc'!G282</f>
        <v>7040453.0485947896</v>
      </c>
      <c r="G277" s="289">
        <f>'H) Péréquation directe'!I287</f>
        <v>4070202</v>
      </c>
      <c r="H277" s="289">
        <f>'I) Dépenses thématiques'!O276</f>
        <v>-414750</v>
      </c>
      <c r="I277" s="289">
        <f>'K) Plafonnement aide'!J276</f>
        <v>0</v>
      </c>
      <c r="J277" s="289">
        <f>'J) Plafonnement effort'!I276</f>
        <v>0</v>
      </c>
      <c r="K277" s="289">
        <f>'L) Plafonnement taux'!Q277</f>
        <v>0</v>
      </c>
      <c r="L277" s="401">
        <f t="shared" si="10"/>
        <v>10695905.04859479</v>
      </c>
      <c r="M277" s="401">
        <f>'M) Police'!O277</f>
        <v>973043.43130276841</v>
      </c>
      <c r="N277" s="401">
        <f t="shared" si="9"/>
        <v>11668948.479897559</v>
      </c>
    </row>
    <row r="278" spans="1:14" s="279" customFormat="1" x14ac:dyDescent="0.25">
      <c r="A278" s="275">
        <f>'B) D RI'!A279</f>
        <v>5862</v>
      </c>
      <c r="B278" s="276" t="str">
        <f>'B) D RI'!B279</f>
        <v>Tartegnin</v>
      </c>
      <c r="C278" s="277">
        <f>'B) D RI'!S279</f>
        <v>84</v>
      </c>
      <c r="D278" s="278">
        <f>'B) D RI'!AR279</f>
        <v>228</v>
      </c>
      <c r="E278" s="285">
        <f>'D) Ecrêtage'!N277</f>
        <v>7735.2980158730161</v>
      </c>
      <c r="F278" s="289">
        <f>'E) Fact soc'!G283</f>
        <v>166851.84419743458</v>
      </c>
      <c r="G278" s="289">
        <f>'H) Péréquation directe'!I288</f>
        <v>57200.657146513637</v>
      </c>
      <c r="H278" s="289">
        <f>'I) Dépenses thématiques'!O277</f>
        <v>-9788</v>
      </c>
      <c r="I278" s="289">
        <f>'K) Plafonnement aide'!J277</f>
        <v>0</v>
      </c>
      <c r="J278" s="289">
        <f>'J) Plafonnement effort'!I277</f>
        <v>0</v>
      </c>
      <c r="K278" s="289">
        <f>'L) Plafonnement taux'!Q278</f>
        <v>0</v>
      </c>
      <c r="L278" s="401">
        <f t="shared" si="10"/>
        <v>214264.50134394821</v>
      </c>
      <c r="M278" s="401">
        <f>'M) Police'!O278</f>
        <v>24899.886657405077</v>
      </c>
      <c r="N278" s="401">
        <f t="shared" si="9"/>
        <v>239164.38800135331</v>
      </c>
    </row>
    <row r="279" spans="1:14" s="279" customFormat="1" x14ac:dyDescent="0.25">
      <c r="A279" s="275">
        <f>'B) D RI'!A280</f>
        <v>5863</v>
      </c>
      <c r="B279" s="276" t="str">
        <f>'B) D RI'!B280</f>
        <v>Vinzel</v>
      </c>
      <c r="C279" s="277">
        <f>'B) D RI'!S280</f>
        <v>73</v>
      </c>
      <c r="D279" s="278">
        <f>'B) D RI'!AR280</f>
        <v>352</v>
      </c>
      <c r="E279" s="285">
        <f>'D) Ecrêtage'!N278</f>
        <v>20507.4013427506</v>
      </c>
      <c r="F279" s="289">
        <f>'E) Fact soc'!G284</f>
        <v>352043.24785210198</v>
      </c>
      <c r="G279" s="289">
        <f>'H) Péréquation directe'!I289</f>
        <v>345333</v>
      </c>
      <c r="H279" s="289">
        <f>'I) Dépenses thématiques'!O278</f>
        <v>0</v>
      </c>
      <c r="I279" s="289">
        <f>'K) Plafonnement aide'!J278</f>
        <v>0</v>
      </c>
      <c r="J279" s="289">
        <f>'J) Plafonnement effort'!I278</f>
        <v>0</v>
      </c>
      <c r="K279" s="289">
        <f>'L) Plafonnement taux'!Q279</f>
        <v>0</v>
      </c>
      <c r="L279" s="401">
        <f t="shared" si="10"/>
        <v>697376.24785210192</v>
      </c>
      <c r="M279" s="401">
        <f>'M) Police'!O279</f>
        <v>57914.105127461087</v>
      </c>
      <c r="N279" s="401">
        <f t="shared" si="9"/>
        <v>755290.35297956306</v>
      </c>
    </row>
    <row r="280" spans="1:14" s="279" customFormat="1" x14ac:dyDescent="0.25">
      <c r="A280" s="275">
        <f>'B) D RI'!A281</f>
        <v>5871</v>
      </c>
      <c r="B280" s="276" t="str">
        <f>'B) D RI'!B281</f>
        <v>L'Abbaye</v>
      </c>
      <c r="C280" s="277">
        <f>'B) D RI'!S281</f>
        <v>76.98</v>
      </c>
      <c r="D280" s="278">
        <f>'B) D RI'!AR281</f>
        <v>1433</v>
      </c>
      <c r="E280" s="285">
        <f>'D) Ecrêtage'!N279</f>
        <v>60910.131722525337</v>
      </c>
      <c r="F280" s="289">
        <f>'E) Fact soc'!G285</f>
        <v>1178763.4802946784</v>
      </c>
      <c r="G280" s="289">
        <f>'H) Péréquation directe'!I290</f>
        <v>833077.36284082965</v>
      </c>
      <c r="H280" s="289">
        <f>'I) Dépenses thématiques'!O279</f>
        <v>-133723</v>
      </c>
      <c r="I280" s="289">
        <f>'K) Plafonnement aide'!J279</f>
        <v>0</v>
      </c>
      <c r="J280" s="289">
        <f>'J) Plafonnement effort'!I279</f>
        <v>0</v>
      </c>
      <c r="K280" s="289">
        <f>'L) Plafonnement taux'!Q280</f>
        <v>0</v>
      </c>
      <c r="L280" s="401">
        <f t="shared" si="10"/>
        <v>1878117.843135508</v>
      </c>
      <c r="M280" s="401">
        <f>'M) Police'!O280</f>
        <v>198348.0445494508</v>
      </c>
      <c r="N280" s="401">
        <f t="shared" si="9"/>
        <v>2076465.8876849588</v>
      </c>
    </row>
    <row r="281" spans="1:14" s="279" customFormat="1" x14ac:dyDescent="0.25">
      <c r="A281" s="275">
        <f>'B) D RI'!A282</f>
        <v>5872</v>
      </c>
      <c r="B281" s="276" t="str">
        <f>'B) D RI'!B282</f>
        <v>Le Chenit</v>
      </c>
      <c r="C281" s="277">
        <f>'B) D RI'!S282</f>
        <v>69.81</v>
      </c>
      <c r="D281" s="278">
        <f>'B) D RI'!AR282</f>
        <v>4496</v>
      </c>
      <c r="E281" s="285">
        <f>'D) Ecrêtage'!N280</f>
        <v>322224.61483798281</v>
      </c>
      <c r="F281" s="289">
        <f>'E) Fact soc'!G286</f>
        <v>10786229.414816879</v>
      </c>
      <c r="G281" s="289">
        <f>'H) Péréquation directe'!I291</f>
        <v>4431165</v>
      </c>
      <c r="H281" s="289">
        <f>'I) Dépenses thématiques'!O280</f>
        <v>-916506</v>
      </c>
      <c r="I281" s="289">
        <f>'K) Plafonnement aide'!J280</f>
        <v>0</v>
      </c>
      <c r="J281" s="289">
        <f>'J) Plafonnement effort'!I280</f>
        <v>0</v>
      </c>
      <c r="K281" s="289">
        <f>'L) Plafonnement taux'!Q281</f>
        <v>0</v>
      </c>
      <c r="L281" s="401">
        <f t="shared" si="10"/>
        <v>14300888.414816879</v>
      </c>
      <c r="M281" s="401">
        <f>'M) Police'!O281</f>
        <v>821103.58964935236</v>
      </c>
      <c r="N281" s="401">
        <f t="shared" si="9"/>
        <v>15121992.004466232</v>
      </c>
    </row>
    <row r="282" spans="1:14" s="279" customFormat="1" x14ac:dyDescent="0.25">
      <c r="A282" s="275">
        <f>'B) D RI'!A283</f>
        <v>5873</v>
      </c>
      <c r="B282" s="276" t="str">
        <f>'B) D RI'!B283</f>
        <v>Le Lieu</v>
      </c>
      <c r="C282" s="277">
        <f>'B) D RI'!S283</f>
        <v>65</v>
      </c>
      <c r="D282" s="278">
        <f>'B) D RI'!AR283</f>
        <v>856</v>
      </c>
      <c r="E282" s="285">
        <f>'D) Ecrêtage'!N281</f>
        <v>39370.007846153843</v>
      </c>
      <c r="F282" s="289">
        <f>'E) Fact soc'!G287</f>
        <v>927820.66944664391</v>
      </c>
      <c r="G282" s="289">
        <f>'H) Péréquation directe'!I292</f>
        <v>644946</v>
      </c>
      <c r="H282" s="289">
        <f>'I) Dépenses thématiques'!O281</f>
        <v>-591000</v>
      </c>
      <c r="I282" s="289">
        <f>'K) Plafonnement aide'!J281</f>
        <v>0</v>
      </c>
      <c r="J282" s="289">
        <f>'J) Plafonnement effort'!I281</f>
        <v>0</v>
      </c>
      <c r="K282" s="289">
        <f>'L) Plafonnement taux'!Q282</f>
        <v>0</v>
      </c>
      <c r="L282" s="401">
        <f t="shared" si="10"/>
        <v>981766.66944664391</v>
      </c>
      <c r="M282" s="401">
        <f>'M) Police'!O282</f>
        <v>126662.58698623457</v>
      </c>
      <c r="N282" s="401">
        <f t="shared" si="9"/>
        <v>1108429.2564328786</v>
      </c>
    </row>
    <row r="283" spans="1:14" s="279" customFormat="1" x14ac:dyDescent="0.25">
      <c r="A283" s="275">
        <f>'B) D RI'!A284</f>
        <v>5881</v>
      </c>
      <c r="B283" s="276" t="str">
        <f>'B) D RI'!B284</f>
        <v>Blonay</v>
      </c>
      <c r="C283" s="277">
        <f>'B) D RI'!S284</f>
        <v>72</v>
      </c>
      <c r="D283" s="278">
        <f>'B) D RI'!AR284</f>
        <v>6110</v>
      </c>
      <c r="E283" s="285">
        <f>'D) Ecrêtage'!N282</f>
        <v>331887.5422222222</v>
      </c>
      <c r="F283" s="289">
        <f>'E) Fact soc'!G288</f>
        <v>5675378.2590688672</v>
      </c>
      <c r="G283" s="289">
        <f>'H) Péréquation directe'!I293</f>
        <v>3692469</v>
      </c>
      <c r="H283" s="289">
        <f>'I) Dépenses thématiques'!O282</f>
        <v>-490997</v>
      </c>
      <c r="I283" s="289">
        <f>'K) Plafonnement aide'!J282</f>
        <v>0</v>
      </c>
      <c r="J283" s="289">
        <f>'J) Plafonnement effort'!I282</f>
        <v>0</v>
      </c>
      <c r="K283" s="289">
        <f>'L) Plafonnement taux'!Q283</f>
        <v>0</v>
      </c>
      <c r="L283" s="401">
        <f t="shared" si="10"/>
        <v>8876850.2590688672</v>
      </c>
      <c r="M283" s="401">
        <f>'M) Police'!O283</f>
        <v>448004.91080211051</v>
      </c>
      <c r="N283" s="401">
        <f t="shared" si="9"/>
        <v>9324855.1698709782</v>
      </c>
    </row>
    <row r="284" spans="1:14" s="279" customFormat="1" x14ac:dyDescent="0.25">
      <c r="A284" s="275">
        <f>'B) D RI'!A285</f>
        <v>5882</v>
      </c>
      <c r="B284" s="276" t="str">
        <f>'B) D RI'!B285</f>
        <v>Chardonne</v>
      </c>
      <c r="C284" s="277">
        <f>'B) D RI'!S285</f>
        <v>66</v>
      </c>
      <c r="D284" s="278">
        <f>'B) D RI'!AR285</f>
        <v>2835</v>
      </c>
      <c r="E284" s="285">
        <f>'D) Ecrêtage'!N283</f>
        <v>159535.56206879998</v>
      </c>
      <c r="F284" s="289">
        <f>'E) Fact soc'!G289</f>
        <v>3993707.2753481558</v>
      </c>
      <c r="G284" s="289">
        <f>'H) Péréquation directe'!I294</f>
        <v>2218075</v>
      </c>
      <c r="H284" s="289">
        <f>'I) Dépenses thématiques'!O283</f>
        <v>-214261</v>
      </c>
      <c r="I284" s="289">
        <f>'K) Plafonnement aide'!J283</f>
        <v>0</v>
      </c>
      <c r="J284" s="289">
        <f>'J) Plafonnement effort'!I283</f>
        <v>0</v>
      </c>
      <c r="K284" s="289">
        <f>'L) Plafonnement taux'!Q284</f>
        <v>0</v>
      </c>
      <c r="L284" s="401">
        <f t="shared" si="10"/>
        <v>5997521.2753481558</v>
      </c>
      <c r="M284" s="401">
        <f>'M) Police'!O284</f>
        <v>215352.20869044025</v>
      </c>
      <c r="N284" s="401">
        <f t="shared" si="9"/>
        <v>6212873.484038596</v>
      </c>
    </row>
    <row r="285" spans="1:14" s="279" customFormat="1" x14ac:dyDescent="0.25">
      <c r="A285" s="275">
        <f>'B) D RI'!A286</f>
        <v>5883</v>
      </c>
      <c r="B285" s="276" t="str">
        <f>'B) D RI'!B286</f>
        <v>Corseaux</v>
      </c>
      <c r="C285" s="277">
        <f>'B) D RI'!S286</f>
        <v>64</v>
      </c>
      <c r="D285" s="278">
        <f>'B) D RI'!AR286</f>
        <v>2172</v>
      </c>
      <c r="E285" s="285">
        <f>'D) Ecrêtage'!N284</f>
        <v>144138.14886128373</v>
      </c>
      <c r="F285" s="289">
        <f>'E) Fact soc'!G290</f>
        <v>3541890.0788427172</v>
      </c>
      <c r="G285" s="289">
        <f>'H) Péréquation directe'!I295</f>
        <v>2164412</v>
      </c>
      <c r="H285" s="289">
        <f>'I) Dépenses thématiques'!O284</f>
        <v>0</v>
      </c>
      <c r="I285" s="289">
        <f>'K) Plafonnement aide'!J284</f>
        <v>0</v>
      </c>
      <c r="J285" s="289">
        <f>'J) Plafonnement effort'!I284</f>
        <v>0</v>
      </c>
      <c r="K285" s="289">
        <f>'L) Plafonnement taux'!Q285</f>
        <v>0</v>
      </c>
      <c r="L285" s="401">
        <f t="shared" si="10"/>
        <v>5706302.0788427172</v>
      </c>
      <c r="M285" s="401">
        <f>'M) Police'!O285</f>
        <v>194567.70836111551</v>
      </c>
      <c r="N285" s="401">
        <f t="shared" si="9"/>
        <v>5900869.7872038325</v>
      </c>
    </row>
    <row r="286" spans="1:14" s="279" customFormat="1" x14ac:dyDescent="0.25">
      <c r="A286" s="275">
        <f>'B) D RI'!A287</f>
        <v>5884</v>
      </c>
      <c r="B286" s="276" t="str">
        <f>'B) D RI'!B287</f>
        <v>Corsier-sur-Vevey</v>
      </c>
      <c r="C286" s="277">
        <f>'B) D RI'!S287</f>
        <v>66</v>
      </c>
      <c r="D286" s="278">
        <f>'B) D RI'!AR287</f>
        <v>3393</v>
      </c>
      <c r="E286" s="285">
        <f>'D) Ecrêtage'!N285</f>
        <v>121405.28277777777</v>
      </c>
      <c r="F286" s="289">
        <f>'E) Fact soc'!G291</f>
        <v>2071558.6912202216</v>
      </c>
      <c r="G286" s="289">
        <f>'H) Péréquation directe'!I296</f>
        <v>781597.99778597686</v>
      </c>
      <c r="H286" s="289">
        <f>'I) Dépenses thématiques'!O285</f>
        <v>-623177</v>
      </c>
      <c r="I286" s="289">
        <f>'K) Plafonnement aide'!J285</f>
        <v>0</v>
      </c>
      <c r="J286" s="289">
        <f>'J) Plafonnement effort'!I285</f>
        <v>0</v>
      </c>
      <c r="K286" s="289">
        <f>'L) Plafonnement taux'!Q286</f>
        <v>0</v>
      </c>
      <c r="L286" s="401">
        <f t="shared" si="10"/>
        <v>2229979.6890061982</v>
      </c>
      <c r="M286" s="401">
        <f>'M) Police'!O286</f>
        <v>163881.30303892295</v>
      </c>
      <c r="N286" s="401">
        <f t="shared" si="9"/>
        <v>2393860.9920451213</v>
      </c>
    </row>
    <row r="287" spans="1:14" s="279" customFormat="1" x14ac:dyDescent="0.25">
      <c r="A287" s="275">
        <f>'B) D RI'!A288</f>
        <v>5885</v>
      </c>
      <c r="B287" s="276" t="str">
        <f>'B) D RI'!B288</f>
        <v>Jongny</v>
      </c>
      <c r="C287" s="277">
        <f>'B) D RI'!S288</f>
        <v>69</v>
      </c>
      <c r="D287" s="278">
        <f>'B) D RI'!AR288</f>
        <v>1475</v>
      </c>
      <c r="E287" s="285">
        <f>'D) Ecrêtage'!N286</f>
        <v>76199.638309178743</v>
      </c>
      <c r="F287" s="289">
        <f>'E) Fact soc'!G292</f>
        <v>1326014.0039685247</v>
      </c>
      <c r="G287" s="289">
        <f>'H) Péréquation directe'!I297</f>
        <v>1147702</v>
      </c>
      <c r="H287" s="289">
        <f>'I) Dépenses thématiques'!O286</f>
        <v>-7626</v>
      </c>
      <c r="I287" s="289">
        <f>'K) Plafonnement aide'!J286</f>
        <v>0</v>
      </c>
      <c r="J287" s="289">
        <f>'J) Plafonnement effort'!I286</f>
        <v>0</v>
      </c>
      <c r="K287" s="289">
        <f>'L) Plafonnement taux'!Q287</f>
        <v>0</v>
      </c>
      <c r="L287" s="401">
        <f t="shared" si="10"/>
        <v>2466090.0039685247</v>
      </c>
      <c r="M287" s="401">
        <f>'M) Police'!O287</f>
        <v>102859.57687739609</v>
      </c>
      <c r="N287" s="401">
        <f t="shared" si="9"/>
        <v>2568949.5808459208</v>
      </c>
    </row>
    <row r="288" spans="1:14" s="279" customFormat="1" x14ac:dyDescent="0.25">
      <c r="A288" s="275">
        <f>'B) D RI'!A289</f>
        <v>5886</v>
      </c>
      <c r="B288" s="276" t="str">
        <f>'B) D RI'!B289</f>
        <v>Montreux</v>
      </c>
      <c r="C288" s="277">
        <f>'B) D RI'!S289</f>
        <v>66</v>
      </c>
      <c r="D288" s="278">
        <f>'B) D RI'!AR289</f>
        <v>26072</v>
      </c>
      <c r="E288" s="285">
        <f>'D) Ecrêtage'!N287</f>
        <v>1119854.9833838383</v>
      </c>
      <c r="F288" s="289">
        <f>'E) Fact soc'!G293</f>
        <v>21806851.388510562</v>
      </c>
      <c r="G288" s="289">
        <f>'H) Péréquation directe'!I298</f>
        <v>-1003788.5890740938</v>
      </c>
      <c r="H288" s="289">
        <f>'I) Dépenses thématiques'!O287</f>
        <v>-4315653</v>
      </c>
      <c r="I288" s="289">
        <f>'K) Plafonnement aide'!J287</f>
        <v>0</v>
      </c>
      <c r="J288" s="289">
        <f>'J) Plafonnement effort'!I287</f>
        <v>0</v>
      </c>
      <c r="K288" s="289">
        <f>'L) Plafonnement taux'!Q288</f>
        <v>0</v>
      </c>
      <c r="L288" s="401">
        <f t="shared" si="10"/>
        <v>16487409.799436469</v>
      </c>
      <c r="M288" s="401">
        <f>'M) Police'!O288</f>
        <v>1511658.2218872542</v>
      </c>
      <c r="N288" s="401">
        <f t="shared" si="9"/>
        <v>17999068.021323722</v>
      </c>
    </row>
    <row r="289" spans="1:14" s="279" customFormat="1" x14ac:dyDescent="0.25">
      <c r="A289" s="275">
        <f>'B) D RI'!A290</f>
        <v>5888</v>
      </c>
      <c r="B289" s="276" t="str">
        <f>'B) D RI'!B290</f>
        <v>St-Légier-La Chiésaz</v>
      </c>
      <c r="C289" s="277">
        <f>'B) D RI'!S290</f>
        <v>66</v>
      </c>
      <c r="D289" s="278">
        <f>'B) D RI'!AR290</f>
        <v>5084</v>
      </c>
      <c r="E289" s="285">
        <f>'D) Ecrêtage'!N288</f>
        <v>329207.26907849044</v>
      </c>
      <c r="F289" s="289">
        <f>'E) Fact soc'!G294</f>
        <v>7338110.4216827173</v>
      </c>
      <c r="G289" s="289">
        <f>'H) Péréquation directe'!I299</f>
        <v>4258334</v>
      </c>
      <c r="H289" s="289">
        <f>'I) Dépenses thématiques'!O288</f>
        <v>-931618</v>
      </c>
      <c r="I289" s="289">
        <f>'K) Plafonnement aide'!J288</f>
        <v>0</v>
      </c>
      <c r="J289" s="289">
        <f>'J) Plafonnement effort'!I288</f>
        <v>0</v>
      </c>
      <c r="K289" s="289">
        <f>'L) Plafonnement taux'!Q289</f>
        <v>0</v>
      </c>
      <c r="L289" s="401">
        <f t="shared" si="10"/>
        <v>10664826.421682717</v>
      </c>
      <c r="M289" s="401">
        <f>'M) Police'!O289</f>
        <v>444386.89150966343</v>
      </c>
      <c r="N289" s="401">
        <f t="shared" si="9"/>
        <v>11109213.313192381</v>
      </c>
    </row>
    <row r="290" spans="1:14" s="279" customFormat="1" x14ac:dyDescent="0.25">
      <c r="A290" s="275">
        <f>'B) D RI'!A291</f>
        <v>5889</v>
      </c>
      <c r="B290" s="276" t="str">
        <f>'B) D RI'!B291</f>
        <v>La Tour-de-Peilz</v>
      </c>
      <c r="C290" s="277">
        <f>'B) D RI'!S291</f>
        <v>64</v>
      </c>
      <c r="D290" s="278">
        <f>'B) D RI'!AR291</f>
        <v>11207</v>
      </c>
      <c r="E290" s="285">
        <f>'D) Ecrêtage'!N289</f>
        <v>593029.02942708356</v>
      </c>
      <c r="F290" s="289">
        <f>'E) Fact soc'!G295</f>
        <v>10187369.945510648</v>
      </c>
      <c r="G290" s="289">
        <f>'H) Péréquation directe'!I300</f>
        <v>4928233</v>
      </c>
      <c r="H290" s="289">
        <f>'I) Dépenses thématiques'!O289</f>
        <v>0</v>
      </c>
      <c r="I290" s="289">
        <f>'K) Plafonnement aide'!J289</f>
        <v>0</v>
      </c>
      <c r="J290" s="289">
        <f>'J) Plafonnement effort'!I289</f>
        <v>0</v>
      </c>
      <c r="K290" s="289">
        <f>'L) Plafonnement taux'!Q290</f>
        <v>0</v>
      </c>
      <c r="L290" s="401">
        <f t="shared" si="10"/>
        <v>15115602.945510648</v>
      </c>
      <c r="M290" s="401">
        <f>'M) Police'!O290</f>
        <v>800511.87113751692</v>
      </c>
      <c r="N290" s="401">
        <f t="shared" si="9"/>
        <v>15916114.816648165</v>
      </c>
    </row>
    <row r="291" spans="1:14" s="279" customFormat="1" x14ac:dyDescent="0.25">
      <c r="A291" s="275">
        <f>'B) D RI'!A292</f>
        <v>5890</v>
      </c>
      <c r="B291" s="276" t="str">
        <f>'B) D RI'!B292</f>
        <v>Vevey</v>
      </c>
      <c r="C291" s="277">
        <f>'B) D RI'!S292</f>
        <v>73</v>
      </c>
      <c r="D291" s="278">
        <f>'B) D RI'!AR292</f>
        <v>18838</v>
      </c>
      <c r="E291" s="285">
        <f>'D) Ecrêtage'!N290</f>
        <v>920050.18059360737</v>
      </c>
      <c r="F291" s="289">
        <f>'E) Fact soc'!G296</f>
        <v>15816384.55193341</v>
      </c>
      <c r="G291" s="289">
        <f>'H) Péréquation directe'!I301</f>
        <v>3292452</v>
      </c>
      <c r="H291" s="289">
        <f>'I) Dépenses thématiques'!O290</f>
        <v>-782953</v>
      </c>
      <c r="I291" s="289">
        <f>'K) Plafonnement aide'!J290</f>
        <v>0</v>
      </c>
      <c r="J291" s="289">
        <f>'J) Plafonnement effort'!I290</f>
        <v>0</v>
      </c>
      <c r="K291" s="289">
        <f>'L) Plafonnement taux'!Q291</f>
        <v>0</v>
      </c>
      <c r="L291" s="401">
        <f t="shared" si="10"/>
        <v>18325883.551933408</v>
      </c>
      <c r="M291" s="401">
        <f>'M) Police'!O291</f>
        <v>1241947.7884901036</v>
      </c>
      <c r="N291" s="401">
        <f t="shared" si="9"/>
        <v>19567831.340423509</v>
      </c>
    </row>
    <row r="292" spans="1:14" s="279" customFormat="1" x14ac:dyDescent="0.25">
      <c r="A292" s="275">
        <f>'B) D RI'!A293</f>
        <v>5891</v>
      </c>
      <c r="B292" s="276" t="str">
        <f>'B) D RI'!B293</f>
        <v>Veytaux</v>
      </c>
      <c r="C292" s="277">
        <f>'B) D RI'!S293</f>
        <v>69</v>
      </c>
      <c r="D292" s="278">
        <f>'B) D RI'!AR293</f>
        <v>845</v>
      </c>
      <c r="E292" s="285">
        <f>'D) Ecrêtage'!N291</f>
        <v>37637.543719806752</v>
      </c>
      <c r="F292" s="289">
        <f>'E) Fact soc'!G297</f>
        <v>858391.97254309396</v>
      </c>
      <c r="G292" s="289">
        <f>'H) Péréquation directe'!I302</f>
        <v>613898</v>
      </c>
      <c r="H292" s="289">
        <f>'I) Dépenses thématiques'!O291</f>
        <v>-343589</v>
      </c>
      <c r="I292" s="289">
        <f>'K) Plafonnement aide'!J291</f>
        <v>0</v>
      </c>
      <c r="J292" s="289">
        <f>'J) Plafonnement effort'!I291</f>
        <v>0</v>
      </c>
      <c r="K292" s="289">
        <f>'L) Plafonnement taux'!Q292</f>
        <v>0</v>
      </c>
      <c r="L292" s="401">
        <f t="shared" si="10"/>
        <v>1128700.9725430938</v>
      </c>
      <c r="M292" s="401">
        <f>'M) Police'!O292</f>
        <v>50805.776872795024</v>
      </c>
      <c r="N292" s="401">
        <f t="shared" si="9"/>
        <v>1179506.7494158889</v>
      </c>
    </row>
    <row r="293" spans="1:14" s="279" customFormat="1" x14ac:dyDescent="0.25">
      <c r="A293" s="275">
        <f>'B) D RI'!A294</f>
        <v>5902</v>
      </c>
      <c r="B293" s="276" t="str">
        <f>'B) D RI'!B294</f>
        <v>Belmont-sur-Yverdon</v>
      </c>
      <c r="C293" s="277">
        <f>'B) D RI'!S294</f>
        <v>76</v>
      </c>
      <c r="D293" s="278">
        <f>'B) D RI'!AR294</f>
        <v>357</v>
      </c>
      <c r="E293" s="285">
        <f>'D) Ecrêtage'!N292</f>
        <v>8809.0856578947369</v>
      </c>
      <c r="F293" s="289">
        <f>'E) Fact soc'!G298</f>
        <v>175195.25452828725</v>
      </c>
      <c r="G293" s="289">
        <f>'H) Péréquation directe'!I303</f>
        <v>-29551.936941261753</v>
      </c>
      <c r="H293" s="289">
        <f>'I) Dépenses thématiques'!O292</f>
        <v>-15157</v>
      </c>
      <c r="I293" s="289">
        <f>'K) Plafonnement aide'!J292</f>
        <v>0</v>
      </c>
      <c r="J293" s="289">
        <f>'J) Plafonnement effort'!I292</f>
        <v>0</v>
      </c>
      <c r="K293" s="289">
        <f>'L) Plafonnement taux'!Q293</f>
        <v>0</v>
      </c>
      <c r="L293" s="401">
        <f t="shared" si="10"/>
        <v>130486.31758702549</v>
      </c>
      <c r="M293" s="401">
        <f>'M) Police'!O293</f>
        <v>28347.380538581594</v>
      </c>
      <c r="N293" s="401">
        <f t="shared" si="9"/>
        <v>158833.6981256071</v>
      </c>
    </row>
    <row r="294" spans="1:14" s="279" customFormat="1" x14ac:dyDescent="0.25">
      <c r="A294" s="275">
        <f>'B) D RI'!A295</f>
        <v>5903</v>
      </c>
      <c r="B294" s="276" t="str">
        <f>'B) D RI'!B295</f>
        <v>Bioley-Magnoux</v>
      </c>
      <c r="C294" s="277">
        <f>'B) D RI'!S295</f>
        <v>74</v>
      </c>
      <c r="D294" s="278">
        <f>'B) D RI'!AR295</f>
        <v>196</v>
      </c>
      <c r="E294" s="285">
        <f>'D) Ecrêtage'!N293</f>
        <v>6088.8460038610028</v>
      </c>
      <c r="F294" s="289">
        <f>'E) Fact soc'!G299</f>
        <v>97923.699481482254</v>
      </c>
      <c r="G294" s="289">
        <f>'H) Péréquation directe'!I304</f>
        <v>38782.347449559136</v>
      </c>
      <c r="H294" s="289">
        <f>'I) Dépenses thématiques'!O293</f>
        <v>-21583</v>
      </c>
      <c r="I294" s="289">
        <f>'K) Plafonnement aide'!J293</f>
        <v>0</v>
      </c>
      <c r="J294" s="289">
        <f>'J) Plafonnement effort'!I293</f>
        <v>0</v>
      </c>
      <c r="K294" s="289">
        <f>'L) Plafonnement taux'!Q294</f>
        <v>0</v>
      </c>
      <c r="L294" s="401">
        <f t="shared" si="10"/>
        <v>115123.0469310414</v>
      </c>
      <c r="M294" s="401">
        <f>'M) Police'!O294</f>
        <v>19591.618246971735</v>
      </c>
      <c r="N294" s="401">
        <f t="shared" si="9"/>
        <v>134714.66517801315</v>
      </c>
    </row>
    <row r="295" spans="1:14" s="279" customFormat="1" x14ac:dyDescent="0.25">
      <c r="A295" s="275">
        <f>'B) D RI'!A296</f>
        <v>5904</v>
      </c>
      <c r="B295" s="276" t="str">
        <f>'B) D RI'!B296</f>
        <v>Chamblon</v>
      </c>
      <c r="C295" s="277">
        <f>'B) D RI'!S296</f>
        <v>66</v>
      </c>
      <c r="D295" s="278">
        <f>'B) D RI'!AR296</f>
        <v>590</v>
      </c>
      <c r="E295" s="285">
        <f>'D) Ecrêtage'!N294</f>
        <v>21622.015909090911</v>
      </c>
      <c r="F295" s="289">
        <f>'E) Fact soc'!G300</f>
        <v>348665.3298469804</v>
      </c>
      <c r="G295" s="289">
        <f>'H) Péréquation directe'!I305</f>
        <v>268530.60509777727</v>
      </c>
      <c r="H295" s="289">
        <f>'I) Dépenses thématiques'!O294</f>
        <v>0</v>
      </c>
      <c r="I295" s="289">
        <f>'K) Plafonnement aide'!J294</f>
        <v>0</v>
      </c>
      <c r="J295" s="289">
        <f>'J) Plafonnement effort'!I294</f>
        <v>0</v>
      </c>
      <c r="K295" s="289">
        <f>'L) Plafonnement taux'!Q295</f>
        <v>0</v>
      </c>
      <c r="L295" s="401">
        <f t="shared" si="10"/>
        <v>617195.93494475773</v>
      </c>
      <c r="M295" s="401">
        <f>'M) Police'!O295</f>
        <v>29186.902418374324</v>
      </c>
      <c r="N295" s="401">
        <f t="shared" si="9"/>
        <v>646382.83736313204</v>
      </c>
    </row>
    <row r="296" spans="1:14" s="279" customFormat="1" x14ac:dyDescent="0.25">
      <c r="A296" s="275">
        <f>'B) D RI'!A297</f>
        <v>5905</v>
      </c>
      <c r="B296" s="276" t="str">
        <f>'B) D RI'!B297</f>
        <v>Champvent</v>
      </c>
      <c r="C296" s="277">
        <f>'B) D RI'!S297</f>
        <v>71</v>
      </c>
      <c r="D296" s="278">
        <f>'B) D RI'!AR297</f>
        <v>600</v>
      </c>
      <c r="E296" s="285">
        <f>'D) Ecrêtage'!N295</f>
        <v>20315.716338028171</v>
      </c>
      <c r="F296" s="289">
        <f>'E) Fact soc'!G301</f>
        <v>360832.60864840646</v>
      </c>
      <c r="G296" s="289">
        <f>'H) Péréquation directe'!I306</f>
        <v>196718.19472743379</v>
      </c>
      <c r="H296" s="289">
        <f>'I) Dépenses thématiques'!O295</f>
        <v>0</v>
      </c>
      <c r="I296" s="289">
        <f>'K) Plafonnement aide'!J295</f>
        <v>0</v>
      </c>
      <c r="J296" s="289">
        <f>'J) Plafonnement effort'!I295</f>
        <v>0</v>
      </c>
      <c r="K296" s="289">
        <f>'L) Plafonnement taux'!Q296</f>
        <v>0</v>
      </c>
      <c r="L296" s="401">
        <f t="shared" si="10"/>
        <v>557550.80337584019</v>
      </c>
      <c r="M296" s="401">
        <f>'M) Police'!O296</f>
        <v>65622.439015822805</v>
      </c>
      <c r="N296" s="401">
        <f t="shared" si="9"/>
        <v>623173.24239166302</v>
      </c>
    </row>
    <row r="297" spans="1:14" s="279" customFormat="1" x14ac:dyDescent="0.25">
      <c r="A297" s="275">
        <f>'B) D RI'!A298</f>
        <v>5907</v>
      </c>
      <c r="B297" s="276" t="str">
        <f>'B) D RI'!B298</f>
        <v>Chavannes-le-Chêne</v>
      </c>
      <c r="C297" s="277">
        <f>'B) D RI'!S298</f>
        <v>78</v>
      </c>
      <c r="D297" s="278">
        <f>'B) D RI'!AR298</f>
        <v>274</v>
      </c>
      <c r="E297" s="285">
        <f>'D) Ecrêtage'!N296</f>
        <v>6770.541794871795</v>
      </c>
      <c r="F297" s="289">
        <f>'E) Fact soc'!G302</f>
        <v>110868.45204663411</v>
      </c>
      <c r="G297" s="289">
        <f>'H) Péréquation directe'!I307</f>
        <v>-28713.20371829244</v>
      </c>
      <c r="H297" s="289">
        <f>'I) Dépenses thématiques'!O296</f>
        <v>-107787</v>
      </c>
      <c r="I297" s="289">
        <f>'K) Plafonnement aide'!J296</f>
        <v>0</v>
      </c>
      <c r="J297" s="289">
        <f>'J) Plafonnement effort'!I296</f>
        <v>0</v>
      </c>
      <c r="K297" s="289">
        <f>'L) Plafonnement taux'!Q297</f>
        <v>0</v>
      </c>
      <c r="L297" s="401">
        <f t="shared" si="10"/>
        <v>-25631.751671658334</v>
      </c>
      <c r="M297" s="401">
        <f>'M) Police'!O297</f>
        <v>21760.324583390895</v>
      </c>
      <c r="N297" s="401">
        <f t="shared" si="9"/>
        <v>-3871.4270882674391</v>
      </c>
    </row>
    <row r="298" spans="1:14" s="279" customFormat="1" x14ac:dyDescent="0.25">
      <c r="A298" s="275">
        <f>'B) D RI'!A299</f>
        <v>5908</v>
      </c>
      <c r="B298" s="276" t="str">
        <f>'B) D RI'!B299</f>
        <v>Chêne-Pâquier</v>
      </c>
      <c r="C298" s="277">
        <f>'B) D RI'!S299</f>
        <v>79</v>
      </c>
      <c r="D298" s="278">
        <f>'B) D RI'!AR299</f>
        <v>132</v>
      </c>
      <c r="E298" s="285">
        <f>'D) Ecrêtage'!N297</f>
        <v>3326.5444303797472</v>
      </c>
      <c r="F298" s="289">
        <f>'E) Fact soc'!G303</f>
        <v>66952.780554570141</v>
      </c>
      <c r="G298" s="289">
        <f>'H) Péréquation directe'!I308</f>
        <v>-12598.597566370372</v>
      </c>
      <c r="H298" s="289">
        <f>'I) Dépenses thématiques'!O297</f>
        <v>-34318</v>
      </c>
      <c r="I298" s="289">
        <f>'K) Plafonnement aide'!J297</f>
        <v>0</v>
      </c>
      <c r="J298" s="289">
        <f>'J) Plafonnement effort'!I297</f>
        <v>0</v>
      </c>
      <c r="K298" s="289">
        <f>'L) Plafonnement taux'!Q298</f>
        <v>0</v>
      </c>
      <c r="L298" s="401">
        <f t="shared" si="10"/>
        <v>20036.182988199769</v>
      </c>
      <c r="M298" s="401">
        <f>'M) Police'!O298</f>
        <v>10753.464813459206</v>
      </c>
      <c r="N298" s="401">
        <f t="shared" si="9"/>
        <v>30789.647801658975</v>
      </c>
    </row>
    <row r="299" spans="1:14" s="279" customFormat="1" x14ac:dyDescent="0.25">
      <c r="A299" s="275">
        <f>'B) D RI'!A300</f>
        <v>5909</v>
      </c>
      <c r="B299" s="276" t="str">
        <f>'B) D RI'!B300</f>
        <v>Cheseaux-Noréaz</v>
      </c>
      <c r="C299" s="277">
        <f>'B) D RI'!S300</f>
        <v>64</v>
      </c>
      <c r="D299" s="278">
        <f>'B) D RI'!AR300</f>
        <v>663</v>
      </c>
      <c r="E299" s="285">
        <f>'D) Ecrêtage'!N298</f>
        <v>30671.321093750001</v>
      </c>
      <c r="F299" s="289">
        <f>'E) Fact soc'!G304</f>
        <v>620620.66227965732</v>
      </c>
      <c r="G299" s="289">
        <f>'H) Péréquation directe'!I309</f>
        <v>502834</v>
      </c>
      <c r="H299" s="289">
        <f>'I) Dépenses thématiques'!O298</f>
        <v>-82840</v>
      </c>
      <c r="I299" s="289">
        <f>'K) Plafonnement aide'!J298</f>
        <v>0</v>
      </c>
      <c r="J299" s="289">
        <f>'J) Plafonnement effort'!I298</f>
        <v>0</v>
      </c>
      <c r="K299" s="289">
        <f>'L) Plafonnement taux'!Q299</f>
        <v>0</v>
      </c>
      <c r="L299" s="401">
        <f t="shared" si="10"/>
        <v>1040614.6622796573</v>
      </c>
      <c r="M299" s="401">
        <f>'M) Police'!O299</f>
        <v>41402.284577430306</v>
      </c>
      <c r="N299" s="401">
        <f t="shared" si="9"/>
        <v>1082016.9468570875</v>
      </c>
    </row>
    <row r="300" spans="1:14" s="279" customFormat="1" x14ac:dyDescent="0.25">
      <c r="A300" s="275">
        <f>'B) D RI'!A301</f>
        <v>5910</v>
      </c>
      <c r="B300" s="276" t="str">
        <f>'B) D RI'!B301</f>
        <v>Cronay</v>
      </c>
      <c r="C300" s="277">
        <f>'B) D RI'!S301</f>
        <v>81</v>
      </c>
      <c r="D300" s="278">
        <f>'B) D RI'!AR301</f>
        <v>352</v>
      </c>
      <c r="E300" s="285">
        <f>'D) Ecrêtage'!N299</f>
        <v>9292.7018518518507</v>
      </c>
      <c r="F300" s="289">
        <f>'E) Fact soc'!G305</f>
        <v>159203.82150357135</v>
      </c>
      <c r="G300" s="289">
        <f>'H) Péréquation directe'!I310</f>
        <v>-23114.922014608455</v>
      </c>
      <c r="H300" s="289">
        <f>'I) Dépenses thématiques'!O299</f>
        <v>-97422</v>
      </c>
      <c r="I300" s="289">
        <f>'K) Plafonnement aide'!J299</f>
        <v>0</v>
      </c>
      <c r="J300" s="289">
        <f>'J) Plafonnement effort'!I299</f>
        <v>0</v>
      </c>
      <c r="K300" s="289">
        <f>'L) Plafonnement taux'!Q300</f>
        <v>0</v>
      </c>
      <c r="L300" s="401">
        <f t="shared" si="10"/>
        <v>38666.899488962896</v>
      </c>
      <c r="M300" s="401">
        <f>'M) Police'!O300</f>
        <v>30018.574197533591</v>
      </c>
      <c r="N300" s="401">
        <f t="shared" si="9"/>
        <v>68685.473686496494</v>
      </c>
    </row>
    <row r="301" spans="1:14" s="279" customFormat="1" x14ac:dyDescent="0.25">
      <c r="A301" s="275">
        <f>'B) D RI'!A302</f>
        <v>5911</v>
      </c>
      <c r="B301" s="276" t="str">
        <f>'B) D RI'!B302</f>
        <v>Cuarny</v>
      </c>
      <c r="C301" s="277">
        <f>'B) D RI'!S302</f>
        <v>81</v>
      </c>
      <c r="D301" s="278">
        <f>'B) D RI'!AR302</f>
        <v>204</v>
      </c>
      <c r="E301" s="285">
        <f>'D) Ecrêtage'!N300</f>
        <v>6815.3613580246902</v>
      </c>
      <c r="F301" s="289">
        <f>'E) Fact soc'!G306</f>
        <v>111856.46955094305</v>
      </c>
      <c r="G301" s="289">
        <f>'H) Péréquation directe'!I311</f>
        <v>50448.216926985915</v>
      </c>
      <c r="H301" s="289">
        <f>'I) Dépenses thématiques'!O300</f>
        <v>-86842</v>
      </c>
      <c r="I301" s="289">
        <f>'K) Plafonnement aide'!J300</f>
        <v>0</v>
      </c>
      <c r="J301" s="289">
        <f>'J) Plafonnement effort'!I300</f>
        <v>0</v>
      </c>
      <c r="K301" s="289">
        <f>'L) Plafonnement taux'!Q301</f>
        <v>0</v>
      </c>
      <c r="L301" s="401">
        <f t="shared" si="10"/>
        <v>75462.686477928946</v>
      </c>
      <c r="M301" s="401">
        <f>'M) Police'!O301</f>
        <v>22264.399129220463</v>
      </c>
      <c r="N301" s="401">
        <f t="shared" si="9"/>
        <v>97727.085607149405</v>
      </c>
    </row>
    <row r="302" spans="1:14" s="279" customFormat="1" x14ac:dyDescent="0.25">
      <c r="A302" s="275">
        <f>'B) D RI'!A303</f>
        <v>5912</v>
      </c>
      <c r="B302" s="276" t="str">
        <f>'B) D RI'!B303</f>
        <v>Démoret</v>
      </c>
      <c r="C302" s="277">
        <f>'B) D RI'!S303</f>
        <v>81</v>
      </c>
      <c r="D302" s="278">
        <f>'B) D RI'!AR303</f>
        <v>126</v>
      </c>
      <c r="E302" s="285">
        <f>'D) Ecrêtage'!N301</f>
        <v>3149.2327160493824</v>
      </c>
      <c r="F302" s="289">
        <f>'E) Fact soc'!G307</f>
        <v>46306.232133669335</v>
      </c>
      <c r="G302" s="289">
        <f>'H) Péréquation directe'!I312</f>
        <v>-16183.0870585581</v>
      </c>
      <c r="H302" s="289">
        <f>'I) Dépenses thématiques'!O301</f>
        <v>-19474</v>
      </c>
      <c r="I302" s="289">
        <f>'K) Plafonnement aide'!J301</f>
        <v>0</v>
      </c>
      <c r="J302" s="289">
        <f>'J) Plafonnement effort'!I301</f>
        <v>0</v>
      </c>
      <c r="K302" s="289">
        <f>'L) Plafonnement taux'!Q302</f>
        <v>0</v>
      </c>
      <c r="L302" s="401">
        <f t="shared" si="10"/>
        <v>10649.145075111235</v>
      </c>
      <c r="M302" s="401">
        <f>'M) Police'!O302</f>
        <v>10183.454807118429</v>
      </c>
      <c r="N302" s="401">
        <f t="shared" si="9"/>
        <v>20832.599882229664</v>
      </c>
    </row>
    <row r="303" spans="1:14" s="279" customFormat="1" x14ac:dyDescent="0.25">
      <c r="A303" s="275">
        <f>'B) D RI'!A304</f>
        <v>5913</v>
      </c>
      <c r="B303" s="276" t="str">
        <f>'B) D RI'!B304</f>
        <v>Donneloye</v>
      </c>
      <c r="C303" s="277">
        <f>'B) D RI'!S304</f>
        <v>73</v>
      </c>
      <c r="D303" s="278">
        <f>'B) D RI'!AR304</f>
        <v>728</v>
      </c>
      <c r="E303" s="285">
        <f>'D) Ecrêtage'!N302</f>
        <v>23147.804931506846</v>
      </c>
      <c r="F303" s="289">
        <f>'E) Fact soc'!G308</f>
        <v>385292.30578761559</v>
      </c>
      <c r="G303" s="289">
        <f>'H) Péréquation directe'!I313</f>
        <v>170644.21844193086</v>
      </c>
      <c r="H303" s="289">
        <f>'I) Dépenses thématiques'!O302</f>
        <v>-27830</v>
      </c>
      <c r="I303" s="289">
        <f>'K) Plafonnement aide'!J302</f>
        <v>0</v>
      </c>
      <c r="J303" s="289">
        <f>'J) Plafonnement effort'!I302</f>
        <v>0</v>
      </c>
      <c r="K303" s="289">
        <f>'L) Plafonnement taux'!Q303</f>
        <v>0</v>
      </c>
      <c r="L303" s="401">
        <f t="shared" si="10"/>
        <v>528106.52422954643</v>
      </c>
      <c r="M303" s="401">
        <f>'M) Police'!O303</f>
        <v>75084.372366271797</v>
      </c>
      <c r="N303" s="401">
        <f t="shared" si="9"/>
        <v>603190.89659581822</v>
      </c>
    </row>
    <row r="304" spans="1:14" s="279" customFormat="1" x14ac:dyDescent="0.25">
      <c r="A304" s="275">
        <f>'B) D RI'!A305</f>
        <v>5914</v>
      </c>
      <c r="B304" s="276" t="str">
        <f>'B) D RI'!B305</f>
        <v>Ependes</v>
      </c>
      <c r="C304" s="277">
        <f>'B) D RI'!S305</f>
        <v>75</v>
      </c>
      <c r="D304" s="278">
        <f>'B) D RI'!AR305</f>
        <v>344</v>
      </c>
      <c r="E304" s="285">
        <f>'D) Ecrêtage'!N303</f>
        <v>8718.0938666666661</v>
      </c>
      <c r="F304" s="289">
        <f>'E) Fact soc'!G309</f>
        <v>133706.1544554462</v>
      </c>
      <c r="G304" s="289">
        <f>'H) Péréquation directe'!I314</f>
        <v>-15107.61616150476</v>
      </c>
      <c r="H304" s="289">
        <f>'I) Dépenses thématiques'!O303</f>
        <v>-24316</v>
      </c>
      <c r="I304" s="289">
        <f>'K) Plafonnement aide'!J303</f>
        <v>0</v>
      </c>
      <c r="J304" s="289">
        <f>'J) Plafonnement effort'!I303</f>
        <v>0</v>
      </c>
      <c r="K304" s="289">
        <f>'L) Plafonnement taux'!Q304</f>
        <v>0</v>
      </c>
      <c r="L304" s="401">
        <f t="shared" si="10"/>
        <v>94282.538293941441</v>
      </c>
      <c r="M304" s="401">
        <f>'M) Police'!O304</f>
        <v>11768.290062798595</v>
      </c>
      <c r="N304" s="401">
        <f t="shared" si="9"/>
        <v>106050.82835674004</v>
      </c>
    </row>
    <row r="305" spans="1:14" s="279" customFormat="1" x14ac:dyDescent="0.25">
      <c r="A305" s="275">
        <f>'B) D RI'!A306</f>
        <v>5915</v>
      </c>
      <c r="B305" s="276" t="str">
        <f>'B) D RI'!B306</f>
        <v>Essert-Pittet</v>
      </c>
      <c r="C305" s="277">
        <f>'B) D RI'!S306</f>
        <v>75</v>
      </c>
      <c r="D305" s="278">
        <f>'B) D RI'!AR306</f>
        <v>151</v>
      </c>
      <c r="E305" s="285">
        <f>'D) Ecrêtage'!N304</f>
        <v>3469.1017098039219</v>
      </c>
      <c r="F305" s="289">
        <f>'E) Fact soc'!G310</f>
        <v>64810.136188471719</v>
      </c>
      <c r="G305" s="289">
        <f>'H) Péréquation directe'!I315</f>
        <v>-21273.629165472594</v>
      </c>
      <c r="H305" s="289">
        <f>'I) Dépenses thématiques'!O304</f>
        <v>-17103</v>
      </c>
      <c r="I305" s="289">
        <f>'K) Plafonnement aide'!J304</f>
        <v>0</v>
      </c>
      <c r="J305" s="289">
        <f>'J) Plafonnement effort'!I304</f>
        <v>0</v>
      </c>
      <c r="K305" s="289">
        <f>'L) Plafonnement taux'!Q305</f>
        <v>0</v>
      </c>
      <c r="L305" s="401">
        <f t="shared" si="10"/>
        <v>26433.507022999125</v>
      </c>
      <c r="M305" s="401">
        <f>'M) Police'!O305</f>
        <v>4682.8350098887568</v>
      </c>
      <c r="N305" s="401">
        <f t="shared" si="9"/>
        <v>31116.342032887882</v>
      </c>
    </row>
    <row r="306" spans="1:14" s="279" customFormat="1" x14ac:dyDescent="0.25">
      <c r="A306" s="275">
        <f>'B) D RI'!A307</f>
        <v>5919</v>
      </c>
      <c r="B306" s="276" t="str">
        <f>'B) D RI'!B307</f>
        <v>Mathod</v>
      </c>
      <c r="C306" s="277">
        <f>'B) D RI'!S307</f>
        <v>74</v>
      </c>
      <c r="D306" s="278">
        <f>'B) D RI'!AR307</f>
        <v>552</v>
      </c>
      <c r="E306" s="285">
        <f>'D) Ecrêtage'!N305</f>
        <v>14691.435202702703</v>
      </c>
      <c r="F306" s="289">
        <f>'E) Fact soc'!G311</f>
        <v>274591.99443200248</v>
      </c>
      <c r="G306" s="289">
        <f>'H) Péréquation directe'!I316</f>
        <v>10127.638185130549</v>
      </c>
      <c r="H306" s="289">
        <f>'I) Dépenses thématiques'!O305</f>
        <v>-60678</v>
      </c>
      <c r="I306" s="289">
        <f>'K) Plafonnement aide'!J305</f>
        <v>0</v>
      </c>
      <c r="J306" s="289">
        <f>'J) Plafonnement effort'!I305</f>
        <v>0</v>
      </c>
      <c r="K306" s="289">
        <f>'L) Plafonnement taux'!Q306</f>
        <v>0</v>
      </c>
      <c r="L306" s="401">
        <f t="shared" si="10"/>
        <v>224041.63261713303</v>
      </c>
      <c r="M306" s="401">
        <f>'M) Police'!O306</f>
        <v>19831.522067600858</v>
      </c>
      <c r="N306" s="401">
        <f t="shared" si="9"/>
        <v>243873.15468473389</v>
      </c>
    </row>
    <row r="307" spans="1:14" s="279" customFormat="1" x14ac:dyDescent="0.25">
      <c r="A307" s="275">
        <f>'B) D RI'!A308</f>
        <v>5921</v>
      </c>
      <c r="B307" s="276" t="str">
        <f>'B) D RI'!B308</f>
        <v>Molondin</v>
      </c>
      <c r="C307" s="277">
        <f>'B) D RI'!S308</f>
        <v>81</v>
      </c>
      <c r="D307" s="278">
        <f>'B) D RI'!AR308</f>
        <v>228</v>
      </c>
      <c r="E307" s="285">
        <f>'D) Ecrêtage'!N306</f>
        <v>4662.1348148148145</v>
      </c>
      <c r="F307" s="289">
        <f>'E) Fact soc'!G312</f>
        <v>69963.851206615218</v>
      </c>
      <c r="G307" s="289">
        <f>'H) Péréquation directe'!I317</f>
        <v>-75564.8444457156</v>
      </c>
      <c r="H307" s="289">
        <f>'I) Dépenses thématiques'!O306</f>
        <v>-53423</v>
      </c>
      <c r="I307" s="289">
        <f>'K) Plafonnement aide'!J306</f>
        <v>0</v>
      </c>
      <c r="J307" s="289">
        <f>'J) Plafonnement effort'!I306</f>
        <v>0</v>
      </c>
      <c r="K307" s="289">
        <f>'L) Plafonnement taux'!Q307</f>
        <v>0</v>
      </c>
      <c r="L307" s="401">
        <f t="shared" si="10"/>
        <v>-59023.993239100382</v>
      </c>
      <c r="M307" s="401">
        <f>'M) Police'!O307</f>
        <v>14968.394401988735</v>
      </c>
      <c r="N307" s="401">
        <f t="shared" si="9"/>
        <v>-44055.598837111647</v>
      </c>
    </row>
    <row r="308" spans="1:14" s="279" customFormat="1" x14ac:dyDescent="0.25">
      <c r="A308" s="275">
        <f>'B) D RI'!A309</f>
        <v>5922</v>
      </c>
      <c r="B308" s="276" t="str">
        <f>'B) D RI'!B309</f>
        <v>Montagny-près-Yverdon</v>
      </c>
      <c r="C308" s="277">
        <f>'B) D RI'!S309</f>
        <v>61</v>
      </c>
      <c r="D308" s="278">
        <f>'B) D RI'!AR309</f>
        <v>725</v>
      </c>
      <c r="E308" s="285">
        <f>'D) Ecrêtage'!N307</f>
        <v>43685.066062100123</v>
      </c>
      <c r="F308" s="289">
        <f>'E) Fact soc'!G313</f>
        <v>887764.00899760227</v>
      </c>
      <c r="G308" s="289">
        <f>'H) Péréquation directe'!I318</f>
        <v>738115</v>
      </c>
      <c r="H308" s="289">
        <f>'I) Dépenses thématiques'!O307</f>
        <v>-59632</v>
      </c>
      <c r="I308" s="289">
        <f>'K) Plafonnement aide'!J307</f>
        <v>0</v>
      </c>
      <c r="J308" s="289">
        <f>'J) Plafonnement effort'!I307</f>
        <v>0</v>
      </c>
      <c r="K308" s="289">
        <f>'L) Plafonnement taux'!Q308</f>
        <v>0</v>
      </c>
      <c r="L308" s="401">
        <f t="shared" si="10"/>
        <v>1566247.0089976024</v>
      </c>
      <c r="M308" s="401">
        <f>'M) Police'!O308</f>
        <v>121236.31859883649</v>
      </c>
      <c r="N308" s="401">
        <f t="shared" si="9"/>
        <v>1687483.3275964388</v>
      </c>
    </row>
    <row r="309" spans="1:14" s="279" customFormat="1" x14ac:dyDescent="0.25">
      <c r="A309" s="275">
        <f>'B) D RI'!A310</f>
        <v>5923</v>
      </c>
      <c r="B309" s="276" t="str">
        <f>'B) D RI'!B310</f>
        <v>Oppens</v>
      </c>
      <c r="C309" s="277">
        <f>'B) D RI'!S310</f>
        <v>81</v>
      </c>
      <c r="D309" s="278">
        <f>'B) D RI'!AR310</f>
        <v>176</v>
      </c>
      <c r="E309" s="285">
        <f>'D) Ecrêtage'!N308</f>
        <v>4470.86061728395</v>
      </c>
      <c r="F309" s="289">
        <f>'E) Fact soc'!G314</f>
        <v>74788.493043838404</v>
      </c>
      <c r="G309" s="289">
        <f>'H) Péréquation directe'!I319</f>
        <v>-19393.076849923644</v>
      </c>
      <c r="H309" s="289">
        <f>'I) Dépenses thématiques'!O308</f>
        <v>-22876</v>
      </c>
      <c r="I309" s="289">
        <f>'K) Plafonnement aide'!J308</f>
        <v>0</v>
      </c>
      <c r="J309" s="289">
        <f>'J) Plafonnement effort'!I308</f>
        <v>0</v>
      </c>
      <c r="K309" s="289">
        <f>'L) Plafonnement taux'!Q309</f>
        <v>0</v>
      </c>
      <c r="L309" s="401">
        <f t="shared" si="10"/>
        <v>32519.41619391476</v>
      </c>
      <c r="M309" s="401">
        <f>'M) Police'!O309</f>
        <v>14440.765593232207</v>
      </c>
      <c r="N309" s="401">
        <f t="shared" si="9"/>
        <v>46960.181787146968</v>
      </c>
    </row>
    <row r="310" spans="1:14" s="279" customFormat="1" x14ac:dyDescent="0.25">
      <c r="A310" s="275">
        <f>'B) D RI'!A311</f>
        <v>5924</v>
      </c>
      <c r="B310" s="276" t="str">
        <f>'B) D RI'!B311</f>
        <v>Orges</v>
      </c>
      <c r="C310" s="277">
        <f>'B) D RI'!S311</f>
        <v>74</v>
      </c>
      <c r="D310" s="278">
        <f>'B) D RI'!AR311</f>
        <v>274</v>
      </c>
      <c r="E310" s="285">
        <f>'D) Ecrêtage'!N309</f>
        <v>7786.4310810810803</v>
      </c>
      <c r="F310" s="289">
        <f>'E) Fact soc'!G315</f>
        <v>133999.251092636</v>
      </c>
      <c r="G310" s="289">
        <f>'H) Péréquation directe'!I320</f>
        <v>24950.721794531593</v>
      </c>
      <c r="H310" s="289">
        <f>'I) Dépenses thématiques'!O309</f>
        <v>0</v>
      </c>
      <c r="I310" s="289">
        <f>'K) Plafonnement aide'!J309</f>
        <v>0</v>
      </c>
      <c r="J310" s="289">
        <f>'J) Plafonnement effort'!I309</f>
        <v>0</v>
      </c>
      <c r="K310" s="289">
        <f>'L) Plafonnement taux'!Q310</f>
        <v>0</v>
      </c>
      <c r="L310" s="401">
        <f t="shared" si="10"/>
        <v>158949.97288716759</v>
      </c>
      <c r="M310" s="401">
        <f>'M) Police'!O310</f>
        <v>25009.907312150805</v>
      </c>
      <c r="N310" s="401">
        <f t="shared" si="9"/>
        <v>183959.8801993184</v>
      </c>
    </row>
    <row r="311" spans="1:14" s="279" customFormat="1" x14ac:dyDescent="0.25">
      <c r="A311" s="275">
        <f>'B) D RI'!A312</f>
        <v>5925</v>
      </c>
      <c r="B311" s="276" t="str">
        <f>'B) D RI'!B312</f>
        <v>Orzens</v>
      </c>
      <c r="C311" s="277">
        <f>'B) D RI'!S312</f>
        <v>79</v>
      </c>
      <c r="D311" s="278">
        <f>'B) D RI'!AR312</f>
        <v>197</v>
      </c>
      <c r="E311" s="285">
        <f>'D) Ecrêtage'!N310</f>
        <v>5069.9973417721512</v>
      </c>
      <c r="F311" s="289">
        <f>'E) Fact soc'!G316</f>
        <v>74963.334064869341</v>
      </c>
      <c r="G311" s="289">
        <f>'H) Péréquation directe'!I321</f>
        <v>-14231.396590027231</v>
      </c>
      <c r="H311" s="289">
        <f>'I) Dépenses thématiques'!O310</f>
        <v>-6650</v>
      </c>
      <c r="I311" s="289">
        <f>'K) Plafonnement aide'!J310</f>
        <v>0</v>
      </c>
      <c r="J311" s="289">
        <f>'J) Plafonnement effort'!I310</f>
        <v>0</v>
      </c>
      <c r="K311" s="289">
        <f>'L) Plafonnement taux'!Q311</f>
        <v>0</v>
      </c>
      <c r="L311" s="401">
        <f t="shared" si="10"/>
        <v>54081.937474842111</v>
      </c>
      <c r="M311" s="401">
        <f>'M) Police'!O311</f>
        <v>16304.797161871702</v>
      </c>
      <c r="N311" s="401">
        <f t="shared" si="9"/>
        <v>70386.734636713809</v>
      </c>
    </row>
    <row r="312" spans="1:14" s="279" customFormat="1" x14ac:dyDescent="0.25">
      <c r="A312" s="275">
        <f>'B) D RI'!A313</f>
        <v>5926</v>
      </c>
      <c r="B312" s="276" t="str">
        <f>'B) D RI'!B313</f>
        <v>Pomy</v>
      </c>
      <c r="C312" s="277">
        <f>'B) D RI'!S313</f>
        <v>71</v>
      </c>
      <c r="D312" s="278">
        <f>'B) D RI'!AR313</f>
        <v>735</v>
      </c>
      <c r="E312" s="285">
        <f>'D) Ecrêtage'!N311</f>
        <v>22116.912816901407</v>
      </c>
      <c r="F312" s="289">
        <f>'E) Fact soc'!G317</f>
        <v>374013.13479355746</v>
      </c>
      <c r="G312" s="289">
        <f>'H) Péréquation directe'!I322</f>
        <v>134046.85479345487</v>
      </c>
      <c r="H312" s="289">
        <f>'I) Dépenses thématiques'!O311</f>
        <v>-20765</v>
      </c>
      <c r="I312" s="289">
        <f>'K) Plafonnement aide'!J311</f>
        <v>0</v>
      </c>
      <c r="J312" s="289">
        <f>'J) Plafonnement effort'!I311</f>
        <v>0</v>
      </c>
      <c r="K312" s="289">
        <f>'L) Plafonnement taux'!Q312</f>
        <v>0</v>
      </c>
      <c r="L312" s="401">
        <f t="shared" si="10"/>
        <v>487294.98958701233</v>
      </c>
      <c r="M312" s="401">
        <f>'M) Police'!O312</f>
        <v>29854.948719706801</v>
      </c>
      <c r="N312" s="401">
        <f t="shared" si="9"/>
        <v>517149.93830671912</v>
      </c>
    </row>
    <row r="313" spans="1:14" s="279" customFormat="1" x14ac:dyDescent="0.25">
      <c r="A313" s="275">
        <f>'B) D RI'!A314</f>
        <v>5928</v>
      </c>
      <c r="B313" s="276" t="str">
        <f>'B) D RI'!B314</f>
        <v>Rovray</v>
      </c>
      <c r="C313" s="277">
        <f>'B) D RI'!S314</f>
        <v>75</v>
      </c>
      <c r="D313" s="278">
        <f>'B) D RI'!AR314</f>
        <v>165</v>
      </c>
      <c r="E313" s="285">
        <f>'D) Ecrêtage'!N312</f>
        <v>4108.2366666666667</v>
      </c>
      <c r="F313" s="289">
        <f>'E) Fact soc'!G318</f>
        <v>69753.378082791707</v>
      </c>
      <c r="G313" s="289">
        <f>'H) Péréquation directe'!I323</f>
        <v>-10250.868511251276</v>
      </c>
      <c r="H313" s="289">
        <f>'I) Dépenses thématiques'!O312</f>
        <v>-13253</v>
      </c>
      <c r="I313" s="289">
        <f>'K) Plafonnement aide'!J312</f>
        <v>0</v>
      </c>
      <c r="J313" s="289">
        <f>'J) Plafonnement effort'!I312</f>
        <v>0</v>
      </c>
      <c r="K313" s="289">
        <f>'L) Plafonnement taux'!Q313</f>
        <v>0</v>
      </c>
      <c r="L313" s="401">
        <f t="shared" si="10"/>
        <v>46249.509571540431</v>
      </c>
      <c r="M313" s="401">
        <f>'M) Police'!O313</f>
        <v>13313.715871815255</v>
      </c>
      <c r="N313" s="401">
        <f t="shared" si="9"/>
        <v>59563.225443355688</v>
      </c>
    </row>
    <row r="314" spans="1:14" s="279" customFormat="1" x14ac:dyDescent="0.25">
      <c r="A314" s="275">
        <f>'B) D RI'!A315</f>
        <v>5929</v>
      </c>
      <c r="B314" s="276" t="str">
        <f>'B) D RI'!B315</f>
        <v>Suchy</v>
      </c>
      <c r="C314" s="277">
        <f>'B) D RI'!S315</f>
        <v>68</v>
      </c>
      <c r="D314" s="278">
        <f>'B) D RI'!AR315</f>
        <v>525</v>
      </c>
      <c r="E314" s="285">
        <f>'D) Ecrêtage'!N313</f>
        <v>16171.057696078431</v>
      </c>
      <c r="F314" s="289">
        <f>'E) Fact soc'!G319</f>
        <v>250430.58706818565</v>
      </c>
      <c r="G314" s="289">
        <f>'H) Péréquation directe'!I324</f>
        <v>121524.48497936522</v>
      </c>
      <c r="H314" s="289">
        <f>'I) Dépenses thématiques'!O313</f>
        <v>-20151</v>
      </c>
      <c r="I314" s="289">
        <f>'K) Plafonnement aide'!J313</f>
        <v>0</v>
      </c>
      <c r="J314" s="289">
        <f>'J) Plafonnement effort'!I313</f>
        <v>0</v>
      </c>
      <c r="K314" s="289">
        <f>'L) Plafonnement taux'!Q314</f>
        <v>0</v>
      </c>
      <c r="L314" s="401">
        <f t="shared" si="10"/>
        <v>351804.07204755087</v>
      </c>
      <c r="M314" s="401">
        <f>'M) Police'!O314</f>
        <v>21828.819521814265</v>
      </c>
      <c r="N314" s="401">
        <f t="shared" si="9"/>
        <v>373632.89156936517</v>
      </c>
    </row>
    <row r="315" spans="1:14" s="279" customFormat="1" x14ac:dyDescent="0.25">
      <c r="A315" s="275">
        <f>'B) D RI'!A316</f>
        <v>5930</v>
      </c>
      <c r="B315" s="276" t="str">
        <f>'B) D RI'!B316</f>
        <v>Suscévaz</v>
      </c>
      <c r="C315" s="277">
        <f>'B) D RI'!S316</f>
        <v>66</v>
      </c>
      <c r="D315" s="278">
        <f>'B) D RI'!AR316</f>
        <v>199</v>
      </c>
      <c r="E315" s="285">
        <f>'D) Ecrêtage'!N314</f>
        <v>4973.4774242424237</v>
      </c>
      <c r="F315" s="289">
        <f>'E) Fact soc'!G320</f>
        <v>146110.99691195338</v>
      </c>
      <c r="G315" s="289">
        <f>'H) Péréquation directe'!I325</f>
        <v>7348.7735353197641</v>
      </c>
      <c r="H315" s="289">
        <f>'I) Dépenses thématiques'!O314</f>
        <v>-5677</v>
      </c>
      <c r="I315" s="289">
        <f>'K) Plafonnement aide'!J314</f>
        <v>0</v>
      </c>
      <c r="J315" s="289">
        <f>'J) Plafonnement effort'!I314</f>
        <v>0</v>
      </c>
      <c r="K315" s="289">
        <f>'L) Plafonnement taux'!Q315</f>
        <v>0</v>
      </c>
      <c r="L315" s="401">
        <f t="shared" si="10"/>
        <v>147782.77044727316</v>
      </c>
      <c r="M315" s="401">
        <f>'M) Police'!O315</f>
        <v>6713.5460852343122</v>
      </c>
      <c r="N315" s="401">
        <f t="shared" si="9"/>
        <v>154496.31653250748</v>
      </c>
    </row>
    <row r="316" spans="1:14" s="279" customFormat="1" x14ac:dyDescent="0.25">
      <c r="A316" s="275">
        <f>'B) D RI'!A317</f>
        <v>5931</v>
      </c>
      <c r="B316" s="276" t="str">
        <f>'B) D RI'!B317</f>
        <v>Treycovagnes</v>
      </c>
      <c r="C316" s="277">
        <f>'B) D RI'!S317</f>
        <v>77</v>
      </c>
      <c r="D316" s="278">
        <f>'B) D RI'!AR317</f>
        <v>471</v>
      </c>
      <c r="E316" s="285">
        <f>'D) Ecrêtage'!N315</f>
        <v>11474.723896103897</v>
      </c>
      <c r="F316" s="289">
        <f>'E) Fact soc'!G321</f>
        <v>180190.79077412389</v>
      </c>
      <c r="G316" s="289">
        <f>'H) Péréquation directe'!I326</f>
        <v>-50694.462962495862</v>
      </c>
      <c r="H316" s="289">
        <f>'I) Dépenses thématiques'!O315</f>
        <v>-18677</v>
      </c>
      <c r="I316" s="289">
        <f>'K) Plafonnement aide'!J315</f>
        <v>0</v>
      </c>
      <c r="J316" s="289">
        <f>'J) Plafonnement effort'!I315</f>
        <v>0</v>
      </c>
      <c r="K316" s="289">
        <f>'L) Plafonnement taux'!Q316</f>
        <v>0</v>
      </c>
      <c r="L316" s="401">
        <f t="shared" si="10"/>
        <v>110819.32781162803</v>
      </c>
      <c r="M316" s="401">
        <f>'M) Police'!O316</f>
        <v>15489.381195606275</v>
      </c>
      <c r="N316" s="401">
        <f t="shared" si="9"/>
        <v>126308.7090072343</v>
      </c>
    </row>
    <row r="317" spans="1:14" s="279" customFormat="1" x14ac:dyDescent="0.25">
      <c r="A317" s="275">
        <f>'B) D RI'!A318</f>
        <v>5932</v>
      </c>
      <c r="B317" s="276" t="str">
        <f>'B) D RI'!B318</f>
        <v>Ursins</v>
      </c>
      <c r="C317" s="277">
        <f>'B) D RI'!S318</f>
        <v>78</v>
      </c>
      <c r="D317" s="278">
        <f>'B) D RI'!AR318</f>
        <v>208</v>
      </c>
      <c r="E317" s="285">
        <f>'D) Ecrêtage'!N316</f>
        <v>5257.3797435897432</v>
      </c>
      <c r="F317" s="289">
        <f>'E) Fact soc'!G322</f>
        <v>76348.809400204686</v>
      </c>
      <c r="G317" s="289">
        <f>'H) Péréquation directe'!I327</f>
        <v>-16764.75329779429</v>
      </c>
      <c r="H317" s="289">
        <f>'I) Dépenses thématiques'!O316</f>
        <v>-23023</v>
      </c>
      <c r="I317" s="289">
        <f>'K) Plafonnement aide'!J316</f>
        <v>0</v>
      </c>
      <c r="J317" s="289">
        <f>'J) Plafonnement effort'!I316</f>
        <v>0</v>
      </c>
      <c r="K317" s="289">
        <f>'L) Plafonnement taux'!Q317</f>
        <v>0</v>
      </c>
      <c r="L317" s="401">
        <f t="shared" si="10"/>
        <v>36561.056102410395</v>
      </c>
      <c r="M317" s="401">
        <f>'M) Police'!O317</f>
        <v>16932.075150143257</v>
      </c>
      <c r="N317" s="401">
        <f t="shared" si="9"/>
        <v>53493.131252553649</v>
      </c>
    </row>
    <row r="318" spans="1:14" s="279" customFormat="1" x14ac:dyDescent="0.25">
      <c r="A318" s="275">
        <f>'B) D RI'!A319</f>
        <v>5933</v>
      </c>
      <c r="B318" s="276" t="str">
        <f>'B) D RI'!B319</f>
        <v>Valeyres-sous-Montagny</v>
      </c>
      <c r="C318" s="277">
        <f>'B) D RI'!S319</f>
        <v>72</v>
      </c>
      <c r="D318" s="278">
        <f>'B) D RI'!AR319</f>
        <v>642</v>
      </c>
      <c r="E318" s="285">
        <f>'D) Ecrêtage'!N317</f>
        <v>19712.293888888889</v>
      </c>
      <c r="F318" s="289">
        <f>'E) Fact soc'!G323</f>
        <v>302423.38029459963</v>
      </c>
      <c r="G318" s="289">
        <f>'H) Péréquation directe'!I328</f>
        <v>127488.38603206523</v>
      </c>
      <c r="H318" s="289">
        <f>'I) Dépenses thématiques'!O317</f>
        <v>-126307</v>
      </c>
      <c r="I318" s="289">
        <f>'K) Plafonnement aide'!J317</f>
        <v>0</v>
      </c>
      <c r="J318" s="289">
        <f>'J) Plafonnement effort'!I317</f>
        <v>0</v>
      </c>
      <c r="K318" s="289">
        <f>'L) Plafonnement taux'!Q318</f>
        <v>0</v>
      </c>
      <c r="L318" s="401">
        <f t="shared" si="10"/>
        <v>303604.76632666483</v>
      </c>
      <c r="M318" s="401">
        <f>'M) Police'!O318</f>
        <v>63314.9269567109</v>
      </c>
      <c r="N318" s="401">
        <f t="shared" si="9"/>
        <v>366919.6932833757</v>
      </c>
    </row>
    <row r="319" spans="1:14" s="279" customFormat="1" x14ac:dyDescent="0.25">
      <c r="A319" s="275">
        <f>'B) D RI'!A320</f>
        <v>5934</v>
      </c>
      <c r="B319" s="276" t="str">
        <f>'B) D RI'!B320</f>
        <v>Valeyres-sous-Ursins</v>
      </c>
      <c r="C319" s="277">
        <f>'B) D RI'!S320</f>
        <v>78</v>
      </c>
      <c r="D319" s="278">
        <f>'B) D RI'!AR320</f>
        <v>241</v>
      </c>
      <c r="E319" s="285">
        <f>'D) Ecrêtage'!N318</f>
        <v>5945.0260256410256</v>
      </c>
      <c r="F319" s="289">
        <f>'E) Fact soc'!G324</f>
        <v>90659.693993284469</v>
      </c>
      <c r="G319" s="289">
        <f>'H) Péréquation directe'!I329</f>
        <v>-25686.121377699019</v>
      </c>
      <c r="H319" s="289">
        <f>'I) Dépenses thématiques'!O318</f>
        <v>-25939</v>
      </c>
      <c r="I319" s="289">
        <f>'K) Plafonnement aide'!J318</f>
        <v>0</v>
      </c>
      <c r="J319" s="289">
        <f>'J) Plafonnement effort'!I318</f>
        <v>0</v>
      </c>
      <c r="K319" s="289">
        <f>'L) Plafonnement taux'!Q319</f>
        <v>0</v>
      </c>
      <c r="L319" s="401">
        <f t="shared" si="10"/>
        <v>39034.57261558545</v>
      </c>
      <c r="M319" s="401">
        <f>'M) Police'!O319</f>
        <v>19224.387719801274</v>
      </c>
      <c r="N319" s="401">
        <f t="shared" si="9"/>
        <v>58258.960335386728</v>
      </c>
    </row>
    <row r="320" spans="1:14" s="279" customFormat="1" x14ac:dyDescent="0.25">
      <c r="A320" s="275">
        <f>'B) D RI'!A321</f>
        <v>5935</v>
      </c>
      <c r="B320" s="276" t="str">
        <f>'B) D RI'!B321</f>
        <v>Villars-Epeney</v>
      </c>
      <c r="C320" s="277">
        <f>'B) D RI'!S321</f>
        <v>60</v>
      </c>
      <c r="D320" s="278">
        <f>'B) D RI'!AR321</f>
        <v>89</v>
      </c>
      <c r="E320" s="285">
        <f>'D) Ecrêtage'!N319</f>
        <v>3981.1370000000011</v>
      </c>
      <c r="F320" s="289">
        <f>'E) Fact soc'!G325</f>
        <v>74172.548690808835</v>
      </c>
      <c r="G320" s="289">
        <f>'H) Péréquation directe'!I330</f>
        <v>64974</v>
      </c>
      <c r="H320" s="289">
        <f>'I) Dépenses thématiques'!O319</f>
        <v>-7171</v>
      </c>
      <c r="I320" s="289">
        <f>'K) Plafonnement aide'!J319</f>
        <v>0</v>
      </c>
      <c r="J320" s="289">
        <f>'J) Plafonnement effort'!I319</f>
        <v>0</v>
      </c>
      <c r="K320" s="289">
        <f>'L) Plafonnement taux'!Q320</f>
        <v>0</v>
      </c>
      <c r="L320" s="401">
        <f t="shared" si="10"/>
        <v>131975.54869080882</v>
      </c>
      <c r="M320" s="401">
        <f>'M) Police'!O320</f>
        <v>12792.291559621628</v>
      </c>
      <c r="N320" s="401">
        <f t="shared" si="9"/>
        <v>144767.84025043045</v>
      </c>
    </row>
    <row r="321" spans="1:14" s="279" customFormat="1" x14ac:dyDescent="0.25">
      <c r="A321" s="275">
        <f>'B) D RI'!A322</f>
        <v>5937</v>
      </c>
      <c r="B321" s="276" t="str">
        <f>'B) D RI'!B322</f>
        <v>Vugelles-La Mothe</v>
      </c>
      <c r="C321" s="277">
        <f>'B) D RI'!S322</f>
        <v>70</v>
      </c>
      <c r="D321" s="278">
        <f>'B) D RI'!AR322</f>
        <v>137</v>
      </c>
      <c r="E321" s="285">
        <f>'D) Ecrêtage'!N320</f>
        <v>2078.5690612244898</v>
      </c>
      <c r="F321" s="289">
        <f>'E) Fact soc'!G326</f>
        <v>42851.42206290234</v>
      </c>
      <c r="G321" s="289">
        <f>'H) Péréquation directe'!I331</f>
        <v>-51717.716132511516</v>
      </c>
      <c r="H321" s="289">
        <f>'I) Dépenses thématiques'!O320</f>
        <v>-38159</v>
      </c>
      <c r="I321" s="289">
        <f>'K) Plafonnement aide'!J320</f>
        <v>0</v>
      </c>
      <c r="J321" s="289">
        <f>'J) Plafonnement effort'!I320</f>
        <v>0</v>
      </c>
      <c r="K321" s="289">
        <f>'L) Plafonnement taux'!Q321</f>
        <v>0</v>
      </c>
      <c r="L321" s="401">
        <f t="shared" si="10"/>
        <v>-47025.294069609175</v>
      </c>
      <c r="M321" s="401">
        <f>'M) Police'!O321</f>
        <v>6547.0006592683067</v>
      </c>
      <c r="N321" s="401">
        <f t="shared" si="9"/>
        <v>-40478.29341034087</v>
      </c>
    </row>
    <row r="322" spans="1:14" s="279" customFormat="1" x14ac:dyDescent="0.25">
      <c r="A322" s="275">
        <f>'B) D RI'!A323</f>
        <v>5938</v>
      </c>
      <c r="B322" s="276" t="str">
        <f>'B) D RI'!B323</f>
        <v>Yverdon-les-Bains</v>
      </c>
      <c r="C322" s="277">
        <f>'B) D RI'!S323</f>
        <v>76.5</v>
      </c>
      <c r="D322" s="278">
        <f>'B) D RI'!AR323</f>
        <v>28972</v>
      </c>
      <c r="E322" s="285">
        <f>'D) Ecrêtage'!N321</f>
        <v>756903.16758169921</v>
      </c>
      <c r="F322" s="289">
        <f>'E) Fact soc'!G327</f>
        <v>14358807.679324441</v>
      </c>
      <c r="G322" s="289">
        <f>'H) Péréquation directe'!I332</f>
        <v>-22332749.776823521</v>
      </c>
      <c r="H322" s="289">
        <f>'I) Dépenses thématiques'!O321</f>
        <v>-6583286</v>
      </c>
      <c r="I322" s="289">
        <f>'K) Plafonnement aide'!J321</f>
        <v>3810974.6757997349</v>
      </c>
      <c r="J322" s="289">
        <f>'J) Plafonnement effort'!I321</f>
        <v>0</v>
      </c>
      <c r="K322" s="289">
        <f>'L) Plafonnement taux'!Q322</f>
        <v>0</v>
      </c>
      <c r="L322" s="401">
        <f t="shared" si="10"/>
        <v>-10746253.421699345</v>
      </c>
      <c r="M322" s="401">
        <f>'M) Police'!O322</f>
        <v>1021720.5918841782</v>
      </c>
      <c r="N322" s="401">
        <f t="shared" si="9"/>
        <v>-9724532.8298151661</v>
      </c>
    </row>
    <row r="323" spans="1:14" s="279" customFormat="1" x14ac:dyDescent="0.25">
      <c r="A323" s="280">
        <f>'B) D RI'!A324</f>
        <v>5939</v>
      </c>
      <c r="B323" s="276" t="str">
        <f>'B) D RI'!B324</f>
        <v>Yvonand</v>
      </c>
      <c r="C323" s="277">
        <f>'B) D RI'!S324</f>
        <v>73</v>
      </c>
      <c r="D323" s="278">
        <f>'B) D RI'!AR324</f>
        <v>3095</v>
      </c>
      <c r="E323" s="285">
        <f>'D) Ecrêtage'!N322</f>
        <v>81342.881095890421</v>
      </c>
      <c r="F323" s="289">
        <f>'E) Fact soc'!G328</f>
        <v>1620897.4663936601</v>
      </c>
      <c r="G323" s="289">
        <f>'H) Péréquation directe'!I333</f>
        <v>-490973.71236239257</v>
      </c>
      <c r="H323" s="289">
        <f>'I) Dépenses thématiques'!O322</f>
        <v>-129038</v>
      </c>
      <c r="I323" s="289">
        <f>'K) Plafonnement aide'!J322</f>
        <v>0</v>
      </c>
      <c r="J323" s="289">
        <f>'J) Plafonnement effort'!I322</f>
        <v>0</v>
      </c>
      <c r="K323" s="289">
        <f>'L) Plafonnement taux'!Q323</f>
        <v>0</v>
      </c>
      <c r="L323" s="401">
        <f t="shared" si="10"/>
        <v>1000885.7540312675</v>
      </c>
      <c r="M323" s="403">
        <f>'M) Police'!O323</f>
        <v>261375.05584893125</v>
      </c>
      <c r="N323" s="403">
        <f t="shared" si="9"/>
        <v>1262260.8098801987</v>
      </c>
    </row>
    <row r="324" spans="1:14" x14ac:dyDescent="0.25">
      <c r="B324" s="54">
        <f>COUNTA(B6:B323)</f>
        <v>318</v>
      </c>
      <c r="C324" s="286"/>
      <c r="D324" s="287">
        <f>SUM(D6:D323)</f>
        <v>755369</v>
      </c>
      <c r="E324" s="287">
        <f>SUM(E6:E323)</f>
        <v>33127335.331169713</v>
      </c>
      <c r="F324" s="260">
        <f>'E) Fact soc'!G329</f>
        <v>703936599.65999973</v>
      </c>
      <c r="G324" s="260">
        <f>'H) Péréquation directe'!I334</f>
        <v>126491160.49087328</v>
      </c>
      <c r="H324" s="260">
        <f>'I) Dépenses thématiques'!O323</f>
        <v>-132509337</v>
      </c>
      <c r="I324" s="260">
        <f>'K) Plafonnement aide'!J323</f>
        <v>6740246.7022361057</v>
      </c>
      <c r="J324" s="260">
        <f>'J) Plafonnement effort'!I323</f>
        <v>-203846.23121607001</v>
      </c>
      <c r="K324" s="260">
        <f>'L) Plafonnement taux'!Q324</f>
        <v>-68223.049893038304</v>
      </c>
      <c r="L324" s="402">
        <f t="shared" si="10"/>
        <v>704386600.57199991</v>
      </c>
      <c r="M324" s="402">
        <f>SUM(M6:M323)</f>
        <v>64955762.999999993</v>
      </c>
      <c r="N324" s="402">
        <f>SUM(N6:N323)</f>
        <v>769342364.57200027</v>
      </c>
    </row>
    <row r="325" spans="1:14" x14ac:dyDescent="0.25">
      <c r="D325" s="24"/>
      <c r="E325" s="24"/>
      <c r="L325" s="9"/>
      <c r="M325" s="9"/>
      <c r="N325" s="9"/>
    </row>
    <row r="326" spans="1:14" x14ac:dyDescent="0.25">
      <c r="H326" s="281"/>
      <c r="I326" s="281"/>
      <c r="J326" s="281"/>
      <c r="K326" s="281"/>
      <c r="L326" s="9"/>
      <c r="M326" s="9"/>
      <c r="N326" s="9"/>
    </row>
  </sheetData>
  <sheetProtection sheet="1" objects="1" scenarios="1"/>
  <mergeCells count="15">
    <mergeCell ref="M4:M5"/>
    <mergeCell ref="N4:N5"/>
    <mergeCell ref="A1:E1"/>
    <mergeCell ref="L4:L5"/>
    <mergeCell ref="K4:K5"/>
    <mergeCell ref="J4:J5"/>
    <mergeCell ref="I4:I5"/>
    <mergeCell ref="H4:H5"/>
    <mergeCell ref="G4:G5"/>
    <mergeCell ref="F4:F5"/>
    <mergeCell ref="E4:E5"/>
    <mergeCell ref="D4:D5"/>
    <mergeCell ref="C4:C5"/>
    <mergeCell ref="B4:B5"/>
    <mergeCell ref="A4:A5"/>
  </mergeCells>
  <phoneticPr fontId="0" type="noConversion"/>
  <printOptions horizontalCentered="1" verticalCentered="1"/>
  <pageMargins left="0.59055118110236227" right="0.59055118110236227" top="0.78740157480314965" bottom="0.78740157480314965" header="0.51181102362204722" footer="0.51181102362204722"/>
  <pageSetup paperSize="8" scale="94" fitToHeight="7" orientation="landscape" horizontalDpi="4294967292" verticalDpi="4294967292" r:id="rId1"/>
  <headerFooter alignWithMargins="0">
    <oddFooter>&amp;LSCL - Division finances communales&amp;C-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F53"/>
  <sheetViews>
    <sheetView tabSelected="1" workbookViewId="0">
      <selection activeCell="C3" sqref="C3:E3"/>
    </sheetView>
  </sheetViews>
  <sheetFormatPr baseColWidth="10" defaultColWidth="10.875" defaultRowHeight="15" x14ac:dyDescent="0.25"/>
  <cols>
    <col min="1" max="1" width="3.375" style="290" customWidth="1"/>
    <col min="2" max="2" width="17.125" style="290" customWidth="1"/>
    <col min="3" max="3" width="16.25" style="290" bestFit="1" customWidth="1"/>
    <col min="4" max="4" width="10.875" style="290"/>
    <col min="5" max="5" width="10.875" style="359"/>
    <col min="6" max="6" width="12.5" style="359" customWidth="1"/>
    <col min="7" max="16384" width="10.875" style="290"/>
  </cols>
  <sheetData>
    <row r="1" spans="2:6" ht="31.5" x14ac:dyDescent="0.5">
      <c r="B1" s="339" t="s">
        <v>565</v>
      </c>
    </row>
    <row r="3" spans="2:6" s="363" customFormat="1" ht="26.25" x14ac:dyDescent="0.4">
      <c r="B3" s="368"/>
      <c r="C3" s="412" t="s">
        <v>303</v>
      </c>
      <c r="D3" s="412"/>
      <c r="E3" s="412"/>
      <c r="F3" s="364"/>
    </row>
    <row r="6" spans="2:6" ht="22.5" x14ac:dyDescent="0.3">
      <c r="B6" s="410" t="str">
        <f>CONCATENATE("Péréquation ",Paramètres!B5)</f>
        <v>Péréquation Acomptes 2016</v>
      </c>
      <c r="C6" s="410"/>
      <c r="D6" s="410"/>
      <c r="E6" s="410"/>
      <c r="F6" s="410"/>
    </row>
    <row r="7" spans="2:6" ht="19.5" x14ac:dyDescent="0.25">
      <c r="B7" s="411" t="str">
        <f>C3</f>
        <v>Aigle</v>
      </c>
      <c r="C7" s="411"/>
      <c r="D7" s="411"/>
      <c r="E7" s="411"/>
      <c r="F7" s="411"/>
    </row>
    <row r="8" spans="2:6" ht="19.5" x14ac:dyDescent="0.25">
      <c r="B8" s="360"/>
      <c r="C8" s="360"/>
      <c r="D8" s="360"/>
      <c r="E8" s="360"/>
      <c r="F8" s="360"/>
    </row>
    <row r="9" spans="2:6" ht="18" x14ac:dyDescent="0.25">
      <c r="B9" s="366" t="s">
        <v>556</v>
      </c>
      <c r="C9" s="174"/>
      <c r="D9" s="174"/>
      <c r="E9" s="367"/>
      <c r="F9" s="367"/>
    </row>
    <row r="10" spans="2:6" x14ac:dyDescent="0.25">
      <c r="B10" s="24"/>
      <c r="C10" s="24"/>
      <c r="D10" s="24"/>
      <c r="E10" s="9"/>
      <c r="F10" s="9"/>
    </row>
    <row r="11" spans="2:6" ht="18.75" x14ac:dyDescent="0.3">
      <c r="B11" s="361" t="s">
        <v>502</v>
      </c>
      <c r="C11" s="24"/>
      <c r="D11" s="24"/>
      <c r="E11" s="9"/>
      <c r="F11" s="9"/>
    </row>
    <row r="12" spans="2:6" x14ac:dyDescent="0.25">
      <c r="B12" s="24" t="s">
        <v>552</v>
      </c>
      <c r="C12" s="24"/>
      <c r="D12" s="24"/>
      <c r="E12" s="365">
        <f>VLOOKUP($C$3,'C) Prél. conj.'!$B$3:$E$400,2,FALSE)*0.5</f>
        <v>394754.17500000005</v>
      </c>
      <c r="F12" s="9"/>
    </row>
    <row r="13" spans="2:6" x14ac:dyDescent="0.25">
      <c r="B13" s="24" t="s">
        <v>230</v>
      </c>
      <c r="C13" s="24"/>
      <c r="D13" s="24"/>
      <c r="E13" s="365">
        <f>VLOOKUP($C$3,'C) Prél. conj.'!$B$3:$E$400,3,FALSE)*0.3</f>
        <v>255985.22999999998</v>
      </c>
      <c r="F13" s="9">
        <f>E12+E13</f>
        <v>650739.40500000003</v>
      </c>
    </row>
    <row r="14" spans="2:6" x14ac:dyDescent="0.25">
      <c r="B14" s="24"/>
      <c r="C14" s="24"/>
      <c r="D14" s="24"/>
      <c r="E14" s="9"/>
      <c r="F14" s="9"/>
    </row>
    <row r="15" spans="2:6" ht="18.75" x14ac:dyDescent="0.3">
      <c r="B15" s="361" t="s">
        <v>550</v>
      </c>
      <c r="C15" s="24"/>
      <c r="D15" s="24"/>
      <c r="E15" s="9"/>
      <c r="F15" s="9"/>
    </row>
    <row r="16" spans="2:6" x14ac:dyDescent="0.25">
      <c r="B16" s="24" t="s">
        <v>554</v>
      </c>
      <c r="C16" s="24"/>
      <c r="D16" s="27">
        <f>VLOOKUP($C$3,'D) Ecrêtage'!$B$3:$M$400,11,FALSE)</f>
        <v>0</v>
      </c>
      <c r="E16" s="9"/>
      <c r="F16" s="9">
        <f>VLOOKUP($C$3,'D) Ecrêtage'!$B$3:$M$400,12,FALSE)</f>
        <v>0</v>
      </c>
    </row>
    <row r="17" spans="2:6" x14ac:dyDescent="0.25">
      <c r="B17" s="24"/>
      <c r="C17" s="24"/>
      <c r="D17" s="24"/>
      <c r="E17" s="9"/>
      <c r="F17" s="9"/>
    </row>
    <row r="18" spans="2:6" ht="18.75" x14ac:dyDescent="0.3">
      <c r="B18" s="361" t="s">
        <v>553</v>
      </c>
      <c r="C18" s="24"/>
      <c r="D18" s="24"/>
      <c r="E18" s="9"/>
      <c r="F18" s="9"/>
    </row>
    <row r="19" spans="2:6" x14ac:dyDescent="0.25">
      <c r="B19" s="24" t="str">
        <f>CONCATENATE("Nombre de points écrêtés à répartir ",ROUND('E) Fact soc'!D7,2))</f>
        <v>Nombre de points écrêtés à répartir 14.79</v>
      </c>
      <c r="C19" s="24"/>
      <c r="D19" s="24"/>
      <c r="E19" s="9"/>
      <c r="F19" s="9"/>
    </row>
    <row r="20" spans="2:6" x14ac:dyDescent="0.25">
      <c r="B20" s="24" t="s">
        <v>564</v>
      </c>
      <c r="C20" s="24"/>
      <c r="D20" s="24"/>
      <c r="E20" s="9"/>
      <c r="F20" s="9">
        <f>VLOOKUP($C$3,'E) Fact soc'!$B$9:$G$400,5,FALSE)</f>
        <v>3789781.7385461493</v>
      </c>
    </row>
    <row r="21" spans="2:6" x14ac:dyDescent="0.25">
      <c r="B21" s="24"/>
      <c r="C21" s="24"/>
      <c r="D21" s="24"/>
      <c r="E21" s="9"/>
      <c r="F21" s="127"/>
    </row>
    <row r="22" spans="2:6" ht="18.75" x14ac:dyDescent="0.3">
      <c r="B22" s="361" t="s">
        <v>555</v>
      </c>
      <c r="C22" s="24"/>
      <c r="D22" s="24"/>
      <c r="E22" s="9"/>
      <c r="F22" s="362">
        <f>F13+F16+F20</f>
        <v>4440521.1435461491</v>
      </c>
    </row>
    <row r="23" spans="2:6" x14ac:dyDescent="0.25">
      <c r="B23" s="24"/>
      <c r="C23" s="24"/>
      <c r="D23" s="24"/>
      <c r="E23" s="9"/>
      <c r="F23" s="9"/>
    </row>
    <row r="24" spans="2:6" ht="18" x14ac:dyDescent="0.25">
      <c r="B24" s="366" t="s">
        <v>375</v>
      </c>
      <c r="C24" s="174"/>
      <c r="D24" s="174"/>
      <c r="E24" s="367"/>
      <c r="F24" s="367"/>
    </row>
    <row r="25" spans="2:6" x14ac:dyDescent="0.25">
      <c r="B25" s="24"/>
      <c r="C25" s="24"/>
      <c r="D25" s="24"/>
      <c r="E25" s="9"/>
      <c r="F25" s="9"/>
    </row>
    <row r="26" spans="2:6" ht="18.75" x14ac:dyDescent="0.3">
      <c r="B26" s="361" t="s">
        <v>350</v>
      </c>
      <c r="C26" s="24"/>
      <c r="D26" s="24"/>
      <c r="E26" s="9"/>
      <c r="F26" s="9">
        <f>-VLOOKUP($C$3,'F) Population'!$B$8:$K$400,10,FALSE)</f>
        <v>-4855350</v>
      </c>
    </row>
    <row r="27" spans="2:6" x14ac:dyDescent="0.25">
      <c r="B27" s="24"/>
      <c r="C27" s="24"/>
      <c r="D27" s="24"/>
      <c r="E27" s="9"/>
      <c r="F27" s="9"/>
    </row>
    <row r="28" spans="2:6" ht="18.75" x14ac:dyDescent="0.3">
      <c r="B28" s="361" t="s">
        <v>557</v>
      </c>
      <c r="C28" s="24"/>
      <c r="D28" s="24"/>
      <c r="E28" s="9"/>
      <c r="F28" s="9">
        <f>-VLOOKUP($C$3,'G) Solidarité'!$B$5:$I$400,8,FALSE)</f>
        <v>-3120677.2662094724</v>
      </c>
    </row>
    <row r="29" spans="2:6" x14ac:dyDescent="0.25">
      <c r="B29" s="24"/>
      <c r="C29" s="24"/>
      <c r="D29" s="24"/>
      <c r="E29" s="9"/>
      <c r="F29" s="9"/>
    </row>
    <row r="30" spans="2:6" ht="18.75" x14ac:dyDescent="0.3">
      <c r="B30" s="361" t="s">
        <v>175</v>
      </c>
      <c r="C30" s="24"/>
      <c r="D30" s="24"/>
      <c r="E30" s="9"/>
      <c r="F30" s="9"/>
    </row>
    <row r="31" spans="2:6" x14ac:dyDescent="0.25">
      <c r="B31" s="24" t="s">
        <v>558</v>
      </c>
      <c r="C31" s="24"/>
      <c r="D31" s="24"/>
      <c r="E31" s="365">
        <f>VLOOKUP($C$3,'I) Dépenses thématiques'!$B$5:$O$400,9,FALSE)</f>
        <v>-2037009</v>
      </c>
      <c r="F31" s="9"/>
    </row>
    <row r="32" spans="2:6" x14ac:dyDescent="0.25">
      <c r="B32" s="24" t="s">
        <v>252</v>
      </c>
      <c r="C32" s="24"/>
      <c r="D32" s="24"/>
      <c r="E32" s="365">
        <f>VLOOKUP($C$3,'I) Dépenses thématiques'!$B$5:$O$400,13,FALSE)</f>
        <v>-79883</v>
      </c>
      <c r="F32" s="9">
        <f>E31+E32</f>
        <v>-2116892</v>
      </c>
    </row>
    <row r="33" spans="2:6" x14ac:dyDescent="0.25">
      <c r="B33" s="24"/>
      <c r="C33" s="24"/>
      <c r="D33" s="24"/>
      <c r="E33" s="9"/>
      <c r="F33" s="9"/>
    </row>
    <row r="34" spans="2:6" ht="18.75" x14ac:dyDescent="0.3">
      <c r="B34" s="361" t="s">
        <v>559</v>
      </c>
      <c r="C34" s="24"/>
      <c r="D34" s="24"/>
      <c r="E34" s="9"/>
      <c r="F34" s="9"/>
    </row>
    <row r="35" spans="2:6" x14ac:dyDescent="0.25">
      <c r="B35" s="24" t="s">
        <v>560</v>
      </c>
      <c r="C35" s="24"/>
      <c r="D35" s="24"/>
      <c r="E35" s="365">
        <f>VLOOKUP($C$3,'J) Plafonnement effort'!$B$5:$I$400,8,FALSE)</f>
        <v>0</v>
      </c>
      <c r="F35" s="9"/>
    </row>
    <row r="36" spans="2:6" x14ac:dyDescent="0.25">
      <c r="B36" s="24" t="s">
        <v>561</v>
      </c>
      <c r="C36" s="24"/>
      <c r="D36" s="24"/>
      <c r="E36" s="365">
        <f>VLOOKUP($C$3,'K) Plafonnement aide'!$B$5:$J$400,9,FALSE)</f>
        <v>0</v>
      </c>
      <c r="F36" s="9"/>
    </row>
    <row r="37" spans="2:6" x14ac:dyDescent="0.25">
      <c r="B37" s="24" t="s">
        <v>562</v>
      </c>
      <c r="C37" s="24"/>
      <c r="D37" s="24"/>
      <c r="E37" s="365">
        <f>VLOOKUP($C$3,'L) Plafonnement taux'!$B$6:$Q$400,16,FALSE)</f>
        <v>0</v>
      </c>
      <c r="F37" s="9">
        <f>SUM(E35:E37)</f>
        <v>0</v>
      </c>
    </row>
    <row r="38" spans="2:6" x14ac:dyDescent="0.25">
      <c r="B38" s="24"/>
      <c r="C38" s="24"/>
      <c r="D38" s="24"/>
      <c r="E38" s="9"/>
      <c r="F38" s="9"/>
    </row>
    <row r="39" spans="2:6" ht="18.75" x14ac:dyDescent="0.3">
      <c r="B39" s="361" t="s">
        <v>121</v>
      </c>
      <c r="C39" s="24"/>
      <c r="D39" s="24"/>
      <c r="E39" s="9"/>
      <c r="F39" s="9">
        <f>VLOOKUP($C$3,'H) Péréquation directe'!$B$16:$I$400,4,FALSE)</f>
        <v>4756143</v>
      </c>
    </row>
    <row r="40" spans="2:6" x14ac:dyDescent="0.25">
      <c r="B40" s="24"/>
      <c r="C40" s="24"/>
      <c r="D40" s="24"/>
      <c r="E40" s="9"/>
      <c r="F40" s="127"/>
    </row>
    <row r="41" spans="2:6" ht="18.75" x14ac:dyDescent="0.3">
      <c r="B41" s="361" t="s">
        <v>563</v>
      </c>
      <c r="C41" s="24"/>
      <c r="D41" s="24"/>
      <c r="E41" s="9"/>
      <c r="F41" s="362">
        <f>F26+F28+F32+F37+F39</f>
        <v>-5336776.266209472</v>
      </c>
    </row>
    <row r="42" spans="2:6" x14ac:dyDescent="0.25">
      <c r="B42" s="24"/>
      <c r="C42" s="24"/>
      <c r="D42" s="24"/>
      <c r="E42" s="9"/>
      <c r="F42" s="9"/>
    </row>
    <row r="43" spans="2:6" ht="18" x14ac:dyDescent="0.25">
      <c r="B43" s="366" t="s">
        <v>572</v>
      </c>
      <c r="C43" s="174"/>
      <c r="D43" s="174"/>
      <c r="E43" s="367"/>
      <c r="F43" s="367"/>
    </row>
    <row r="44" spans="2:6" x14ac:dyDescent="0.25">
      <c r="B44" s="24"/>
      <c r="C44" s="24"/>
      <c r="D44" s="24"/>
      <c r="E44" s="9"/>
      <c r="F44" s="9"/>
    </row>
    <row r="45" spans="2:6" x14ac:dyDescent="0.25">
      <c r="B45" s="24" t="s">
        <v>579</v>
      </c>
      <c r="C45" s="24"/>
      <c r="D45" s="24"/>
      <c r="E45" s="365">
        <f>VLOOKUP($C$3,'M) Police'!$B$6:$N$405,10,FALSE)</f>
        <v>0</v>
      </c>
      <c r="F45" s="9"/>
    </row>
    <row r="46" spans="2:6" x14ac:dyDescent="0.25">
      <c r="B46" s="24" t="s">
        <v>580</v>
      </c>
      <c r="C46" s="24"/>
      <c r="D46" s="24"/>
      <c r="E46" s="365">
        <f>VLOOKUP($C$3,'M) Police'!$B$6:$N$405,13,FALSE)</f>
        <v>345991.04622443515</v>
      </c>
      <c r="F46" s="9">
        <f>E45+E46</f>
        <v>345991.04622443515</v>
      </c>
    </row>
    <row r="47" spans="2:6" x14ac:dyDescent="0.25">
      <c r="B47" s="24"/>
      <c r="C47" s="24"/>
      <c r="D47" s="24"/>
      <c r="E47" s="9"/>
      <c r="F47" s="127"/>
    </row>
    <row r="48" spans="2:6" ht="18.75" x14ac:dyDescent="0.3">
      <c r="B48" s="361" t="s">
        <v>593</v>
      </c>
      <c r="C48" s="24"/>
      <c r="D48" s="24"/>
      <c r="E48" s="9"/>
      <c r="F48" s="362">
        <f>F46</f>
        <v>345991.04622443515</v>
      </c>
    </row>
    <row r="49" spans="2:6" x14ac:dyDescent="0.25">
      <c r="B49" s="24"/>
      <c r="C49" s="24"/>
      <c r="D49" s="24"/>
      <c r="E49" s="9"/>
      <c r="F49" s="9"/>
    </row>
    <row r="50" spans="2:6" ht="18" x14ac:dyDescent="0.25">
      <c r="B50" s="366" t="s">
        <v>581</v>
      </c>
      <c r="C50" s="174"/>
      <c r="D50" s="174"/>
      <c r="E50" s="367"/>
      <c r="F50" s="367"/>
    </row>
    <row r="51" spans="2:6" x14ac:dyDescent="0.25">
      <c r="B51" s="24"/>
      <c r="C51" s="24"/>
      <c r="D51" s="24"/>
      <c r="E51" s="9"/>
      <c r="F51" s="9"/>
    </row>
    <row r="52" spans="2:6" ht="18.75" x14ac:dyDescent="0.3">
      <c r="B52" s="361" t="s">
        <v>582</v>
      </c>
      <c r="C52" s="24"/>
      <c r="D52" s="24"/>
      <c r="E52" s="9"/>
      <c r="F52" s="362">
        <f>F22+F41+F48</f>
        <v>-550264.07643888774</v>
      </c>
    </row>
    <row r="53" spans="2:6" x14ac:dyDescent="0.25">
      <c r="B53" s="24"/>
      <c r="C53" s="24"/>
      <c r="D53" s="24"/>
      <c r="E53" s="9"/>
      <c r="F53" s="9"/>
    </row>
  </sheetData>
  <sheetProtection sheet="1" objects="1" scenarios="1"/>
  <protectedRanges>
    <protectedRange sqref="C3:E3" name="Plage1"/>
  </protectedRanges>
  <mergeCells count="3">
    <mergeCell ref="B6:F6"/>
    <mergeCell ref="B7:F7"/>
    <mergeCell ref="C3:E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9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Paramètres!$A$62:$A$379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M327"/>
  <sheetViews>
    <sheetView zoomScaleNormal="100" workbookViewId="0"/>
  </sheetViews>
  <sheetFormatPr baseColWidth="10" defaultColWidth="8.625" defaultRowHeight="15" x14ac:dyDescent="0.25"/>
  <cols>
    <col min="1" max="1" width="7.75" style="7" customWidth="1"/>
    <col min="2" max="2" width="20.25" style="24" bestFit="1" customWidth="1"/>
    <col min="3" max="3" width="13.25" style="9" bestFit="1" customWidth="1"/>
    <col min="4" max="4" width="10.75" style="9" customWidth="1"/>
    <col min="5" max="5" width="7.125" style="9" customWidth="1"/>
    <col min="6" max="6" width="7.75" style="9" customWidth="1"/>
    <col min="7" max="7" width="11.75" style="9" customWidth="1"/>
    <col min="8" max="8" width="10.25" style="9" customWidth="1"/>
    <col min="9" max="9" width="13.875" style="9" customWidth="1"/>
    <col min="10" max="10" width="12.375" style="9" customWidth="1"/>
    <col min="11" max="11" width="11.75" style="9" customWidth="1"/>
    <col min="12" max="12" width="10.75" style="9" bestFit="1" customWidth="1"/>
    <col min="13" max="13" width="11.875" style="9" customWidth="1"/>
    <col min="14" max="14" width="11.5" style="9" customWidth="1"/>
    <col min="15" max="15" width="13.75" style="9" customWidth="1"/>
    <col min="16" max="16" width="11.5" style="9" customWidth="1"/>
    <col min="17" max="17" width="11.625" style="9" customWidth="1"/>
    <col min="18" max="18" width="9.375" style="9" customWidth="1"/>
    <col min="19" max="19" width="9.25" style="9" customWidth="1"/>
    <col min="20" max="20" width="11.375" style="9" customWidth="1"/>
    <col min="21" max="21" width="9" style="9" customWidth="1"/>
    <col min="22" max="22" width="9.25" style="9" customWidth="1"/>
    <col min="23" max="23" width="12.125" style="9" customWidth="1"/>
    <col min="24" max="24" width="14.5" style="9" customWidth="1"/>
    <col min="25" max="25" width="11.625" style="9" customWidth="1"/>
    <col min="26" max="26" width="9.375" style="9" customWidth="1"/>
    <col min="27" max="27" width="11.625" style="9" customWidth="1"/>
    <col min="28" max="28" width="13" style="9" customWidth="1"/>
    <col min="29" max="29" width="12.25" style="9" customWidth="1"/>
    <col min="30" max="30" width="11.5" style="9" customWidth="1"/>
    <col min="31" max="31" width="9.25" style="9" customWidth="1"/>
    <col min="32" max="32" width="8.125" style="9" customWidth="1"/>
    <col min="33" max="33" width="11.5" style="9" customWidth="1"/>
    <col min="34" max="34" width="10.375" style="9" customWidth="1"/>
    <col min="35" max="35" width="11.5" style="9" customWidth="1"/>
    <col min="36" max="36" width="11.375" style="9" customWidth="1"/>
    <col min="37" max="37" width="11.5" style="9" customWidth="1"/>
    <col min="38" max="38" width="11.375" style="9" customWidth="1"/>
    <col min="39" max="39" width="9.125" style="27" bestFit="1" customWidth="1"/>
    <col min="40" max="40" width="8.875" style="24" bestFit="1" customWidth="1"/>
    <col min="41" max="41" width="11.5" style="9" bestFit="1" customWidth="1"/>
    <col min="42" max="42" width="8.375" style="9" customWidth="1"/>
    <col min="43" max="43" width="12.125" style="9" bestFit="1" customWidth="1"/>
    <col min="44" max="44" width="8.625" style="24" customWidth="1"/>
    <col min="45" max="46" width="11.875" style="27" customWidth="1"/>
    <col min="47" max="47" width="4.625" style="24" bestFit="1" customWidth="1"/>
    <col min="48" max="48" width="16.375" style="24" bestFit="1" customWidth="1"/>
    <col min="49" max="49" width="7.375" style="24" bestFit="1" customWidth="1"/>
    <col min="50" max="50" width="2.375" style="24" bestFit="1" customWidth="1"/>
    <col min="51" max="51" width="8.625" style="24"/>
    <col min="52" max="52" width="7" style="24" bestFit="1" customWidth="1"/>
    <col min="53" max="53" width="19" style="24" bestFit="1" customWidth="1"/>
    <col min="54" max="54" width="6.75" style="24" bestFit="1" customWidth="1"/>
    <col min="55" max="55" width="13.375" style="24" bestFit="1" customWidth="1"/>
    <col min="56" max="56" width="11.5" style="24" bestFit="1" customWidth="1"/>
    <col min="57" max="57" width="10.625" style="24" bestFit="1" customWidth="1"/>
    <col min="58" max="58" width="9.375" style="24" bestFit="1" customWidth="1"/>
    <col min="59" max="59" width="14.625" style="24" bestFit="1" customWidth="1"/>
    <col min="60" max="60" width="8.625" style="24"/>
    <col min="61" max="61" width="9.25" style="24" bestFit="1" customWidth="1"/>
    <col min="62" max="65" width="8.75" style="24" bestFit="1" customWidth="1"/>
    <col min="66" max="16384" width="8.625" style="24"/>
  </cols>
  <sheetData>
    <row r="1" spans="1:65" ht="21" x14ac:dyDescent="0.35">
      <c r="A1" s="55" t="s">
        <v>521</v>
      </c>
      <c r="B1" s="7"/>
      <c r="C1" s="8"/>
      <c r="D1" s="8"/>
      <c r="E1" s="8"/>
      <c r="F1" s="8"/>
      <c r="G1" s="8"/>
      <c r="H1" s="8"/>
      <c r="I1" s="8"/>
      <c r="J1" s="8"/>
      <c r="V1" s="11"/>
    </row>
    <row r="2" spans="1:65" ht="21" x14ac:dyDescent="0.35">
      <c r="A2" s="55" t="str">
        <f>Paramètres!B5</f>
        <v>Acomptes 2016</v>
      </c>
      <c r="C2" s="10"/>
      <c r="D2" s="10"/>
      <c r="E2" s="8"/>
      <c r="F2" s="8"/>
      <c r="G2" s="8"/>
      <c r="H2" s="8"/>
      <c r="I2" s="8"/>
      <c r="J2" s="8"/>
      <c r="V2" s="11"/>
    </row>
    <row r="3" spans="1:65" x14ac:dyDescent="0.25">
      <c r="A3" s="6"/>
      <c r="B3" s="7"/>
      <c r="C3" s="8"/>
      <c r="D3" s="8"/>
      <c r="E3" s="8"/>
      <c r="F3" s="8"/>
      <c r="G3" s="8"/>
      <c r="H3" s="8"/>
      <c r="I3" s="8"/>
      <c r="J3" s="8"/>
      <c r="L3" s="11"/>
    </row>
    <row r="4" spans="1:65" s="48" customFormat="1" ht="38.1" customHeight="1" x14ac:dyDescent="0.25">
      <c r="A4" s="422" t="s">
        <v>53</v>
      </c>
      <c r="B4" s="425" t="s">
        <v>123</v>
      </c>
      <c r="C4" s="416" t="s">
        <v>465</v>
      </c>
      <c r="D4" s="416" t="s">
        <v>466</v>
      </c>
      <c r="E4" s="416" t="s">
        <v>297</v>
      </c>
      <c r="F4" s="416" t="s">
        <v>298</v>
      </c>
      <c r="G4" s="416" t="s">
        <v>467</v>
      </c>
      <c r="H4" s="416" t="s">
        <v>468</v>
      </c>
      <c r="I4" s="416" t="s">
        <v>469</v>
      </c>
      <c r="J4" s="416" t="s">
        <v>435</v>
      </c>
      <c r="K4" s="416" t="s">
        <v>436</v>
      </c>
      <c r="L4" s="416" t="s">
        <v>437</v>
      </c>
      <c r="M4" s="416" t="s">
        <v>229</v>
      </c>
      <c r="N4" s="416" t="s">
        <v>230</v>
      </c>
      <c r="O4" s="416" t="s">
        <v>231</v>
      </c>
      <c r="P4" s="416" t="s">
        <v>232</v>
      </c>
      <c r="Q4" s="416" t="s">
        <v>470</v>
      </c>
      <c r="R4" s="416" t="s">
        <v>233</v>
      </c>
      <c r="S4" s="416" t="s">
        <v>471</v>
      </c>
      <c r="T4" s="416" t="s">
        <v>472</v>
      </c>
      <c r="U4" s="416" t="s">
        <v>124</v>
      </c>
      <c r="V4" s="416" t="s">
        <v>125</v>
      </c>
      <c r="W4" s="420" t="s">
        <v>126</v>
      </c>
      <c r="X4" s="416" t="s">
        <v>174</v>
      </c>
      <c r="Y4" s="418" t="s">
        <v>473</v>
      </c>
      <c r="Z4" s="416" t="s">
        <v>474</v>
      </c>
      <c r="AA4" s="416" t="s">
        <v>475</v>
      </c>
      <c r="AB4" s="416" t="s">
        <v>476</v>
      </c>
      <c r="AC4" s="416" t="s">
        <v>88</v>
      </c>
      <c r="AD4" s="416" t="s">
        <v>89</v>
      </c>
      <c r="AE4" s="416" t="s">
        <v>90</v>
      </c>
      <c r="AF4" s="416" t="s">
        <v>91</v>
      </c>
      <c r="AG4" s="416" t="s">
        <v>92</v>
      </c>
      <c r="AH4" s="416" t="s">
        <v>477</v>
      </c>
      <c r="AI4" s="416" t="s">
        <v>478</v>
      </c>
      <c r="AJ4" s="416" t="s">
        <v>479</v>
      </c>
      <c r="AK4" s="416" t="s">
        <v>480</v>
      </c>
      <c r="AL4" s="420" t="s">
        <v>93</v>
      </c>
      <c r="AM4" s="429" t="s">
        <v>94</v>
      </c>
      <c r="AN4" s="431" t="s">
        <v>520</v>
      </c>
      <c r="AO4" s="416" t="s">
        <v>284</v>
      </c>
      <c r="AP4" s="416" t="s">
        <v>285</v>
      </c>
      <c r="AQ4" s="416" t="s">
        <v>286</v>
      </c>
      <c r="AR4" s="413" t="s">
        <v>590</v>
      </c>
      <c r="AS4" s="28"/>
      <c r="AT4" s="28"/>
      <c r="BC4" s="49"/>
      <c r="BD4" s="49"/>
      <c r="BE4" s="49"/>
      <c r="BF4" s="49"/>
      <c r="BG4" s="49"/>
    </row>
    <row r="5" spans="1:65" s="48" customFormat="1" ht="38.1" customHeight="1" x14ac:dyDescent="0.2">
      <c r="A5" s="423"/>
      <c r="B5" s="426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28"/>
      <c r="R5" s="417"/>
      <c r="S5" s="428"/>
      <c r="T5" s="417"/>
      <c r="U5" s="417"/>
      <c r="V5" s="417"/>
      <c r="W5" s="421"/>
      <c r="X5" s="417"/>
      <c r="Y5" s="419"/>
      <c r="Z5" s="417"/>
      <c r="AA5" s="417"/>
      <c r="AB5" s="417"/>
      <c r="AC5" s="417"/>
      <c r="AD5" s="417"/>
      <c r="AE5" s="417"/>
      <c r="AF5" s="417"/>
      <c r="AG5" s="417"/>
      <c r="AH5" s="428"/>
      <c r="AI5" s="428"/>
      <c r="AJ5" s="428"/>
      <c r="AK5" s="428"/>
      <c r="AL5" s="421"/>
      <c r="AM5" s="430"/>
      <c r="AN5" s="432"/>
      <c r="AO5" s="428"/>
      <c r="AP5" s="428"/>
      <c r="AQ5" s="428"/>
      <c r="AR5" s="414"/>
      <c r="AS5" s="31"/>
      <c r="AT5" s="31"/>
    </row>
    <row r="6" spans="1:65" s="51" customFormat="1" x14ac:dyDescent="0.25">
      <c r="A6" s="424"/>
      <c r="B6" s="427"/>
      <c r="C6" s="46" t="s">
        <v>481</v>
      </c>
      <c r="D6" s="46" t="s">
        <v>482</v>
      </c>
      <c r="E6" s="46" t="s">
        <v>95</v>
      </c>
      <c r="F6" s="46" t="s">
        <v>96</v>
      </c>
      <c r="G6" s="46" t="s">
        <v>483</v>
      </c>
      <c r="H6" s="46" t="s">
        <v>484</v>
      </c>
      <c r="I6" s="46" t="s">
        <v>98</v>
      </c>
      <c r="J6" s="46" t="s">
        <v>99</v>
      </c>
      <c r="K6" s="46" t="s">
        <v>100</v>
      </c>
      <c r="L6" s="46" t="s">
        <v>101</v>
      </c>
      <c r="M6" s="46" t="s">
        <v>102</v>
      </c>
      <c r="N6" s="46" t="s">
        <v>103</v>
      </c>
      <c r="O6" s="46" t="s">
        <v>104</v>
      </c>
      <c r="P6" s="46" t="s">
        <v>105</v>
      </c>
      <c r="Q6" s="417"/>
      <c r="R6" s="46" t="s">
        <v>106</v>
      </c>
      <c r="S6" s="417"/>
      <c r="T6" s="46" t="s">
        <v>107</v>
      </c>
      <c r="U6" s="46" t="s">
        <v>108</v>
      </c>
      <c r="V6" s="46" t="s">
        <v>109</v>
      </c>
      <c r="W6" s="46" t="s">
        <v>110</v>
      </c>
      <c r="X6" s="46" t="s">
        <v>111</v>
      </c>
      <c r="Y6" s="46" t="s">
        <v>112</v>
      </c>
      <c r="Z6" s="46" t="s">
        <v>113</v>
      </c>
      <c r="AA6" s="46" t="s">
        <v>114</v>
      </c>
      <c r="AB6" s="46" t="s">
        <v>115</v>
      </c>
      <c r="AC6" s="46" t="s">
        <v>116</v>
      </c>
      <c r="AD6" s="46" t="s">
        <v>117</v>
      </c>
      <c r="AE6" s="46" t="s">
        <v>118</v>
      </c>
      <c r="AF6" s="46" t="s">
        <v>300</v>
      </c>
      <c r="AG6" s="46" t="s">
        <v>301</v>
      </c>
      <c r="AH6" s="417"/>
      <c r="AI6" s="417"/>
      <c r="AJ6" s="417"/>
      <c r="AK6" s="417"/>
      <c r="AL6" s="46" t="s">
        <v>302</v>
      </c>
      <c r="AM6" s="52">
        <f>Paramètres!B8</f>
        <v>2014</v>
      </c>
      <c r="AN6" s="53">
        <f>Paramètres!B7</f>
        <v>40542</v>
      </c>
      <c r="AO6" s="417"/>
      <c r="AP6" s="417"/>
      <c r="AQ6" s="417"/>
      <c r="AR6" s="415"/>
      <c r="AS6" s="49"/>
      <c r="AT6" s="49"/>
    </row>
    <row r="7" spans="1:65" x14ac:dyDescent="0.25">
      <c r="A7" s="13">
        <v>5401</v>
      </c>
      <c r="B7" s="14" t="s">
        <v>303</v>
      </c>
      <c r="C7" s="16">
        <v>11748054.07</v>
      </c>
      <c r="D7" s="15">
        <v>1745804.37</v>
      </c>
      <c r="E7" s="16">
        <v>0</v>
      </c>
      <c r="F7" s="15">
        <v>157.55000000000001</v>
      </c>
      <c r="G7" s="16">
        <v>2228174.9500000002</v>
      </c>
      <c r="H7" s="15">
        <v>175125.95</v>
      </c>
      <c r="I7" s="16">
        <v>42657.05</v>
      </c>
      <c r="J7" s="15">
        <v>793660.44</v>
      </c>
      <c r="K7" s="17">
        <v>168726.75</v>
      </c>
      <c r="L7" s="16">
        <v>1792747.6</v>
      </c>
      <c r="M7" s="3">
        <f>SUM(C7:L7)</f>
        <v>18695108.730000004</v>
      </c>
      <c r="N7" s="15">
        <v>853284.1</v>
      </c>
      <c r="O7" s="16">
        <v>127887.1</v>
      </c>
      <c r="P7" s="15">
        <v>468431.8</v>
      </c>
      <c r="Q7" s="16">
        <v>51587.71</v>
      </c>
      <c r="R7" s="15">
        <v>193189.45</v>
      </c>
      <c r="S7" s="16">
        <v>3212.5</v>
      </c>
      <c r="T7" s="15">
        <v>68634.05</v>
      </c>
      <c r="U7" s="16">
        <v>39275</v>
      </c>
      <c r="V7" s="25">
        <v>98</v>
      </c>
      <c r="W7" s="18">
        <v>0</v>
      </c>
      <c r="X7" s="2">
        <f>SUM(M7:W7)</f>
        <v>20500708.440000009</v>
      </c>
      <c r="Y7" s="18">
        <v>232822.75</v>
      </c>
      <c r="Z7" s="25"/>
      <c r="AA7" s="18">
        <v>820439.15</v>
      </c>
      <c r="AB7" s="25"/>
      <c r="AC7" s="18">
        <v>1255251.1499999999</v>
      </c>
      <c r="AD7" s="25">
        <v>320773.95</v>
      </c>
      <c r="AE7" s="18"/>
      <c r="AF7" s="25">
        <v>4855.1000000000004</v>
      </c>
      <c r="AG7" s="18">
        <v>33398.65</v>
      </c>
      <c r="AH7" s="25">
        <v>386655.7</v>
      </c>
      <c r="AI7" s="18"/>
      <c r="AJ7" s="25"/>
      <c r="AK7" s="18">
        <v>216667.35</v>
      </c>
      <c r="AL7" s="68">
        <f>SUM(Y7:AK7)</f>
        <v>3270863.8000000003</v>
      </c>
      <c r="AM7" s="33">
        <v>67.5</v>
      </c>
      <c r="AN7" s="34">
        <v>9771</v>
      </c>
      <c r="AO7" s="16">
        <v>-1145321.19</v>
      </c>
      <c r="AP7" s="25"/>
      <c r="AQ7" s="16">
        <v>-1360.77</v>
      </c>
      <c r="AR7" s="64">
        <v>1.2</v>
      </c>
      <c r="AS7" s="35"/>
      <c r="AT7" s="35"/>
      <c r="AU7" s="36"/>
      <c r="AV7" s="36"/>
      <c r="AW7" s="37"/>
      <c r="AX7" s="23"/>
      <c r="AZ7" s="36"/>
      <c r="BA7" s="36"/>
      <c r="BB7" s="37"/>
      <c r="BC7" s="30"/>
      <c r="BD7" s="30"/>
      <c r="BE7" s="30"/>
      <c r="BF7" s="30"/>
      <c r="BG7" s="30"/>
      <c r="BI7" s="38"/>
      <c r="BJ7" s="39"/>
      <c r="BK7" s="38"/>
      <c r="BL7" s="38"/>
      <c r="BM7" s="38"/>
    </row>
    <row r="8" spans="1:65" x14ac:dyDescent="0.25">
      <c r="A8" s="13">
        <v>5402</v>
      </c>
      <c r="B8" s="14" t="s">
        <v>304</v>
      </c>
      <c r="C8" s="16">
        <v>8001584.4699999997</v>
      </c>
      <c r="D8" s="15">
        <v>1195526.1399999999</v>
      </c>
      <c r="E8" s="16">
        <v>0</v>
      </c>
      <c r="F8" s="15">
        <v>0</v>
      </c>
      <c r="G8" s="16">
        <v>1143825.45</v>
      </c>
      <c r="H8" s="15">
        <v>88036.15</v>
      </c>
      <c r="I8" s="16">
        <v>95937.75</v>
      </c>
      <c r="J8" s="15">
        <v>471801.09</v>
      </c>
      <c r="K8" s="17">
        <v>24539.5</v>
      </c>
      <c r="L8" s="16">
        <v>1308294.6000000001</v>
      </c>
      <c r="M8" s="3">
        <f t="shared" ref="M8:M71" si="0">SUM(C8:L8)</f>
        <v>12329545.149999999</v>
      </c>
      <c r="N8" s="15">
        <v>143559.79999999999</v>
      </c>
      <c r="O8" s="16">
        <v>239389.4</v>
      </c>
      <c r="P8" s="15">
        <v>530197.30000000005</v>
      </c>
      <c r="Q8" s="16">
        <v>19737.75</v>
      </c>
      <c r="R8" s="15">
        <v>354523.25</v>
      </c>
      <c r="S8" s="16">
        <v>2056.25</v>
      </c>
      <c r="T8" s="15">
        <v>21175</v>
      </c>
      <c r="U8" s="16">
        <v>38300</v>
      </c>
      <c r="V8" s="25">
        <v>116493.65</v>
      </c>
      <c r="W8" s="18">
        <v>2132</v>
      </c>
      <c r="X8" s="2">
        <f>SUM(M8:W8)</f>
        <v>13797109.550000001</v>
      </c>
      <c r="Y8" s="18">
        <v>152806.75</v>
      </c>
      <c r="Z8" s="25">
        <v>653063.6</v>
      </c>
      <c r="AA8" s="18">
        <v>1855118.35</v>
      </c>
      <c r="AB8" s="25"/>
      <c r="AC8" s="18">
        <v>760896.28</v>
      </c>
      <c r="AD8" s="25">
        <v>661697.1</v>
      </c>
      <c r="AE8" s="18"/>
      <c r="AF8" s="25"/>
      <c r="AG8" s="18">
        <v>88801.05</v>
      </c>
      <c r="AH8" s="25">
        <v>247203.05</v>
      </c>
      <c r="AI8" s="18"/>
      <c r="AJ8" s="25"/>
      <c r="AK8" s="18"/>
      <c r="AL8" s="68">
        <f t="shared" ref="AL8:AL71" si="1">SUM(Y8:AK8)</f>
        <v>4419586.1800000006</v>
      </c>
      <c r="AM8" s="33">
        <v>71</v>
      </c>
      <c r="AN8" s="34">
        <v>7007</v>
      </c>
      <c r="AO8" s="16">
        <v>-462827.74</v>
      </c>
      <c r="AP8" s="25"/>
      <c r="AQ8" s="16">
        <v>-358.26</v>
      </c>
      <c r="AR8" s="64">
        <v>1.25</v>
      </c>
      <c r="AS8" s="35"/>
      <c r="AT8" s="35"/>
      <c r="AU8" s="36"/>
      <c r="AV8" s="36"/>
      <c r="AW8" s="37"/>
      <c r="AX8" s="23"/>
      <c r="AZ8" s="36"/>
      <c r="BA8" s="36"/>
      <c r="BB8" s="37"/>
      <c r="BC8" s="30"/>
      <c r="BD8" s="30"/>
      <c r="BE8" s="30"/>
      <c r="BF8" s="30"/>
      <c r="BG8" s="30"/>
      <c r="BI8" s="38"/>
      <c r="BJ8" s="39"/>
      <c r="BK8" s="38"/>
      <c r="BL8" s="38"/>
      <c r="BM8" s="38"/>
    </row>
    <row r="9" spans="1:65" x14ac:dyDescent="0.25">
      <c r="A9" s="13">
        <v>5403</v>
      </c>
      <c r="B9" s="14" t="s">
        <v>148</v>
      </c>
      <c r="C9" s="16">
        <v>516151.7</v>
      </c>
      <c r="D9" s="15">
        <v>65946.350000000006</v>
      </c>
      <c r="E9" s="16">
        <v>0</v>
      </c>
      <c r="F9" s="15">
        <v>0</v>
      </c>
      <c r="G9" s="16">
        <v>12846.2</v>
      </c>
      <c r="H9" s="15">
        <v>72.099999999999994</v>
      </c>
      <c r="I9" s="16">
        <v>0</v>
      </c>
      <c r="J9" s="15">
        <v>6838.22</v>
      </c>
      <c r="K9" s="17">
        <v>2380</v>
      </c>
      <c r="L9" s="16">
        <v>44084.15</v>
      </c>
      <c r="M9" s="3">
        <f t="shared" si="0"/>
        <v>648318.71999999997</v>
      </c>
      <c r="N9" s="15">
        <v>4037.55</v>
      </c>
      <c r="O9" s="16">
        <v>8750.4</v>
      </c>
      <c r="P9" s="15">
        <v>11680.2</v>
      </c>
      <c r="Q9" s="16">
        <v>3511.67</v>
      </c>
      <c r="R9" s="15">
        <v>23590.6</v>
      </c>
      <c r="S9" s="16">
        <v>25</v>
      </c>
      <c r="T9" s="15">
        <v>0</v>
      </c>
      <c r="U9" s="16">
        <v>3600</v>
      </c>
      <c r="V9" s="25">
        <v>0</v>
      </c>
      <c r="W9" s="18">
        <v>0</v>
      </c>
      <c r="X9" s="2">
        <f t="shared" ref="X9:X71" si="2">SUM(M9:W9)</f>
        <v>703514.14</v>
      </c>
      <c r="Y9" s="18"/>
      <c r="Z9" s="25"/>
      <c r="AA9" s="18">
        <v>43645.2</v>
      </c>
      <c r="AB9" s="25"/>
      <c r="AC9" s="18">
        <v>44988.45</v>
      </c>
      <c r="AD9" s="25"/>
      <c r="AE9" s="18"/>
      <c r="AF9" s="25"/>
      <c r="AG9" s="18">
        <v>28257.5</v>
      </c>
      <c r="AH9" s="25"/>
      <c r="AI9" s="18"/>
      <c r="AJ9" s="25"/>
      <c r="AK9" s="18"/>
      <c r="AL9" s="68">
        <f t="shared" si="1"/>
        <v>116891.15</v>
      </c>
      <c r="AM9" s="33">
        <v>76</v>
      </c>
      <c r="AN9" s="34">
        <v>362</v>
      </c>
      <c r="AO9" s="16">
        <v>-57001.81</v>
      </c>
      <c r="AP9" s="25"/>
      <c r="AQ9" s="16">
        <v>-4.53</v>
      </c>
      <c r="AR9" s="64">
        <v>1</v>
      </c>
      <c r="AS9" s="35"/>
      <c r="AT9" s="35"/>
      <c r="AU9" s="40"/>
      <c r="AV9" s="40"/>
      <c r="AW9" s="41"/>
      <c r="AX9" s="23"/>
      <c r="AZ9" s="40"/>
      <c r="BA9" s="40"/>
      <c r="BB9" s="41"/>
      <c r="BC9" s="42"/>
      <c r="BD9" s="42"/>
      <c r="BE9" s="42"/>
      <c r="BF9" s="42"/>
      <c r="BG9" s="42"/>
      <c r="BI9" s="38"/>
      <c r="BJ9" s="39"/>
      <c r="BK9" s="38"/>
      <c r="BL9" s="38"/>
      <c r="BM9" s="38"/>
    </row>
    <row r="10" spans="1:65" x14ac:dyDescent="0.25">
      <c r="A10" s="13">
        <v>5404</v>
      </c>
      <c r="B10" s="14" t="s">
        <v>149</v>
      </c>
      <c r="C10" s="16">
        <v>512450</v>
      </c>
      <c r="D10" s="15">
        <v>117550.22</v>
      </c>
      <c r="E10" s="16">
        <v>0</v>
      </c>
      <c r="F10" s="15">
        <v>0</v>
      </c>
      <c r="G10" s="16">
        <v>-89820.3</v>
      </c>
      <c r="H10" s="15">
        <v>4488.1000000000004</v>
      </c>
      <c r="I10" s="16">
        <v>0</v>
      </c>
      <c r="J10" s="15">
        <v>2406.9899999999998</v>
      </c>
      <c r="K10" s="17">
        <v>860</v>
      </c>
      <c r="L10" s="16">
        <v>99914.95</v>
      </c>
      <c r="M10" s="3">
        <f t="shared" si="0"/>
        <v>647849.95999999985</v>
      </c>
      <c r="N10" s="15">
        <v>10573.6</v>
      </c>
      <c r="O10" s="16">
        <v>43466.2</v>
      </c>
      <c r="P10" s="15">
        <v>34001.65</v>
      </c>
      <c r="Q10" s="16">
        <v>4218.26</v>
      </c>
      <c r="R10" s="15">
        <v>102317.15</v>
      </c>
      <c r="S10" s="16">
        <v>137.5</v>
      </c>
      <c r="T10" s="15">
        <v>0</v>
      </c>
      <c r="U10" s="16">
        <v>5350</v>
      </c>
      <c r="V10" s="25">
        <v>0</v>
      </c>
      <c r="W10" s="18">
        <v>0</v>
      </c>
      <c r="X10" s="2">
        <f t="shared" si="2"/>
        <v>847914.31999999983</v>
      </c>
      <c r="Y10" s="18">
        <v>27168</v>
      </c>
      <c r="Z10" s="25">
        <v>9715.65</v>
      </c>
      <c r="AA10" s="18">
        <v>108664.9</v>
      </c>
      <c r="AB10" s="25"/>
      <c r="AC10" s="18">
        <v>32556.799999999999</v>
      </c>
      <c r="AD10" s="25">
        <v>18112</v>
      </c>
      <c r="AE10" s="18">
        <v>6800</v>
      </c>
      <c r="AF10" s="25"/>
      <c r="AG10" s="18">
        <v>5124.7</v>
      </c>
      <c r="AH10" s="25">
        <v>12470.5</v>
      </c>
      <c r="AI10" s="18"/>
      <c r="AJ10" s="25"/>
      <c r="AK10" s="18"/>
      <c r="AL10" s="68">
        <f t="shared" si="1"/>
        <v>220612.55</v>
      </c>
      <c r="AM10" s="33">
        <v>70</v>
      </c>
      <c r="AN10" s="34">
        <v>421</v>
      </c>
      <c r="AO10" s="16">
        <v>-5383.31</v>
      </c>
      <c r="AP10" s="25"/>
      <c r="AQ10" s="16">
        <v>-0.37</v>
      </c>
      <c r="AR10" s="64">
        <v>1.5</v>
      </c>
      <c r="AS10" s="35"/>
      <c r="AT10" s="35"/>
      <c r="AU10" s="40"/>
      <c r="AV10" s="40"/>
      <c r="AW10" s="41"/>
      <c r="AX10" s="23"/>
      <c r="AZ10" s="40"/>
      <c r="BA10" s="40"/>
      <c r="BB10" s="41"/>
      <c r="BC10" s="42"/>
      <c r="BD10" s="42"/>
      <c r="BE10" s="42"/>
      <c r="BF10" s="42"/>
      <c r="BG10" s="42"/>
      <c r="BI10" s="38"/>
      <c r="BJ10" s="39"/>
      <c r="BK10" s="38"/>
      <c r="BL10" s="38"/>
      <c r="BM10" s="38"/>
    </row>
    <row r="11" spans="1:65" x14ac:dyDescent="0.25">
      <c r="A11" s="13">
        <v>5405</v>
      </c>
      <c r="B11" s="14" t="s">
        <v>150</v>
      </c>
      <c r="C11" s="16">
        <v>3156270.03</v>
      </c>
      <c r="D11" s="15">
        <v>1046601.73</v>
      </c>
      <c r="E11" s="16">
        <v>0</v>
      </c>
      <c r="F11" s="15">
        <v>0</v>
      </c>
      <c r="G11" s="16">
        <v>53299.15</v>
      </c>
      <c r="H11" s="15">
        <v>2035.85</v>
      </c>
      <c r="I11" s="16">
        <v>185949</v>
      </c>
      <c r="J11" s="15">
        <v>158613.32999999999</v>
      </c>
      <c r="K11" s="17">
        <v>11160.5</v>
      </c>
      <c r="L11" s="16">
        <v>695703.2</v>
      </c>
      <c r="M11" s="3">
        <f t="shared" si="0"/>
        <v>5309632.79</v>
      </c>
      <c r="N11" s="15" t="s">
        <v>512</v>
      </c>
      <c r="O11" s="16">
        <v>58509.7</v>
      </c>
      <c r="P11" s="15">
        <v>355248.8</v>
      </c>
      <c r="Q11" s="16">
        <v>25777.52</v>
      </c>
      <c r="R11" s="15">
        <v>393324.7</v>
      </c>
      <c r="S11" s="16">
        <v>75</v>
      </c>
      <c r="T11" s="15">
        <v>5800</v>
      </c>
      <c r="U11" s="16">
        <v>10350</v>
      </c>
      <c r="V11" s="15">
        <v>400</v>
      </c>
      <c r="W11" s="16">
        <v>0</v>
      </c>
      <c r="X11" s="2">
        <f t="shared" si="2"/>
        <v>6159118.5099999998</v>
      </c>
      <c r="Y11" s="18">
        <v>23432</v>
      </c>
      <c r="Z11" s="25"/>
      <c r="AA11" s="18">
        <v>172309.55</v>
      </c>
      <c r="AB11" s="25"/>
      <c r="AC11" s="18">
        <v>421656</v>
      </c>
      <c r="AD11" s="25">
        <v>59628</v>
      </c>
      <c r="AE11" s="18"/>
      <c r="AF11" s="25"/>
      <c r="AG11" s="18">
        <v>573686.19999999995</v>
      </c>
      <c r="AH11" s="25"/>
      <c r="AI11" s="18"/>
      <c r="AJ11" s="25"/>
      <c r="AK11" s="18"/>
      <c r="AL11" s="68">
        <f t="shared" si="1"/>
        <v>1250711.75</v>
      </c>
      <c r="AM11" s="33">
        <v>75</v>
      </c>
      <c r="AN11" s="34">
        <v>1248</v>
      </c>
      <c r="AO11" s="16">
        <v>-62435.15</v>
      </c>
      <c r="AP11" s="25"/>
      <c r="AQ11" s="16">
        <v>-1996.46</v>
      </c>
      <c r="AR11" s="64">
        <v>1.5</v>
      </c>
      <c r="AS11" s="35"/>
      <c r="AT11" s="35"/>
      <c r="AU11" s="40"/>
      <c r="AV11" s="40"/>
      <c r="AW11" s="41"/>
      <c r="AX11" s="23"/>
      <c r="AZ11" s="40"/>
      <c r="BA11" s="40"/>
      <c r="BB11" s="41"/>
      <c r="BC11" s="42"/>
      <c r="BD11" s="42"/>
      <c r="BE11" s="42"/>
      <c r="BF11" s="42"/>
      <c r="BG11" s="42"/>
      <c r="BI11" s="38"/>
      <c r="BJ11" s="39"/>
      <c r="BK11" s="38"/>
      <c r="BL11" s="38"/>
      <c r="BM11" s="38"/>
    </row>
    <row r="12" spans="1:65" x14ac:dyDescent="0.25">
      <c r="A12" s="13">
        <v>5406</v>
      </c>
      <c r="B12" s="14" t="s">
        <v>151</v>
      </c>
      <c r="C12" s="16">
        <v>1000617.11</v>
      </c>
      <c r="D12" s="15">
        <v>107131.97</v>
      </c>
      <c r="E12" s="16">
        <v>0</v>
      </c>
      <c r="F12" s="15">
        <v>0</v>
      </c>
      <c r="G12" s="16">
        <v>66611.45</v>
      </c>
      <c r="H12" s="15">
        <v>3256.9</v>
      </c>
      <c r="I12" s="16">
        <v>0</v>
      </c>
      <c r="J12" s="15">
        <v>58257.27</v>
      </c>
      <c r="K12" s="17">
        <v>7625</v>
      </c>
      <c r="L12" s="16">
        <v>167688.6</v>
      </c>
      <c r="M12" s="3">
        <f t="shared" si="0"/>
        <v>1411188.3</v>
      </c>
      <c r="N12" s="15" t="s">
        <v>512</v>
      </c>
      <c r="O12" s="16">
        <v>45333.2</v>
      </c>
      <c r="P12" s="15">
        <v>40402.199999999997</v>
      </c>
      <c r="Q12" s="16">
        <v>38878.04</v>
      </c>
      <c r="R12" s="15">
        <v>41843.199999999997</v>
      </c>
      <c r="S12" s="16">
        <v>312.5</v>
      </c>
      <c r="T12" s="15">
        <v>0</v>
      </c>
      <c r="U12" s="16">
        <v>7550</v>
      </c>
      <c r="V12" s="25">
        <v>431455</v>
      </c>
      <c r="W12" s="18">
        <v>0</v>
      </c>
      <c r="X12" s="2">
        <f t="shared" si="2"/>
        <v>2016962.44</v>
      </c>
      <c r="Y12" s="18">
        <v>12788.95</v>
      </c>
      <c r="Z12" s="25"/>
      <c r="AA12" s="18">
        <v>258088.9</v>
      </c>
      <c r="AB12" s="25"/>
      <c r="AC12" s="18">
        <v>122363.35</v>
      </c>
      <c r="AD12" s="25">
        <v>15096.45</v>
      </c>
      <c r="AE12" s="18"/>
      <c r="AF12" s="25"/>
      <c r="AG12" s="18">
        <v>41262.5</v>
      </c>
      <c r="AH12" s="25">
        <v>64639.23</v>
      </c>
      <c r="AI12" s="18"/>
      <c r="AJ12" s="25"/>
      <c r="AK12" s="18"/>
      <c r="AL12" s="68">
        <f t="shared" si="1"/>
        <v>514239.37999999995</v>
      </c>
      <c r="AM12" s="33">
        <v>71</v>
      </c>
      <c r="AN12" s="34">
        <v>885</v>
      </c>
      <c r="AO12" s="16">
        <v>-47393.91</v>
      </c>
      <c r="AP12" s="25"/>
      <c r="AQ12" s="16">
        <v>-68.510000000000005</v>
      </c>
      <c r="AR12" s="64">
        <v>1.3</v>
      </c>
      <c r="AS12" s="35"/>
      <c r="AT12" s="35"/>
      <c r="AU12" s="40"/>
      <c r="AV12" s="40"/>
      <c r="AW12" s="41"/>
      <c r="AX12" s="23"/>
      <c r="AZ12" s="40"/>
      <c r="BA12" s="40"/>
      <c r="BB12" s="41"/>
      <c r="BC12" s="42"/>
      <c r="BD12" s="42"/>
      <c r="BE12" s="42"/>
      <c r="BF12" s="42"/>
      <c r="BG12" s="42"/>
      <c r="BI12" s="38"/>
      <c r="BJ12" s="39"/>
      <c r="BK12" s="38"/>
      <c r="BL12" s="38"/>
      <c r="BM12" s="38"/>
    </row>
    <row r="13" spans="1:65" x14ac:dyDescent="0.25">
      <c r="A13" s="13">
        <v>5407</v>
      </c>
      <c r="B13" s="14" t="s">
        <v>152</v>
      </c>
      <c r="C13" s="16">
        <v>4258442.2</v>
      </c>
      <c r="D13" s="15">
        <v>813051.93</v>
      </c>
      <c r="E13" s="16">
        <v>0</v>
      </c>
      <c r="F13" s="15">
        <v>0</v>
      </c>
      <c r="G13" s="16">
        <v>1122123.92</v>
      </c>
      <c r="H13" s="15">
        <v>88973.35</v>
      </c>
      <c r="I13" s="16">
        <v>177530.54</v>
      </c>
      <c r="J13" s="15">
        <v>586978.78</v>
      </c>
      <c r="K13" s="17">
        <v>55959</v>
      </c>
      <c r="L13" s="16">
        <v>1166439.1000000001</v>
      </c>
      <c r="M13" s="3">
        <f t="shared" si="0"/>
        <v>8269498.8200000003</v>
      </c>
      <c r="N13" s="15">
        <v>23145.9</v>
      </c>
      <c r="O13" s="16">
        <v>74768.3</v>
      </c>
      <c r="P13" s="15">
        <v>488193.8</v>
      </c>
      <c r="Q13" s="16">
        <v>19855.14</v>
      </c>
      <c r="R13" s="15">
        <v>446373.2</v>
      </c>
      <c r="S13" s="16">
        <v>1406.25</v>
      </c>
      <c r="T13" s="15">
        <v>0</v>
      </c>
      <c r="U13" s="16">
        <v>14450</v>
      </c>
      <c r="V13" s="15">
        <v>14803.4</v>
      </c>
      <c r="W13" s="16">
        <v>1660</v>
      </c>
      <c r="X13" s="2">
        <f t="shared" si="2"/>
        <v>9354154.8100000005</v>
      </c>
      <c r="Y13" s="18">
        <v>119610</v>
      </c>
      <c r="Z13" s="25"/>
      <c r="AA13" s="18">
        <v>547067.25</v>
      </c>
      <c r="AB13" s="25"/>
      <c r="AC13" s="18">
        <v>509000.31</v>
      </c>
      <c r="AD13" s="25">
        <v>127515</v>
      </c>
      <c r="AE13" s="18"/>
      <c r="AF13" s="25"/>
      <c r="AG13" s="18"/>
      <c r="AH13" s="25">
        <v>137207.95000000001</v>
      </c>
      <c r="AI13" s="18"/>
      <c r="AJ13" s="25"/>
      <c r="AK13" s="18"/>
      <c r="AL13" s="68">
        <f t="shared" si="1"/>
        <v>1440400.51</v>
      </c>
      <c r="AM13" s="33">
        <v>78</v>
      </c>
      <c r="AN13" s="34">
        <v>4050</v>
      </c>
      <c r="AO13" s="16">
        <v>-121961.14</v>
      </c>
      <c r="AP13" s="25"/>
      <c r="AQ13" s="16">
        <v>-335.31</v>
      </c>
      <c r="AR13" s="64">
        <v>1.5</v>
      </c>
      <c r="AS13" s="35"/>
      <c r="AT13" s="35"/>
      <c r="AU13" s="40"/>
      <c r="AV13" s="40"/>
      <c r="AW13" s="41"/>
      <c r="AX13" s="23"/>
      <c r="AZ13" s="40"/>
      <c r="BA13" s="40"/>
      <c r="BB13" s="41"/>
      <c r="BC13" s="42"/>
      <c r="BD13" s="42"/>
      <c r="BE13" s="42"/>
      <c r="BF13" s="42"/>
      <c r="BG13" s="42"/>
      <c r="BI13" s="38"/>
      <c r="BJ13" s="39"/>
      <c r="BK13" s="38"/>
      <c r="BL13" s="38"/>
      <c r="BM13" s="38"/>
    </row>
    <row r="14" spans="1:65" x14ac:dyDescent="0.25">
      <c r="A14" s="13">
        <v>5408</v>
      </c>
      <c r="B14" s="14" t="s">
        <v>153</v>
      </c>
      <c r="C14" s="16">
        <v>1575541.23</v>
      </c>
      <c r="D14" s="15">
        <v>177558.51</v>
      </c>
      <c r="E14" s="16">
        <v>0</v>
      </c>
      <c r="F14" s="15">
        <v>0</v>
      </c>
      <c r="G14" s="16">
        <v>262699.55</v>
      </c>
      <c r="H14" s="15">
        <v>7278.75</v>
      </c>
      <c r="I14" s="16">
        <v>0</v>
      </c>
      <c r="J14" s="15">
        <v>41153.14</v>
      </c>
      <c r="K14" s="17">
        <v>7708</v>
      </c>
      <c r="L14" s="16">
        <v>205313.6</v>
      </c>
      <c r="M14" s="3">
        <f t="shared" si="0"/>
        <v>2277252.7799999998</v>
      </c>
      <c r="N14" s="15">
        <v>50894.8</v>
      </c>
      <c r="O14" s="16">
        <v>8893.5</v>
      </c>
      <c r="P14" s="15">
        <v>130861.2</v>
      </c>
      <c r="Q14" s="16">
        <v>458.45</v>
      </c>
      <c r="R14" s="15">
        <v>32777.65</v>
      </c>
      <c r="S14" s="16">
        <v>550</v>
      </c>
      <c r="T14" s="15">
        <v>0</v>
      </c>
      <c r="U14" s="16">
        <v>7250</v>
      </c>
      <c r="V14" s="15">
        <v>0</v>
      </c>
      <c r="W14" s="16">
        <v>0</v>
      </c>
      <c r="X14" s="2">
        <f t="shared" si="2"/>
        <v>2508938.38</v>
      </c>
      <c r="Y14" s="18">
        <v>115517.5</v>
      </c>
      <c r="Z14" s="25"/>
      <c r="AA14" s="18">
        <v>68175.55</v>
      </c>
      <c r="AB14" s="25">
        <v>43229.5</v>
      </c>
      <c r="AC14" s="18">
        <v>90428.5</v>
      </c>
      <c r="AD14" s="25">
        <v>83512.5</v>
      </c>
      <c r="AE14" s="18">
        <v>190000</v>
      </c>
      <c r="AF14" s="25"/>
      <c r="AG14" s="18">
        <v>63301</v>
      </c>
      <c r="AH14" s="25"/>
      <c r="AI14" s="18"/>
      <c r="AJ14" s="25"/>
      <c r="AK14" s="18"/>
      <c r="AL14" s="68">
        <f t="shared" si="1"/>
        <v>654164.55000000005</v>
      </c>
      <c r="AM14" s="33">
        <v>78.5</v>
      </c>
      <c r="AN14" s="34">
        <v>971</v>
      </c>
      <c r="AO14" s="16">
        <v>-28086.53</v>
      </c>
      <c r="AP14" s="25"/>
      <c r="AQ14" s="18">
        <v>-294.16000000000003</v>
      </c>
      <c r="AR14" s="64">
        <v>1.5</v>
      </c>
      <c r="AS14" s="32"/>
      <c r="AT14" s="32"/>
      <c r="AU14" s="40"/>
      <c r="AV14" s="40"/>
      <c r="AW14" s="41"/>
      <c r="AX14" s="23"/>
      <c r="AZ14" s="40"/>
      <c r="BA14" s="40"/>
      <c r="BB14" s="41"/>
      <c r="BC14" s="42"/>
      <c r="BD14" s="42"/>
      <c r="BE14" s="42"/>
      <c r="BF14" s="42"/>
      <c r="BG14" s="42"/>
      <c r="BI14" s="38"/>
      <c r="BJ14" s="39"/>
      <c r="BK14" s="38"/>
      <c r="BL14" s="38"/>
      <c r="BM14" s="38"/>
    </row>
    <row r="15" spans="1:65" x14ac:dyDescent="0.25">
      <c r="A15" s="13">
        <v>5409</v>
      </c>
      <c r="B15" s="14" t="s">
        <v>154</v>
      </c>
      <c r="C15" s="16">
        <v>13961679.5</v>
      </c>
      <c r="D15" s="15">
        <v>4068397.9</v>
      </c>
      <c r="E15" s="16">
        <v>0</v>
      </c>
      <c r="F15" s="15">
        <v>0</v>
      </c>
      <c r="G15" s="16">
        <v>1227168.7</v>
      </c>
      <c r="H15" s="15">
        <v>44735.95</v>
      </c>
      <c r="I15" s="16">
        <v>2576106.3199999998</v>
      </c>
      <c r="J15" s="15">
        <v>789587.55</v>
      </c>
      <c r="K15" s="17">
        <v>118433.3</v>
      </c>
      <c r="L15" s="16">
        <v>3515876.6</v>
      </c>
      <c r="M15" s="3">
        <f t="shared" si="0"/>
        <v>26301985.82</v>
      </c>
      <c r="N15" s="15">
        <v>44172.95</v>
      </c>
      <c r="O15" s="16">
        <v>341560.4</v>
      </c>
      <c r="P15" s="15">
        <v>1263887.3</v>
      </c>
      <c r="Q15" s="16">
        <v>180687.15</v>
      </c>
      <c r="R15" s="15">
        <v>1333511.8999999999</v>
      </c>
      <c r="S15" s="16">
        <v>22337.5</v>
      </c>
      <c r="T15" s="15">
        <v>0</v>
      </c>
      <c r="U15" s="16">
        <v>43150</v>
      </c>
      <c r="V15" s="15">
        <v>0</v>
      </c>
      <c r="W15" s="16">
        <v>740</v>
      </c>
      <c r="X15" s="2">
        <f t="shared" si="2"/>
        <v>29532033.019999996</v>
      </c>
      <c r="Y15" s="18">
        <v>286028.2</v>
      </c>
      <c r="Z15" s="25">
        <v>49215.15</v>
      </c>
      <c r="AA15" s="18">
        <v>2352398.7000000002</v>
      </c>
      <c r="AB15" s="25"/>
      <c r="AC15" s="18">
        <v>1379489.04</v>
      </c>
      <c r="AD15" s="25">
        <v>536303</v>
      </c>
      <c r="AE15" s="18">
        <v>108815.1</v>
      </c>
      <c r="AF15" s="25"/>
      <c r="AG15" s="18">
        <v>2828754.4</v>
      </c>
      <c r="AH15" s="25"/>
      <c r="AI15" s="18"/>
      <c r="AJ15" s="25"/>
      <c r="AK15" s="18"/>
      <c r="AL15" s="68">
        <f t="shared" si="1"/>
        <v>7541003.5899999999</v>
      </c>
      <c r="AM15" s="33">
        <v>68</v>
      </c>
      <c r="AN15" s="34">
        <v>7152</v>
      </c>
      <c r="AO15" s="16">
        <v>-301537.26</v>
      </c>
      <c r="AP15" s="25"/>
      <c r="AQ15" s="16">
        <v>-4687.32</v>
      </c>
      <c r="AR15" s="64">
        <v>1.3</v>
      </c>
      <c r="AS15" s="35"/>
      <c r="AT15" s="35"/>
      <c r="AU15" s="40"/>
      <c r="AV15" s="40"/>
      <c r="AW15" s="41"/>
      <c r="AX15" s="23"/>
      <c r="AZ15" s="40"/>
      <c r="BA15" s="40"/>
      <c r="BB15" s="41"/>
      <c r="BC15" s="42"/>
      <c r="BD15" s="42"/>
      <c r="BE15" s="42"/>
      <c r="BF15" s="42"/>
      <c r="BG15" s="42"/>
      <c r="BI15" s="38"/>
      <c r="BJ15" s="39"/>
      <c r="BK15" s="38"/>
      <c r="BL15" s="38"/>
      <c r="BM15" s="38"/>
    </row>
    <row r="16" spans="1:65" x14ac:dyDescent="0.25">
      <c r="A16" s="13">
        <v>5410</v>
      </c>
      <c r="B16" s="14" t="s">
        <v>166</v>
      </c>
      <c r="C16" s="16">
        <v>1594442.16</v>
      </c>
      <c r="D16" s="15">
        <v>517847.09</v>
      </c>
      <c r="E16" s="16">
        <v>0</v>
      </c>
      <c r="F16" s="15">
        <v>0</v>
      </c>
      <c r="G16" s="16">
        <v>75702.95</v>
      </c>
      <c r="H16" s="15">
        <v>8825.5499999999993</v>
      </c>
      <c r="I16" s="16">
        <v>0</v>
      </c>
      <c r="J16" s="15">
        <v>58594.89</v>
      </c>
      <c r="K16" s="17">
        <v>835.5</v>
      </c>
      <c r="L16" s="16">
        <v>497987.6</v>
      </c>
      <c r="M16" s="3">
        <f t="shared" si="0"/>
        <v>2754235.74</v>
      </c>
      <c r="N16" s="15">
        <v>2705.05</v>
      </c>
      <c r="O16" s="16">
        <v>56486.5</v>
      </c>
      <c r="P16" s="15">
        <v>115663.7</v>
      </c>
      <c r="Q16" s="16">
        <v>7633.8</v>
      </c>
      <c r="R16" s="15">
        <v>79025.649999999994</v>
      </c>
      <c r="S16" s="16">
        <v>7418.75</v>
      </c>
      <c r="T16" s="15">
        <v>450</v>
      </c>
      <c r="U16" s="16">
        <v>14625</v>
      </c>
      <c r="V16" s="15">
        <v>3676.65</v>
      </c>
      <c r="W16" s="16">
        <v>0</v>
      </c>
      <c r="X16" s="2">
        <f t="shared" si="2"/>
        <v>3041920.84</v>
      </c>
      <c r="Y16" s="18">
        <v>121776.85</v>
      </c>
      <c r="Z16" s="25"/>
      <c r="AA16" s="18">
        <v>430090</v>
      </c>
      <c r="AB16" s="25"/>
      <c r="AC16" s="18">
        <v>291919.21999999997</v>
      </c>
      <c r="AD16" s="25">
        <v>48826.75</v>
      </c>
      <c r="AE16" s="18"/>
      <c r="AF16" s="25"/>
      <c r="AG16" s="18">
        <v>296098.90000000002</v>
      </c>
      <c r="AH16" s="25">
        <v>60796.25</v>
      </c>
      <c r="AI16" s="18"/>
      <c r="AJ16" s="25">
        <v>34740.699999999997</v>
      </c>
      <c r="AK16" s="18"/>
      <c r="AL16" s="68">
        <f t="shared" si="1"/>
        <v>1284248.67</v>
      </c>
      <c r="AM16" s="33">
        <v>78.5</v>
      </c>
      <c r="AN16" s="34">
        <v>1072</v>
      </c>
      <c r="AO16" s="16">
        <v>-112406.81</v>
      </c>
      <c r="AP16" s="25"/>
      <c r="AQ16" s="16">
        <v>-167.05</v>
      </c>
      <c r="AR16" s="64">
        <v>1.5</v>
      </c>
      <c r="AS16" s="35"/>
      <c r="AT16" s="35"/>
      <c r="AU16" s="40"/>
      <c r="AV16" s="40"/>
      <c r="AW16" s="41"/>
      <c r="AX16" s="23"/>
      <c r="AZ16" s="40"/>
      <c r="BA16" s="40"/>
      <c r="BB16" s="41"/>
      <c r="BC16" s="42"/>
      <c r="BD16" s="42"/>
      <c r="BE16" s="42"/>
      <c r="BF16" s="42"/>
      <c r="BG16" s="42"/>
      <c r="BI16" s="38"/>
      <c r="BJ16" s="39"/>
      <c r="BK16" s="38"/>
      <c r="BL16" s="38"/>
      <c r="BM16" s="38"/>
    </row>
    <row r="17" spans="1:65" x14ac:dyDescent="0.25">
      <c r="A17" s="13">
        <v>5411</v>
      </c>
      <c r="B17" s="14" t="s">
        <v>167</v>
      </c>
      <c r="C17" s="16">
        <v>2730668.49</v>
      </c>
      <c r="D17" s="15">
        <v>1117325.6399999999</v>
      </c>
      <c r="E17" s="16">
        <v>0</v>
      </c>
      <c r="F17" s="15">
        <v>0</v>
      </c>
      <c r="G17" s="16">
        <v>66843.45</v>
      </c>
      <c r="H17" s="15">
        <v>3538.5</v>
      </c>
      <c r="I17" s="16">
        <v>172538.57</v>
      </c>
      <c r="J17" s="15">
        <v>215447.55</v>
      </c>
      <c r="K17" s="17">
        <v>21216.5</v>
      </c>
      <c r="L17" s="16">
        <v>1094382.75</v>
      </c>
      <c r="M17" s="3">
        <f t="shared" si="0"/>
        <v>5421961.4500000002</v>
      </c>
      <c r="N17" s="15" t="s">
        <v>512</v>
      </c>
      <c r="O17" s="16">
        <v>-7409.7</v>
      </c>
      <c r="P17" s="15">
        <v>340904.4</v>
      </c>
      <c r="Q17" s="16">
        <v>9117.25</v>
      </c>
      <c r="R17" s="15">
        <v>337740.2</v>
      </c>
      <c r="S17" s="16">
        <v>1037.5</v>
      </c>
      <c r="T17" s="15">
        <v>7450</v>
      </c>
      <c r="U17" s="16">
        <v>9550</v>
      </c>
      <c r="V17" s="15">
        <v>1726.65</v>
      </c>
      <c r="W17" s="16">
        <v>0</v>
      </c>
      <c r="X17" s="2">
        <f t="shared" si="2"/>
        <v>6122077.7500000009</v>
      </c>
      <c r="Y17" s="18">
        <v>12114.05</v>
      </c>
      <c r="Z17" s="25"/>
      <c r="AA17" s="18">
        <v>358493.38</v>
      </c>
      <c r="AB17" s="25"/>
      <c r="AC17" s="18">
        <v>414535.89</v>
      </c>
      <c r="AD17" s="25">
        <v>31856.02</v>
      </c>
      <c r="AE17" s="18"/>
      <c r="AF17" s="25"/>
      <c r="AG17" s="18">
        <v>772067.01</v>
      </c>
      <c r="AH17" s="25">
        <v>102108.85</v>
      </c>
      <c r="AI17" s="18"/>
      <c r="AJ17" s="25"/>
      <c r="AK17" s="18">
        <v>29173.95</v>
      </c>
      <c r="AL17" s="68">
        <f t="shared" si="1"/>
        <v>1720349.1500000001</v>
      </c>
      <c r="AM17" s="33">
        <v>74</v>
      </c>
      <c r="AN17" s="34">
        <v>1457</v>
      </c>
      <c r="AO17" s="16">
        <v>-30884.15</v>
      </c>
      <c r="AP17" s="25"/>
      <c r="AQ17" s="18">
        <v>-1767.81</v>
      </c>
      <c r="AR17" s="64">
        <v>1.5</v>
      </c>
      <c r="AS17" s="32"/>
      <c r="AT17" s="32"/>
      <c r="AU17" s="40"/>
      <c r="AV17" s="40"/>
      <c r="AW17" s="41"/>
      <c r="AX17" s="23"/>
      <c r="AZ17" s="40"/>
      <c r="BA17" s="40"/>
      <c r="BB17" s="41"/>
      <c r="BC17" s="42"/>
      <c r="BD17" s="42"/>
      <c r="BE17" s="42"/>
      <c r="BF17" s="42"/>
      <c r="BG17" s="42"/>
      <c r="BI17" s="38"/>
      <c r="BJ17" s="39"/>
      <c r="BK17" s="38"/>
      <c r="BL17" s="38"/>
      <c r="BM17" s="38"/>
    </row>
    <row r="18" spans="1:65" x14ac:dyDescent="0.25">
      <c r="A18" s="13">
        <v>5412</v>
      </c>
      <c r="B18" s="14" t="s">
        <v>168</v>
      </c>
      <c r="C18" s="16">
        <v>995266.7</v>
      </c>
      <c r="D18" s="15">
        <v>112350.45</v>
      </c>
      <c r="E18" s="16">
        <v>0</v>
      </c>
      <c r="F18" s="15">
        <v>0</v>
      </c>
      <c r="G18" s="16">
        <v>223231.3</v>
      </c>
      <c r="H18" s="15">
        <v>5377.75</v>
      </c>
      <c r="I18" s="16">
        <v>20204.25</v>
      </c>
      <c r="J18" s="15">
        <v>67966.64</v>
      </c>
      <c r="K18" s="17">
        <v>10613.5</v>
      </c>
      <c r="L18" s="16">
        <v>158725.1</v>
      </c>
      <c r="M18" s="3">
        <f t="shared" si="0"/>
        <v>1593735.69</v>
      </c>
      <c r="N18" s="15">
        <v>96688.6</v>
      </c>
      <c r="O18" s="16">
        <v>62550.45</v>
      </c>
      <c r="P18" s="15">
        <v>278662.75</v>
      </c>
      <c r="Q18" s="16">
        <v>6112.75</v>
      </c>
      <c r="R18" s="15">
        <v>34064.9</v>
      </c>
      <c r="S18" s="16">
        <v>718.75</v>
      </c>
      <c r="T18" s="15">
        <v>0</v>
      </c>
      <c r="U18" s="16">
        <v>3700</v>
      </c>
      <c r="V18" s="15">
        <v>0</v>
      </c>
      <c r="W18" s="16">
        <v>0</v>
      </c>
      <c r="X18" s="2">
        <f t="shared" si="2"/>
        <v>2076233.89</v>
      </c>
      <c r="Y18" s="18">
        <v>89595.17</v>
      </c>
      <c r="Z18" s="25"/>
      <c r="AA18" s="18">
        <v>143301.49</v>
      </c>
      <c r="AB18" s="25"/>
      <c r="AC18" s="18">
        <v>93320.5</v>
      </c>
      <c r="AD18" s="25">
        <v>103631.35</v>
      </c>
      <c r="AE18" s="18"/>
      <c r="AF18" s="25"/>
      <c r="AG18" s="18">
        <v>1098</v>
      </c>
      <c r="AH18" s="25">
        <v>48496.45</v>
      </c>
      <c r="AI18" s="18"/>
      <c r="AJ18" s="25"/>
      <c r="AK18" s="18"/>
      <c r="AL18" s="68">
        <f t="shared" si="1"/>
        <v>479442.96</v>
      </c>
      <c r="AM18" s="33">
        <v>63.5</v>
      </c>
      <c r="AN18" s="34">
        <v>802</v>
      </c>
      <c r="AO18" s="16">
        <v>-40926.720000000001</v>
      </c>
      <c r="AP18" s="25"/>
      <c r="AQ18" s="18">
        <v>-18.12</v>
      </c>
      <c r="AR18" s="64">
        <v>1</v>
      </c>
      <c r="AS18" s="32"/>
      <c r="AT18" s="32"/>
      <c r="AU18" s="40"/>
      <c r="AV18" s="40"/>
      <c r="AW18" s="41"/>
      <c r="AX18" s="23"/>
      <c r="AZ18" s="40"/>
      <c r="BA18" s="40"/>
      <c r="BB18" s="41"/>
      <c r="BC18" s="42"/>
      <c r="BD18" s="42"/>
      <c r="BE18" s="42"/>
      <c r="BF18" s="42"/>
      <c r="BG18" s="42"/>
      <c r="BI18" s="38"/>
      <c r="BJ18" s="39"/>
      <c r="BK18" s="38"/>
      <c r="BL18" s="38"/>
      <c r="BM18" s="38"/>
    </row>
    <row r="19" spans="1:65" x14ac:dyDescent="0.25">
      <c r="A19" s="13">
        <v>5413</v>
      </c>
      <c r="B19" s="14" t="s">
        <v>169</v>
      </c>
      <c r="C19" s="16">
        <v>1709330.04</v>
      </c>
      <c r="D19" s="15">
        <v>162274.60999999999</v>
      </c>
      <c r="E19" s="16">
        <v>0</v>
      </c>
      <c r="F19" s="15">
        <v>0</v>
      </c>
      <c r="G19" s="16">
        <v>298280.34999999998</v>
      </c>
      <c r="H19" s="15">
        <v>71.599999999999994</v>
      </c>
      <c r="I19" s="16">
        <v>0</v>
      </c>
      <c r="J19" s="15">
        <v>86849.11</v>
      </c>
      <c r="K19" s="17">
        <v>21774.5</v>
      </c>
      <c r="L19" s="16">
        <v>207894.95</v>
      </c>
      <c r="M19" s="3">
        <f t="shared" si="0"/>
        <v>2486475.16</v>
      </c>
      <c r="N19" s="15">
        <v>197745.9</v>
      </c>
      <c r="O19" s="16">
        <v>1041.7</v>
      </c>
      <c r="P19" s="15">
        <v>242360.95</v>
      </c>
      <c r="Q19" s="16">
        <v>1874.44</v>
      </c>
      <c r="R19" s="15">
        <v>60798.95</v>
      </c>
      <c r="S19" s="16">
        <v>312.5</v>
      </c>
      <c r="T19" s="15">
        <v>0</v>
      </c>
      <c r="U19" s="16">
        <v>10100</v>
      </c>
      <c r="V19" s="15">
        <v>0</v>
      </c>
      <c r="W19" s="16">
        <v>0</v>
      </c>
      <c r="X19" s="2">
        <f t="shared" si="2"/>
        <v>3000709.6000000006</v>
      </c>
      <c r="Y19" s="18"/>
      <c r="Z19" s="25"/>
      <c r="AA19" s="18">
        <v>133181.15</v>
      </c>
      <c r="AB19" s="25"/>
      <c r="AC19" s="18">
        <v>209838.03</v>
      </c>
      <c r="AD19" s="25"/>
      <c r="AE19" s="18"/>
      <c r="AF19" s="25"/>
      <c r="AG19" s="18"/>
      <c r="AH19" s="25">
        <v>70168.399999999994</v>
      </c>
      <c r="AI19" s="18">
        <v>20033.8</v>
      </c>
      <c r="AJ19" s="25"/>
      <c r="AK19" s="18"/>
      <c r="AL19" s="68">
        <f t="shared" si="1"/>
        <v>433221.37999999995</v>
      </c>
      <c r="AM19" s="33">
        <v>68</v>
      </c>
      <c r="AN19" s="34">
        <v>1499</v>
      </c>
      <c r="AO19" s="18">
        <v>-82238.05</v>
      </c>
      <c r="AP19" s="25"/>
      <c r="AQ19" s="18">
        <v>-4.93</v>
      </c>
      <c r="AR19" s="64">
        <v>1</v>
      </c>
      <c r="AS19" s="32"/>
      <c r="AT19" s="32"/>
      <c r="AU19" s="40"/>
      <c r="AV19" s="40"/>
      <c r="AW19" s="41"/>
      <c r="AX19" s="23"/>
      <c r="AZ19" s="40"/>
      <c r="BA19" s="40"/>
      <c r="BB19" s="41"/>
      <c r="BC19" s="42"/>
      <c r="BD19" s="42"/>
      <c r="BE19" s="42"/>
      <c r="BF19" s="42"/>
      <c r="BG19" s="42"/>
      <c r="BI19" s="38"/>
      <c r="BJ19" s="39"/>
      <c r="BK19" s="38"/>
      <c r="BL19" s="38"/>
      <c r="BM19" s="38"/>
    </row>
    <row r="20" spans="1:65" x14ac:dyDescent="0.25">
      <c r="A20" s="13">
        <v>5414</v>
      </c>
      <c r="B20" s="14" t="s">
        <v>170</v>
      </c>
      <c r="C20" s="16">
        <v>7297674.3799999999</v>
      </c>
      <c r="D20" s="15">
        <v>1388486.37</v>
      </c>
      <c r="E20" s="16">
        <v>0</v>
      </c>
      <c r="F20" s="15">
        <v>0</v>
      </c>
      <c r="G20" s="16">
        <v>2245323.5499999998</v>
      </c>
      <c r="H20" s="15">
        <v>79006.7</v>
      </c>
      <c r="I20" s="16">
        <v>41152.550000000003</v>
      </c>
      <c r="J20" s="15">
        <v>463193.18</v>
      </c>
      <c r="K20" s="17">
        <v>106455.5</v>
      </c>
      <c r="L20" s="16">
        <v>931561.15</v>
      </c>
      <c r="M20" s="3">
        <f t="shared" si="0"/>
        <v>12552853.380000001</v>
      </c>
      <c r="N20" s="15">
        <v>739606.15</v>
      </c>
      <c r="O20" s="16">
        <v>230179</v>
      </c>
      <c r="P20" s="15">
        <v>1008860.95</v>
      </c>
      <c r="Q20" s="16">
        <v>97778.880000000005</v>
      </c>
      <c r="R20" s="15">
        <v>204014.1</v>
      </c>
      <c r="S20" s="16">
        <v>1575</v>
      </c>
      <c r="T20" s="15">
        <v>0</v>
      </c>
      <c r="U20" s="16">
        <v>24150</v>
      </c>
      <c r="V20" s="15">
        <v>0</v>
      </c>
      <c r="W20" s="16">
        <v>0</v>
      </c>
      <c r="X20" s="2">
        <f t="shared" si="2"/>
        <v>14859017.460000001</v>
      </c>
      <c r="Y20" s="18">
        <v>153327.45000000001</v>
      </c>
      <c r="Z20" s="25"/>
      <c r="AA20" s="18">
        <v>1070995.8</v>
      </c>
      <c r="AB20" s="25"/>
      <c r="AC20" s="18">
        <v>677384.13</v>
      </c>
      <c r="AD20" s="25">
        <v>189326.65</v>
      </c>
      <c r="AE20" s="18"/>
      <c r="AF20" s="25"/>
      <c r="AG20" s="18">
        <v>78897</v>
      </c>
      <c r="AH20" s="25"/>
      <c r="AI20" s="18"/>
      <c r="AJ20" s="25"/>
      <c r="AK20" s="18"/>
      <c r="AL20" s="68">
        <f t="shared" si="1"/>
        <v>2169931.0299999998</v>
      </c>
      <c r="AM20" s="33">
        <v>69</v>
      </c>
      <c r="AN20" s="34">
        <v>5188</v>
      </c>
      <c r="AO20" s="18">
        <v>-342722.86</v>
      </c>
      <c r="AP20" s="25"/>
      <c r="AQ20" s="18">
        <v>-523.58000000000004</v>
      </c>
      <c r="AR20" s="64">
        <v>1</v>
      </c>
      <c r="AS20" s="32"/>
      <c r="AT20" s="32"/>
      <c r="AU20" s="40"/>
      <c r="AV20" s="40"/>
      <c r="AW20" s="41"/>
      <c r="AX20" s="23"/>
      <c r="AZ20" s="40"/>
      <c r="BA20" s="40"/>
      <c r="BB20" s="41"/>
      <c r="BC20" s="42"/>
      <c r="BD20" s="42"/>
      <c r="BE20" s="42"/>
      <c r="BF20" s="42"/>
      <c r="BG20" s="42"/>
      <c r="BI20" s="38"/>
      <c r="BJ20" s="39"/>
      <c r="BK20" s="38"/>
      <c r="BL20" s="38"/>
      <c r="BM20" s="38"/>
    </row>
    <row r="21" spans="1:65" x14ac:dyDescent="0.25">
      <c r="A21" s="13">
        <v>5415</v>
      </c>
      <c r="B21" s="14" t="s">
        <v>81</v>
      </c>
      <c r="C21" s="16">
        <v>2147090.35</v>
      </c>
      <c r="D21" s="15">
        <v>278505.83</v>
      </c>
      <c r="E21" s="16">
        <v>0</v>
      </c>
      <c r="F21" s="15">
        <v>0</v>
      </c>
      <c r="G21" s="16">
        <v>70745.45</v>
      </c>
      <c r="H21" s="15">
        <v>2078.5500000000002</v>
      </c>
      <c r="I21" s="16">
        <v>0</v>
      </c>
      <c r="J21" s="15">
        <v>57350.720000000001</v>
      </c>
      <c r="K21" s="17">
        <v>7920.5</v>
      </c>
      <c r="L21" s="16">
        <v>299418.40000000002</v>
      </c>
      <c r="M21" s="3">
        <f t="shared" si="0"/>
        <v>2863109.8000000003</v>
      </c>
      <c r="N21" s="15">
        <v>44730.400000000001</v>
      </c>
      <c r="O21" s="16">
        <v>55308.5</v>
      </c>
      <c r="P21" s="15">
        <v>116630.6</v>
      </c>
      <c r="Q21" s="16">
        <v>4526.75</v>
      </c>
      <c r="R21" s="15">
        <v>124363.85</v>
      </c>
      <c r="S21" s="16">
        <v>475</v>
      </c>
      <c r="T21" s="15">
        <v>0</v>
      </c>
      <c r="U21" s="16">
        <v>7800</v>
      </c>
      <c r="V21" s="15">
        <v>0</v>
      </c>
      <c r="W21" s="16">
        <v>0</v>
      </c>
      <c r="X21" s="2">
        <f t="shared" si="2"/>
        <v>3216944.9000000004</v>
      </c>
      <c r="Y21" s="18">
        <v>26461.1</v>
      </c>
      <c r="Z21" s="25"/>
      <c r="AA21" s="18">
        <v>140395.4</v>
      </c>
      <c r="AB21" s="25"/>
      <c r="AC21" s="18">
        <v>56630.65</v>
      </c>
      <c r="AD21" s="25">
        <v>43441.15</v>
      </c>
      <c r="AE21" s="18"/>
      <c r="AF21" s="25">
        <v>14300</v>
      </c>
      <c r="AG21" s="18">
        <v>29088.5</v>
      </c>
      <c r="AH21" s="25">
        <v>20300</v>
      </c>
      <c r="AI21" s="18"/>
      <c r="AJ21" s="25"/>
      <c r="AK21" s="18">
        <v>20300</v>
      </c>
      <c r="AL21" s="68">
        <f t="shared" si="1"/>
        <v>350916.8</v>
      </c>
      <c r="AM21" s="33">
        <v>68.5</v>
      </c>
      <c r="AN21" s="34">
        <v>1039</v>
      </c>
      <c r="AO21" s="18">
        <v>-22763.58</v>
      </c>
      <c r="AP21" s="25"/>
      <c r="AQ21" s="18">
        <v>-30.58</v>
      </c>
      <c r="AR21" s="64">
        <v>1.5</v>
      </c>
      <c r="AS21" s="32"/>
      <c r="AT21" s="32"/>
      <c r="AU21" s="40"/>
      <c r="AV21" s="40"/>
      <c r="AW21" s="41"/>
      <c r="AX21" s="23"/>
      <c r="AZ21" s="40"/>
      <c r="BA21" s="40"/>
      <c r="BB21" s="41"/>
      <c r="BC21" s="42"/>
      <c r="BD21" s="42"/>
      <c r="BE21" s="42"/>
      <c r="BF21" s="42"/>
      <c r="BG21" s="42"/>
      <c r="BI21" s="38"/>
      <c r="BJ21" s="39"/>
      <c r="BK21" s="38"/>
      <c r="BL21" s="38"/>
      <c r="BM21" s="38"/>
    </row>
    <row r="22" spans="1:65" x14ac:dyDescent="0.25">
      <c r="A22" s="13">
        <v>5421</v>
      </c>
      <c r="B22" s="14" t="s">
        <v>82</v>
      </c>
      <c r="C22" s="16">
        <v>2591260.56</v>
      </c>
      <c r="D22" s="15">
        <v>384792.04</v>
      </c>
      <c r="E22" s="16">
        <v>0</v>
      </c>
      <c r="F22" s="15">
        <v>0</v>
      </c>
      <c r="G22" s="16">
        <v>88616.6</v>
      </c>
      <c r="H22" s="15">
        <v>64989.3</v>
      </c>
      <c r="I22" s="16">
        <v>97722.73</v>
      </c>
      <c r="J22" s="15">
        <v>44059.46</v>
      </c>
      <c r="K22" s="17">
        <v>6064.5</v>
      </c>
      <c r="L22" s="16">
        <v>243715.1</v>
      </c>
      <c r="M22" s="3">
        <f t="shared" si="0"/>
        <v>3521220.29</v>
      </c>
      <c r="N22" s="15">
        <v>19718.150000000001</v>
      </c>
      <c r="O22" s="16">
        <v>3319.5</v>
      </c>
      <c r="P22" s="15">
        <v>122175.5</v>
      </c>
      <c r="Q22" s="16">
        <v>0</v>
      </c>
      <c r="R22" s="15">
        <v>153221.75</v>
      </c>
      <c r="S22" s="16">
        <v>125</v>
      </c>
      <c r="T22" s="15">
        <v>0</v>
      </c>
      <c r="U22" s="16">
        <v>7600</v>
      </c>
      <c r="V22" s="15">
        <v>0</v>
      </c>
      <c r="W22" s="16">
        <v>0</v>
      </c>
      <c r="X22" s="2">
        <f t="shared" si="2"/>
        <v>3827380.19</v>
      </c>
      <c r="Y22" s="18">
        <v>117475</v>
      </c>
      <c r="Z22" s="25"/>
      <c r="AA22" s="18">
        <v>310278.95</v>
      </c>
      <c r="AB22" s="25"/>
      <c r="AC22" s="18">
        <v>132273.82999999999</v>
      </c>
      <c r="AD22" s="25">
        <v>184465</v>
      </c>
      <c r="AE22" s="18"/>
      <c r="AF22" s="25"/>
      <c r="AG22" s="18"/>
      <c r="AH22" s="25"/>
      <c r="AI22" s="18"/>
      <c r="AJ22" s="25"/>
      <c r="AK22" s="18"/>
      <c r="AL22" s="68">
        <f t="shared" si="1"/>
        <v>744492.78</v>
      </c>
      <c r="AM22" s="33">
        <v>71</v>
      </c>
      <c r="AN22" s="34">
        <v>1341</v>
      </c>
      <c r="AO22" s="18">
        <v>-29704.17</v>
      </c>
      <c r="AP22" s="25"/>
      <c r="AQ22" s="18">
        <v>-102.87</v>
      </c>
      <c r="AR22" s="64">
        <v>1</v>
      </c>
      <c r="AS22" s="32"/>
      <c r="AT22" s="32"/>
      <c r="AU22" s="40"/>
      <c r="AV22" s="40"/>
      <c r="AW22" s="41"/>
      <c r="AX22" s="23"/>
      <c r="AZ22" s="40"/>
      <c r="BA22" s="40"/>
      <c r="BB22" s="41"/>
      <c r="BC22" s="42"/>
      <c r="BD22" s="42"/>
      <c r="BE22" s="42"/>
      <c r="BF22" s="42"/>
      <c r="BG22" s="42"/>
      <c r="BI22" s="38"/>
      <c r="BJ22" s="39"/>
      <c r="BK22" s="38"/>
      <c r="BL22" s="38"/>
      <c r="BM22" s="38"/>
    </row>
    <row r="23" spans="1:65" x14ac:dyDescent="0.25">
      <c r="A23" s="13">
        <v>5422</v>
      </c>
      <c r="B23" s="14" t="s">
        <v>83</v>
      </c>
      <c r="C23" s="16">
        <v>9639001.1199999992</v>
      </c>
      <c r="D23" s="15">
        <v>1831997.17</v>
      </c>
      <c r="E23" s="16">
        <v>0</v>
      </c>
      <c r="F23" s="15">
        <v>0</v>
      </c>
      <c r="G23" s="16">
        <v>4258894.6500000004</v>
      </c>
      <c r="H23" s="15">
        <v>91268.2</v>
      </c>
      <c r="I23" s="16">
        <v>205569.32</v>
      </c>
      <c r="J23" s="15">
        <v>593743.18999999994</v>
      </c>
      <c r="K23" s="17">
        <v>108879</v>
      </c>
      <c r="L23" s="16">
        <v>802693</v>
      </c>
      <c r="M23" s="3">
        <f t="shared" si="0"/>
        <v>17532045.649999999</v>
      </c>
      <c r="N23" s="15">
        <v>457342.95</v>
      </c>
      <c r="O23" s="16">
        <v>216029.1</v>
      </c>
      <c r="P23" s="15">
        <v>371698.3</v>
      </c>
      <c r="Q23" s="16">
        <v>7064.77</v>
      </c>
      <c r="R23" s="15">
        <v>276157.3</v>
      </c>
      <c r="S23" s="16">
        <v>0</v>
      </c>
      <c r="T23" s="15">
        <v>4500</v>
      </c>
      <c r="U23" s="16">
        <v>20500</v>
      </c>
      <c r="V23" s="15">
        <v>0</v>
      </c>
      <c r="W23" s="16">
        <v>0</v>
      </c>
      <c r="X23" s="2">
        <f t="shared" si="2"/>
        <v>18885338.07</v>
      </c>
      <c r="Y23" s="18">
        <v>107152.69</v>
      </c>
      <c r="Z23" s="25"/>
      <c r="AA23" s="18">
        <v>714115.85</v>
      </c>
      <c r="AB23" s="25"/>
      <c r="AC23" s="18">
        <v>232778.48</v>
      </c>
      <c r="AD23" s="25">
        <v>109312.7</v>
      </c>
      <c r="AE23" s="18"/>
      <c r="AF23" s="25"/>
      <c r="AG23" s="18"/>
      <c r="AH23" s="25">
        <v>207175.85</v>
      </c>
      <c r="AI23" s="18"/>
      <c r="AJ23" s="25"/>
      <c r="AK23" s="18"/>
      <c r="AL23" s="68">
        <f t="shared" si="1"/>
        <v>1370535.57</v>
      </c>
      <c r="AM23" s="33">
        <v>68</v>
      </c>
      <c r="AN23" s="34">
        <v>3051</v>
      </c>
      <c r="AO23" s="18">
        <v>-78940.160000000003</v>
      </c>
      <c r="AP23" s="25"/>
      <c r="AQ23" s="18">
        <v>-5262.99</v>
      </c>
      <c r="AR23" s="64">
        <v>1</v>
      </c>
      <c r="AS23" s="32"/>
      <c r="AT23" s="32"/>
      <c r="AU23" s="40"/>
      <c r="AV23" s="40"/>
      <c r="AW23" s="41"/>
      <c r="AX23" s="23"/>
      <c r="AZ23" s="40"/>
      <c r="BA23" s="40"/>
      <c r="BB23" s="41"/>
      <c r="BC23" s="42"/>
      <c r="BD23" s="42"/>
      <c r="BE23" s="42"/>
      <c r="BF23" s="42"/>
      <c r="BG23" s="42"/>
      <c r="BI23" s="38"/>
      <c r="BJ23" s="39"/>
      <c r="BK23" s="38"/>
      <c r="BL23" s="38"/>
      <c r="BM23" s="38"/>
    </row>
    <row r="24" spans="1:65" x14ac:dyDescent="0.25">
      <c r="A24" s="13">
        <v>5423</v>
      </c>
      <c r="B24" s="14" t="s">
        <v>84</v>
      </c>
      <c r="C24" s="16">
        <v>814133.14</v>
      </c>
      <c r="D24" s="15">
        <v>102834.69</v>
      </c>
      <c r="E24" s="16">
        <v>0</v>
      </c>
      <c r="F24" s="15">
        <v>2610</v>
      </c>
      <c r="G24" s="16">
        <v>88426.75</v>
      </c>
      <c r="H24" s="15">
        <v>-121.75</v>
      </c>
      <c r="I24" s="16">
        <v>0</v>
      </c>
      <c r="J24" s="15">
        <v>45609.61</v>
      </c>
      <c r="K24" s="17">
        <v>1554.5</v>
      </c>
      <c r="L24" s="16">
        <v>32080.2</v>
      </c>
      <c r="M24" s="3">
        <f t="shared" si="0"/>
        <v>1087127.1400000001</v>
      </c>
      <c r="N24" s="15">
        <v>12384.5</v>
      </c>
      <c r="O24" s="16" t="s">
        <v>512</v>
      </c>
      <c r="P24" s="15">
        <v>13469.05</v>
      </c>
      <c r="Q24" s="16">
        <v>0</v>
      </c>
      <c r="R24" s="15">
        <v>14169.15</v>
      </c>
      <c r="S24" s="16">
        <v>31.3</v>
      </c>
      <c r="T24" s="15">
        <v>626</v>
      </c>
      <c r="U24" s="16">
        <v>1400</v>
      </c>
      <c r="V24" s="15">
        <v>0</v>
      </c>
      <c r="W24" s="16">
        <v>0</v>
      </c>
      <c r="X24" s="2">
        <f t="shared" si="2"/>
        <v>1129207.1400000001</v>
      </c>
      <c r="Y24" s="18">
        <v>55360.7</v>
      </c>
      <c r="Z24" s="25"/>
      <c r="AA24" s="18">
        <v>149308</v>
      </c>
      <c r="AB24" s="25"/>
      <c r="AC24" s="18">
        <v>22737.95</v>
      </c>
      <c r="AD24" s="25"/>
      <c r="AE24" s="18"/>
      <c r="AF24" s="25"/>
      <c r="AG24" s="18"/>
      <c r="AH24" s="25">
        <v>10904.55</v>
      </c>
      <c r="AI24" s="18"/>
      <c r="AJ24" s="25"/>
      <c r="AK24" s="18"/>
      <c r="AL24" s="68">
        <f t="shared" si="1"/>
        <v>238311.2</v>
      </c>
      <c r="AM24" s="33">
        <v>69</v>
      </c>
      <c r="AN24" s="34">
        <v>507</v>
      </c>
      <c r="AO24" s="18">
        <v>-11106.59</v>
      </c>
      <c r="AP24" s="25"/>
      <c r="AQ24" s="18">
        <v>-228.61</v>
      </c>
      <c r="AR24" s="64">
        <v>0.5</v>
      </c>
      <c r="AS24" s="32"/>
      <c r="AT24" s="32"/>
      <c r="AU24" s="40"/>
      <c r="AV24" s="40"/>
      <c r="AW24" s="41"/>
      <c r="AX24" s="23"/>
      <c r="AZ24" s="40"/>
      <c r="BA24" s="40"/>
      <c r="BB24" s="41"/>
      <c r="BC24" s="42"/>
      <c r="BD24" s="42"/>
      <c r="BE24" s="42"/>
      <c r="BF24" s="42"/>
      <c r="BG24" s="42"/>
      <c r="BI24" s="38"/>
      <c r="BJ24" s="39"/>
      <c r="BK24" s="38"/>
      <c r="BL24" s="38"/>
      <c r="BM24" s="38"/>
    </row>
    <row r="25" spans="1:65" x14ac:dyDescent="0.25">
      <c r="A25" s="13">
        <v>5424</v>
      </c>
      <c r="B25" s="14" t="s">
        <v>85</v>
      </c>
      <c r="C25" s="16">
        <v>546710.43999999994</v>
      </c>
      <c r="D25" s="15">
        <v>46135.57</v>
      </c>
      <c r="E25" s="16">
        <v>0</v>
      </c>
      <c r="F25" s="15">
        <v>0</v>
      </c>
      <c r="G25" s="16">
        <v>967.2</v>
      </c>
      <c r="H25" s="15">
        <v>36.75</v>
      </c>
      <c r="I25" s="16">
        <v>58228.800000000003</v>
      </c>
      <c r="J25" s="15">
        <v>29510.12</v>
      </c>
      <c r="K25" s="17">
        <v>94.5</v>
      </c>
      <c r="L25" s="16">
        <v>41972.3</v>
      </c>
      <c r="M25" s="3">
        <f t="shared" si="0"/>
        <v>723655.67999999993</v>
      </c>
      <c r="N25" s="25"/>
      <c r="O25" s="18">
        <v>297.8</v>
      </c>
      <c r="P25" s="25">
        <v>12650</v>
      </c>
      <c r="Q25" s="18">
        <v>0</v>
      </c>
      <c r="R25" s="25"/>
      <c r="S25" s="18">
        <v>0</v>
      </c>
      <c r="T25" s="25">
        <v>0</v>
      </c>
      <c r="U25" s="18">
        <v>1700</v>
      </c>
      <c r="V25" s="25">
        <v>0</v>
      </c>
      <c r="W25" s="18">
        <v>0</v>
      </c>
      <c r="X25" s="2">
        <f t="shared" si="2"/>
        <v>738303.48</v>
      </c>
      <c r="Y25" s="18"/>
      <c r="Z25" s="25">
        <v>1450</v>
      </c>
      <c r="AA25" s="18">
        <v>40750</v>
      </c>
      <c r="AB25" s="25">
        <v>10264.959999999999</v>
      </c>
      <c r="AC25" s="18">
        <v>13332.95</v>
      </c>
      <c r="AD25" s="25"/>
      <c r="AE25" s="18">
        <v>649.75</v>
      </c>
      <c r="AF25" s="25"/>
      <c r="AG25" s="18"/>
      <c r="AH25" s="25">
        <v>8091.2</v>
      </c>
      <c r="AI25" s="18"/>
      <c r="AJ25" s="25"/>
      <c r="AK25" s="18"/>
      <c r="AL25" s="68">
        <f t="shared" si="1"/>
        <v>74538.86</v>
      </c>
      <c r="AM25" s="33">
        <v>77</v>
      </c>
      <c r="AN25" s="34">
        <v>302</v>
      </c>
      <c r="AO25" s="18">
        <v>-3087.91</v>
      </c>
      <c r="AP25" s="25"/>
      <c r="AQ25" s="18">
        <v>0</v>
      </c>
      <c r="AR25" s="64">
        <v>1</v>
      </c>
      <c r="AS25" s="32"/>
      <c r="AT25" s="32"/>
      <c r="AU25" s="40"/>
      <c r="AV25" s="40"/>
      <c r="AW25" s="41"/>
      <c r="AX25" s="23"/>
      <c r="AZ25" s="40"/>
      <c r="BA25" s="40"/>
      <c r="BB25" s="41"/>
      <c r="BC25" s="42"/>
      <c r="BD25" s="42"/>
      <c r="BE25" s="42"/>
      <c r="BF25" s="42"/>
      <c r="BG25" s="42"/>
      <c r="BI25" s="38"/>
      <c r="BJ25" s="39"/>
      <c r="BK25" s="38"/>
      <c r="BL25" s="38"/>
      <c r="BM25" s="38"/>
    </row>
    <row r="26" spans="1:65" x14ac:dyDescent="0.25">
      <c r="A26" s="13">
        <v>5425</v>
      </c>
      <c r="B26" s="14" t="s">
        <v>86</v>
      </c>
      <c r="C26" s="16">
        <v>1962359.23</v>
      </c>
      <c r="D26" s="15">
        <v>195272.66</v>
      </c>
      <c r="E26" s="16">
        <v>0</v>
      </c>
      <c r="F26" s="15">
        <v>0</v>
      </c>
      <c r="G26" s="16">
        <v>121620.55</v>
      </c>
      <c r="H26" s="15">
        <v>651.15</v>
      </c>
      <c r="I26" s="16">
        <v>0</v>
      </c>
      <c r="J26" s="15">
        <v>109163.28</v>
      </c>
      <c r="K26" s="17">
        <v>13025</v>
      </c>
      <c r="L26" s="16">
        <v>87548.65</v>
      </c>
      <c r="M26" s="3">
        <f t="shared" si="0"/>
        <v>2489640.5199999996</v>
      </c>
      <c r="N26" s="15">
        <v>23256.55</v>
      </c>
      <c r="O26" s="16">
        <v>60857.5</v>
      </c>
      <c r="P26" s="15">
        <v>46442</v>
      </c>
      <c r="Q26" s="16">
        <v>7436.84</v>
      </c>
      <c r="R26" s="15">
        <v>6221.25</v>
      </c>
      <c r="S26" s="16">
        <v>520</v>
      </c>
      <c r="T26" s="15">
        <v>1910</v>
      </c>
      <c r="U26" s="16">
        <v>10750</v>
      </c>
      <c r="V26" s="15">
        <v>8858.2000000000007</v>
      </c>
      <c r="W26" s="16">
        <v>0</v>
      </c>
      <c r="X26" s="2">
        <f t="shared" si="2"/>
        <v>2655892.8599999994</v>
      </c>
      <c r="Y26" s="18">
        <v>32207.200000000001</v>
      </c>
      <c r="Z26" s="25"/>
      <c r="AA26" s="18">
        <v>177307.6</v>
      </c>
      <c r="AB26" s="25"/>
      <c r="AC26" s="18">
        <v>162949.35999999999</v>
      </c>
      <c r="AD26" s="25">
        <v>13176</v>
      </c>
      <c r="AE26" s="18"/>
      <c r="AF26" s="25"/>
      <c r="AG26" s="18"/>
      <c r="AH26" s="25">
        <v>61923.7</v>
      </c>
      <c r="AI26" s="18"/>
      <c r="AJ26" s="25"/>
      <c r="AK26" s="18"/>
      <c r="AL26" s="68">
        <f t="shared" si="1"/>
        <v>447563.86000000004</v>
      </c>
      <c r="AM26" s="33">
        <v>68</v>
      </c>
      <c r="AN26" s="34">
        <v>1526</v>
      </c>
      <c r="AO26" s="18">
        <v>-60017.02</v>
      </c>
      <c r="AP26" s="25"/>
      <c r="AQ26" s="18">
        <v>-12.29</v>
      </c>
      <c r="AR26" s="64">
        <v>0.5</v>
      </c>
      <c r="AS26" s="32"/>
      <c r="AT26" s="32"/>
      <c r="AU26" s="40"/>
      <c r="AV26" s="40"/>
      <c r="AW26" s="41"/>
      <c r="AX26" s="23"/>
      <c r="AZ26" s="40"/>
      <c r="BA26" s="40"/>
      <c r="BB26" s="41"/>
      <c r="BC26" s="42"/>
      <c r="BD26" s="42"/>
      <c r="BE26" s="42"/>
      <c r="BF26" s="42"/>
      <c r="BG26" s="42"/>
      <c r="BI26" s="38"/>
      <c r="BJ26" s="39"/>
      <c r="BK26" s="38"/>
      <c r="BL26" s="38"/>
      <c r="BM26" s="38"/>
    </row>
    <row r="27" spans="1:65" x14ac:dyDescent="0.25">
      <c r="A27" s="13">
        <v>5426</v>
      </c>
      <c r="B27" s="14" t="s">
        <v>80</v>
      </c>
      <c r="C27" s="16">
        <v>1405510.5</v>
      </c>
      <c r="D27" s="15">
        <v>897435.54</v>
      </c>
      <c r="E27" s="16">
        <v>0</v>
      </c>
      <c r="F27" s="15">
        <v>0</v>
      </c>
      <c r="G27" s="16">
        <v>44873.45</v>
      </c>
      <c r="H27" s="15">
        <v>431.15</v>
      </c>
      <c r="I27" s="16">
        <v>553690.80000000005</v>
      </c>
      <c r="J27" s="15">
        <v>165759.10999999999</v>
      </c>
      <c r="K27" s="17">
        <v>2563.5</v>
      </c>
      <c r="L27" s="16">
        <v>210472.15</v>
      </c>
      <c r="M27" s="3">
        <f t="shared" si="0"/>
        <v>3280736.2</v>
      </c>
      <c r="N27" s="15">
        <v>11863.7</v>
      </c>
      <c r="O27" s="16">
        <v>228155.3</v>
      </c>
      <c r="P27" s="15">
        <v>84374</v>
      </c>
      <c r="Q27" s="16">
        <v>7891.9</v>
      </c>
      <c r="R27" s="15">
        <v>153570.4</v>
      </c>
      <c r="S27" s="16">
        <v>218.75</v>
      </c>
      <c r="T27" s="15">
        <v>1100</v>
      </c>
      <c r="U27" s="16">
        <v>3040</v>
      </c>
      <c r="V27" s="15">
        <v>20130.099999999999</v>
      </c>
      <c r="W27" s="16">
        <v>0</v>
      </c>
      <c r="X27" s="2">
        <f t="shared" si="2"/>
        <v>3791080.35</v>
      </c>
      <c r="Y27" s="18">
        <v>40655.4</v>
      </c>
      <c r="Z27" s="25">
        <v>41432.9</v>
      </c>
      <c r="AA27" s="18">
        <v>105396.5</v>
      </c>
      <c r="AB27" s="25"/>
      <c r="AC27" s="18">
        <v>31745.5</v>
      </c>
      <c r="AD27" s="25"/>
      <c r="AE27" s="18"/>
      <c r="AF27" s="25"/>
      <c r="AG27" s="18"/>
      <c r="AH27" s="25"/>
      <c r="AI27" s="18"/>
      <c r="AJ27" s="25"/>
      <c r="AK27" s="18"/>
      <c r="AL27" s="68">
        <f t="shared" si="1"/>
        <v>219230.3</v>
      </c>
      <c r="AM27" s="33">
        <v>62</v>
      </c>
      <c r="AN27" s="34">
        <v>444</v>
      </c>
      <c r="AO27" s="18">
        <v>-9103.19</v>
      </c>
      <c r="AP27" s="25"/>
      <c r="AQ27" s="18">
        <v>-6887.79</v>
      </c>
      <c r="AR27" s="64">
        <v>1</v>
      </c>
      <c r="AS27" s="32"/>
      <c r="AT27" s="32"/>
      <c r="AU27" s="40"/>
      <c r="AV27" s="40"/>
      <c r="AW27" s="41"/>
      <c r="AX27" s="23"/>
      <c r="AZ27" s="40"/>
      <c r="BA27" s="40"/>
      <c r="BB27" s="41"/>
      <c r="BC27" s="42"/>
      <c r="BD27" s="42"/>
      <c r="BE27" s="42"/>
      <c r="BF27" s="42"/>
      <c r="BG27" s="42"/>
      <c r="BI27" s="38"/>
      <c r="BJ27" s="39"/>
      <c r="BK27" s="38"/>
      <c r="BL27" s="38"/>
      <c r="BM27" s="38"/>
    </row>
    <row r="28" spans="1:65" x14ac:dyDescent="0.25">
      <c r="A28" s="13">
        <v>5427</v>
      </c>
      <c r="B28" s="14" t="s">
        <v>390</v>
      </c>
      <c r="C28" s="16">
        <v>3286418.95</v>
      </c>
      <c r="D28" s="15">
        <v>640551.05000000005</v>
      </c>
      <c r="E28" s="16">
        <v>0</v>
      </c>
      <c r="F28" s="15">
        <v>0</v>
      </c>
      <c r="G28" s="16">
        <v>169425.6</v>
      </c>
      <c r="H28" s="15">
        <v>4143.25</v>
      </c>
      <c r="I28" s="16">
        <v>696179.15</v>
      </c>
      <c r="J28" s="15">
        <v>-284586.27</v>
      </c>
      <c r="K28" s="17">
        <v>2483.5</v>
      </c>
      <c r="L28" s="16">
        <v>400558.25</v>
      </c>
      <c r="M28" s="3">
        <f t="shared" si="0"/>
        <v>4915173.4800000004</v>
      </c>
      <c r="N28" s="15">
        <v>6769</v>
      </c>
      <c r="O28" s="16">
        <v>102182.5</v>
      </c>
      <c r="P28" s="15">
        <v>126995</v>
      </c>
      <c r="Q28" s="16">
        <v>-3030.33</v>
      </c>
      <c r="R28" s="15">
        <v>147776.15</v>
      </c>
      <c r="S28" s="16">
        <v>0</v>
      </c>
      <c r="T28" s="15">
        <v>0</v>
      </c>
      <c r="U28" s="16">
        <v>4320</v>
      </c>
      <c r="V28" s="15">
        <v>0</v>
      </c>
      <c r="W28" s="16">
        <v>0</v>
      </c>
      <c r="X28" s="2">
        <f t="shared" si="2"/>
        <v>5300185.8000000007</v>
      </c>
      <c r="Y28" s="18">
        <v>52491.9</v>
      </c>
      <c r="Z28" s="25"/>
      <c r="AA28" s="18">
        <v>221148.75</v>
      </c>
      <c r="AB28" s="25"/>
      <c r="AC28" s="18">
        <v>83953.600000000006</v>
      </c>
      <c r="AD28" s="25"/>
      <c r="AE28" s="18"/>
      <c r="AF28" s="25"/>
      <c r="AG28" s="18"/>
      <c r="AH28" s="25"/>
      <c r="AI28" s="18"/>
      <c r="AJ28" s="25"/>
      <c r="AK28" s="18"/>
      <c r="AL28" s="68">
        <f t="shared" si="1"/>
        <v>357594.25</v>
      </c>
      <c r="AM28" s="33">
        <v>64</v>
      </c>
      <c r="AN28" s="34">
        <v>857</v>
      </c>
      <c r="AO28" s="18">
        <v>-15893.3</v>
      </c>
      <c r="AP28" s="25"/>
      <c r="AQ28" s="18">
        <v>0</v>
      </c>
      <c r="AR28" s="64">
        <v>1.3</v>
      </c>
      <c r="AS28" s="32"/>
      <c r="AT28" s="32"/>
      <c r="AU28" s="40"/>
      <c r="AV28" s="40"/>
      <c r="AW28" s="41"/>
      <c r="AX28" s="23"/>
      <c r="AZ28" s="40"/>
      <c r="BA28" s="40"/>
      <c r="BB28" s="41"/>
      <c r="BC28" s="42"/>
      <c r="BD28" s="42"/>
      <c r="BE28" s="42"/>
      <c r="BF28" s="42"/>
      <c r="BG28" s="42"/>
      <c r="BI28" s="38"/>
      <c r="BJ28" s="39"/>
      <c r="BK28" s="38"/>
      <c r="BL28" s="38"/>
      <c r="BM28" s="38"/>
    </row>
    <row r="29" spans="1:65" x14ac:dyDescent="0.25">
      <c r="A29" s="13">
        <v>5428</v>
      </c>
      <c r="B29" s="14" t="s">
        <v>391</v>
      </c>
      <c r="C29" s="16">
        <v>3037971.99</v>
      </c>
      <c r="D29" s="15">
        <v>339170.12</v>
      </c>
      <c r="E29" s="16">
        <v>0</v>
      </c>
      <c r="F29" s="15">
        <v>0</v>
      </c>
      <c r="G29" s="16">
        <v>30696.45</v>
      </c>
      <c r="H29" s="15">
        <v>1623.9</v>
      </c>
      <c r="I29" s="16">
        <v>43068.3</v>
      </c>
      <c r="J29" s="15">
        <v>173441.1</v>
      </c>
      <c r="K29" s="17">
        <v>7431.5</v>
      </c>
      <c r="L29" s="16">
        <v>343596.7</v>
      </c>
      <c r="M29" s="3">
        <f t="shared" si="0"/>
        <v>3977000.0600000005</v>
      </c>
      <c r="N29" s="15">
        <v>208566.85</v>
      </c>
      <c r="O29" s="16">
        <v>60777.2</v>
      </c>
      <c r="P29" s="15">
        <v>108965.15</v>
      </c>
      <c r="Q29" s="16">
        <v>4219.22</v>
      </c>
      <c r="R29" s="15">
        <v>106511.8</v>
      </c>
      <c r="S29" s="16">
        <v>525</v>
      </c>
      <c r="T29" s="15">
        <v>1400</v>
      </c>
      <c r="U29" s="16">
        <v>9950</v>
      </c>
      <c r="V29" s="15">
        <v>0</v>
      </c>
      <c r="W29" s="16">
        <v>0</v>
      </c>
      <c r="X29" s="2">
        <f t="shared" si="2"/>
        <v>4477915.28</v>
      </c>
      <c r="Y29" s="18">
        <v>17124.8</v>
      </c>
      <c r="Z29" s="25">
        <v>3912.15</v>
      </c>
      <c r="AA29" s="18">
        <v>229063.52</v>
      </c>
      <c r="AB29" s="25"/>
      <c r="AC29" s="18">
        <v>186487.99</v>
      </c>
      <c r="AD29" s="25">
        <v>17242.900000000001</v>
      </c>
      <c r="AE29" s="18">
        <v>3912.15</v>
      </c>
      <c r="AF29" s="25"/>
      <c r="AG29" s="18"/>
      <c r="AH29" s="25">
        <v>49497.599999999999</v>
      </c>
      <c r="AI29" s="18"/>
      <c r="AJ29" s="25"/>
      <c r="AK29" s="18"/>
      <c r="AL29" s="68">
        <f t="shared" si="1"/>
        <v>507241.11</v>
      </c>
      <c r="AM29" s="33">
        <v>71.5</v>
      </c>
      <c r="AN29" s="34">
        <v>1923</v>
      </c>
      <c r="AO29" s="18">
        <v>-45148.43</v>
      </c>
      <c r="AP29" s="25"/>
      <c r="AQ29" s="18">
        <v>-295.57</v>
      </c>
      <c r="AR29" s="64">
        <v>1.2</v>
      </c>
      <c r="AS29" s="32"/>
      <c r="AT29" s="32"/>
      <c r="AU29" s="40"/>
      <c r="AV29" s="40"/>
      <c r="AW29" s="41"/>
      <c r="AX29" s="23"/>
      <c r="AZ29" s="40"/>
      <c r="BA29" s="40"/>
      <c r="BB29" s="41"/>
      <c r="BC29" s="42"/>
      <c r="BD29" s="42"/>
      <c r="BE29" s="42"/>
      <c r="BF29" s="42"/>
      <c r="BG29" s="42"/>
      <c r="BI29" s="38"/>
      <c r="BJ29" s="39"/>
      <c r="BK29" s="38"/>
      <c r="BL29" s="38"/>
      <c r="BM29" s="38"/>
    </row>
    <row r="30" spans="1:65" x14ac:dyDescent="0.25">
      <c r="A30" s="13">
        <v>5429</v>
      </c>
      <c r="B30" s="14" t="s">
        <v>411</v>
      </c>
      <c r="C30" s="16">
        <v>1067182.17</v>
      </c>
      <c r="D30" s="15">
        <v>124621.01</v>
      </c>
      <c r="E30" s="16">
        <v>0</v>
      </c>
      <c r="F30" s="15">
        <v>0</v>
      </c>
      <c r="G30" s="16">
        <v>3030.65</v>
      </c>
      <c r="H30" s="15">
        <v>3489.75</v>
      </c>
      <c r="I30" s="16">
        <v>0</v>
      </c>
      <c r="J30" s="15">
        <v>-842.61</v>
      </c>
      <c r="K30" s="17">
        <v>1190</v>
      </c>
      <c r="L30" s="16">
        <v>77836.800000000003</v>
      </c>
      <c r="M30" s="3">
        <f t="shared" si="0"/>
        <v>1276507.7699999998</v>
      </c>
      <c r="N30" s="15" t="s">
        <v>512</v>
      </c>
      <c r="O30" s="16">
        <v>35956</v>
      </c>
      <c r="P30" s="15">
        <v>61886.3</v>
      </c>
      <c r="Q30" s="16">
        <v>0</v>
      </c>
      <c r="R30" s="15">
        <v>-5102.45</v>
      </c>
      <c r="S30" s="16">
        <v>0</v>
      </c>
      <c r="T30" s="15">
        <v>0</v>
      </c>
      <c r="U30" s="16">
        <v>4799</v>
      </c>
      <c r="V30" s="15">
        <v>0</v>
      </c>
      <c r="W30" s="16">
        <v>0</v>
      </c>
      <c r="X30" s="2">
        <f t="shared" si="2"/>
        <v>1374046.6199999999</v>
      </c>
      <c r="Y30" s="18">
        <v>19325</v>
      </c>
      <c r="Z30" s="25"/>
      <c r="AA30" s="18">
        <v>35033.599999999999</v>
      </c>
      <c r="AB30" s="25"/>
      <c r="AC30" s="18">
        <v>55639.95</v>
      </c>
      <c r="AD30" s="25">
        <v>19325</v>
      </c>
      <c r="AE30" s="18"/>
      <c r="AF30" s="25"/>
      <c r="AG30" s="18">
        <v>383.6</v>
      </c>
      <c r="AH30" s="25"/>
      <c r="AI30" s="18"/>
      <c r="AJ30" s="25"/>
      <c r="AK30" s="18"/>
      <c r="AL30" s="68">
        <f t="shared" si="1"/>
        <v>129707.15</v>
      </c>
      <c r="AM30" s="33">
        <v>81</v>
      </c>
      <c r="AN30" s="34">
        <v>441</v>
      </c>
      <c r="AO30" s="18">
        <v>-92137</v>
      </c>
      <c r="AP30" s="25"/>
      <c r="AQ30" s="18">
        <v>-9.31</v>
      </c>
      <c r="AR30" s="64">
        <v>1</v>
      </c>
      <c r="AS30" s="32"/>
      <c r="AT30" s="32"/>
      <c r="AU30" s="40"/>
      <c r="AV30" s="40"/>
      <c r="AW30" s="41"/>
      <c r="AX30" s="23"/>
      <c r="AZ30" s="40"/>
      <c r="BA30" s="40"/>
      <c r="BB30" s="41"/>
      <c r="BC30" s="42"/>
      <c r="BD30" s="42"/>
      <c r="BE30" s="42"/>
      <c r="BF30" s="42"/>
      <c r="BG30" s="42"/>
      <c r="BI30" s="38"/>
      <c r="BJ30" s="39"/>
      <c r="BK30" s="38"/>
      <c r="BL30" s="38"/>
      <c r="BM30" s="38"/>
    </row>
    <row r="31" spans="1:65" x14ac:dyDescent="0.25">
      <c r="A31" s="13">
        <v>5430</v>
      </c>
      <c r="B31" s="14" t="s">
        <v>412</v>
      </c>
      <c r="C31" s="16">
        <v>890606.97</v>
      </c>
      <c r="D31" s="15">
        <v>74332.2</v>
      </c>
      <c r="E31" s="16">
        <v>0</v>
      </c>
      <c r="F31" s="15">
        <v>0</v>
      </c>
      <c r="G31" s="16">
        <v>5038.8500000000004</v>
      </c>
      <c r="H31" s="15">
        <v>101.35</v>
      </c>
      <c r="I31" s="16">
        <v>0</v>
      </c>
      <c r="J31" s="15">
        <v>15544.72</v>
      </c>
      <c r="K31" s="17">
        <v>488</v>
      </c>
      <c r="L31" s="16">
        <v>75454.25</v>
      </c>
      <c r="M31" s="3">
        <f t="shared" si="0"/>
        <v>1061566.3399999999</v>
      </c>
      <c r="N31" s="15">
        <v>11420.9</v>
      </c>
      <c r="O31" s="16">
        <v>9648.5</v>
      </c>
      <c r="P31" s="15">
        <v>51104.85</v>
      </c>
      <c r="Q31" s="16">
        <v>1379.2</v>
      </c>
      <c r="R31" s="15">
        <v>14783.35</v>
      </c>
      <c r="S31" s="16">
        <v>0</v>
      </c>
      <c r="T31" s="15">
        <v>0</v>
      </c>
      <c r="U31" s="16">
        <v>2920</v>
      </c>
      <c r="V31" s="15">
        <v>0</v>
      </c>
      <c r="W31" s="16">
        <v>0</v>
      </c>
      <c r="X31" s="2">
        <f t="shared" si="2"/>
        <v>1152823.1399999999</v>
      </c>
      <c r="Y31" s="18">
        <v>2090</v>
      </c>
      <c r="Z31" s="25"/>
      <c r="AA31" s="18">
        <v>37005.300000000003</v>
      </c>
      <c r="AB31" s="25"/>
      <c r="AC31" s="18">
        <v>45341.5</v>
      </c>
      <c r="AD31" s="25">
        <v>10976</v>
      </c>
      <c r="AE31" s="18"/>
      <c r="AF31" s="25"/>
      <c r="AG31" s="18">
        <v>208.1</v>
      </c>
      <c r="AH31" s="25"/>
      <c r="AI31" s="18"/>
      <c r="AJ31" s="25"/>
      <c r="AK31" s="18"/>
      <c r="AL31" s="68">
        <f t="shared" si="1"/>
        <v>95620.900000000009</v>
      </c>
      <c r="AM31" s="33">
        <v>81</v>
      </c>
      <c r="AN31" s="34">
        <v>444</v>
      </c>
      <c r="AO31" s="18">
        <v>-4232.92</v>
      </c>
      <c r="AP31" s="25"/>
      <c r="AQ31" s="18">
        <v>-92.98</v>
      </c>
      <c r="AR31" s="64">
        <v>1</v>
      </c>
      <c r="AS31" s="32"/>
      <c r="AT31" s="32"/>
      <c r="AU31" s="40"/>
      <c r="AV31" s="40"/>
      <c r="AW31" s="41"/>
      <c r="AX31" s="23"/>
      <c r="AZ31" s="40"/>
      <c r="BA31" s="40"/>
      <c r="BB31" s="41"/>
      <c r="BC31" s="42"/>
      <c r="BD31" s="42"/>
      <c r="BE31" s="42"/>
      <c r="BF31" s="42"/>
      <c r="BG31" s="42"/>
      <c r="BI31" s="38"/>
      <c r="BJ31" s="39"/>
      <c r="BK31" s="38"/>
      <c r="BL31" s="38"/>
      <c r="BM31" s="38"/>
    </row>
    <row r="32" spans="1:65" x14ac:dyDescent="0.25">
      <c r="A32" s="13">
        <v>5431</v>
      </c>
      <c r="B32" s="14" t="s">
        <v>413</v>
      </c>
      <c r="C32" s="16">
        <v>483034.52</v>
      </c>
      <c r="D32" s="15">
        <v>66887.64</v>
      </c>
      <c r="E32" s="16">
        <v>0</v>
      </c>
      <c r="F32" s="15">
        <v>0</v>
      </c>
      <c r="G32" s="16">
        <v>658.95</v>
      </c>
      <c r="H32" s="15">
        <v>139.05000000000001</v>
      </c>
      <c r="I32" s="16">
        <v>0</v>
      </c>
      <c r="J32" s="15">
        <v>2506.36</v>
      </c>
      <c r="K32" s="17">
        <v>300.5</v>
      </c>
      <c r="L32" s="16">
        <v>45419.5</v>
      </c>
      <c r="M32" s="3">
        <f t="shared" si="0"/>
        <v>598946.52</v>
      </c>
      <c r="N32" s="15" t="s">
        <v>512</v>
      </c>
      <c r="O32" s="16">
        <v>4693.6000000000004</v>
      </c>
      <c r="P32" s="15">
        <v>18164.5</v>
      </c>
      <c r="Q32" s="16">
        <v>1730.19</v>
      </c>
      <c r="R32" s="15">
        <v>19999.599999999999</v>
      </c>
      <c r="S32" s="16">
        <v>0</v>
      </c>
      <c r="T32" s="15">
        <v>0</v>
      </c>
      <c r="U32" s="16">
        <v>2025</v>
      </c>
      <c r="V32" s="15">
        <v>0</v>
      </c>
      <c r="W32" s="16">
        <v>0</v>
      </c>
      <c r="X32" s="2">
        <f t="shared" si="2"/>
        <v>645559.40999999992</v>
      </c>
      <c r="Y32" s="18">
        <v>2045.4</v>
      </c>
      <c r="Z32" s="25"/>
      <c r="AA32" s="18">
        <v>89700</v>
      </c>
      <c r="AB32" s="25"/>
      <c r="AC32" s="18">
        <v>15375.05</v>
      </c>
      <c r="AD32" s="25">
        <v>1625.4</v>
      </c>
      <c r="AE32" s="18"/>
      <c r="AF32" s="25"/>
      <c r="AG32" s="18"/>
      <c r="AH32" s="25"/>
      <c r="AI32" s="18"/>
      <c r="AJ32" s="25"/>
      <c r="AK32" s="18"/>
      <c r="AL32" s="68">
        <f t="shared" si="1"/>
        <v>108745.84999999999</v>
      </c>
      <c r="AM32" s="33">
        <v>74</v>
      </c>
      <c r="AN32" s="34">
        <v>288</v>
      </c>
      <c r="AO32" s="18">
        <v>-6750.44</v>
      </c>
      <c r="AP32" s="25"/>
      <c r="AQ32" s="18">
        <v>-127.06</v>
      </c>
      <c r="AR32" s="64">
        <v>1</v>
      </c>
      <c r="AS32" s="32"/>
      <c r="AT32" s="32"/>
      <c r="AU32" s="40"/>
      <c r="AV32" s="40"/>
      <c r="AW32" s="41"/>
      <c r="AX32" s="23"/>
      <c r="AZ32" s="40"/>
      <c r="BA32" s="40"/>
      <c r="BB32" s="41"/>
      <c r="BC32" s="42"/>
      <c r="BD32" s="42"/>
      <c r="BE32" s="42"/>
      <c r="BF32" s="42"/>
      <c r="BG32" s="42"/>
      <c r="BI32" s="38"/>
      <c r="BJ32" s="39"/>
      <c r="BK32" s="38"/>
      <c r="BL32" s="38"/>
      <c r="BM32" s="38"/>
    </row>
    <row r="33" spans="1:65" x14ac:dyDescent="0.25">
      <c r="A33" s="13">
        <v>5432</v>
      </c>
      <c r="B33" s="14" t="s">
        <v>414</v>
      </c>
      <c r="C33" s="16">
        <v>1047049.45</v>
      </c>
      <c r="D33" s="15">
        <v>69763.09</v>
      </c>
      <c r="E33" s="16">
        <v>0</v>
      </c>
      <c r="F33" s="15">
        <v>0</v>
      </c>
      <c r="G33" s="16">
        <v>51483.75</v>
      </c>
      <c r="H33" s="15">
        <v>285.8</v>
      </c>
      <c r="I33" s="16">
        <v>0</v>
      </c>
      <c r="J33" s="15">
        <v>68312.5</v>
      </c>
      <c r="K33" s="17">
        <v>2859.5</v>
      </c>
      <c r="L33" s="16">
        <v>84453.9</v>
      </c>
      <c r="M33" s="3">
        <f t="shared" si="0"/>
        <v>1324207.99</v>
      </c>
      <c r="N33" s="15">
        <v>11485.1</v>
      </c>
      <c r="O33" s="16" t="s">
        <v>512</v>
      </c>
      <c r="P33" s="15">
        <v>88869</v>
      </c>
      <c r="Q33" s="16">
        <v>2997.25</v>
      </c>
      <c r="R33" s="15">
        <v>46264.2</v>
      </c>
      <c r="S33" s="16">
        <v>125</v>
      </c>
      <c r="T33" s="15">
        <v>260</v>
      </c>
      <c r="U33" s="16">
        <v>4405</v>
      </c>
      <c r="V33" s="15">
        <v>0</v>
      </c>
      <c r="W33" s="16">
        <v>0</v>
      </c>
      <c r="X33" s="2">
        <f t="shared" si="2"/>
        <v>1478613.54</v>
      </c>
      <c r="Y33" s="18"/>
      <c r="Z33" s="25">
        <v>181.45</v>
      </c>
      <c r="AA33" s="18">
        <v>37205.75</v>
      </c>
      <c r="AB33" s="25"/>
      <c r="AC33" s="18">
        <v>50260</v>
      </c>
      <c r="AD33" s="25"/>
      <c r="AE33" s="18">
        <v>181.45</v>
      </c>
      <c r="AF33" s="25"/>
      <c r="AG33" s="18"/>
      <c r="AH33" s="25">
        <v>11042.5</v>
      </c>
      <c r="AI33" s="18"/>
      <c r="AJ33" s="25"/>
      <c r="AK33" s="18"/>
      <c r="AL33" s="68">
        <f t="shared" si="1"/>
        <v>98871.15</v>
      </c>
      <c r="AM33" s="33">
        <v>74</v>
      </c>
      <c r="AN33" s="34">
        <v>521</v>
      </c>
      <c r="AO33" s="18">
        <v>-4854.05</v>
      </c>
      <c r="AP33" s="25">
        <v>-5191.95</v>
      </c>
      <c r="AQ33" s="18">
        <v>-1.38</v>
      </c>
      <c r="AR33" s="64">
        <v>1</v>
      </c>
      <c r="AS33" s="32"/>
      <c r="AT33" s="32"/>
      <c r="AU33" s="40"/>
      <c r="AV33" s="40"/>
      <c r="AW33" s="41"/>
      <c r="AX33" s="23"/>
      <c r="AZ33" s="40"/>
      <c r="BA33" s="40"/>
      <c r="BB33" s="41"/>
      <c r="BC33" s="42"/>
      <c r="BD33" s="42"/>
      <c r="BE33" s="42"/>
      <c r="BF33" s="42"/>
      <c r="BG33" s="42"/>
      <c r="BI33" s="38"/>
      <c r="BJ33" s="39"/>
      <c r="BK33" s="38"/>
      <c r="BL33" s="38"/>
      <c r="BM33" s="38"/>
    </row>
    <row r="34" spans="1:65" x14ac:dyDescent="0.25">
      <c r="A34" s="13">
        <v>5434</v>
      </c>
      <c r="B34" s="14" t="s">
        <v>415</v>
      </c>
      <c r="C34" s="16">
        <v>2189839.4500000002</v>
      </c>
      <c r="D34" s="15">
        <v>0</v>
      </c>
      <c r="E34" s="16">
        <v>0</v>
      </c>
      <c r="F34" s="15">
        <v>0</v>
      </c>
      <c r="G34" s="16">
        <v>14672.06</v>
      </c>
      <c r="H34" s="15">
        <v>0</v>
      </c>
      <c r="I34" s="16">
        <v>0</v>
      </c>
      <c r="J34" s="15">
        <v>82589.039999999994</v>
      </c>
      <c r="K34" s="17">
        <v>0</v>
      </c>
      <c r="L34" s="16">
        <v>192480.6</v>
      </c>
      <c r="M34" s="3">
        <f t="shared" si="0"/>
        <v>2479581.1500000004</v>
      </c>
      <c r="N34" s="15">
        <v>38621.300000000003</v>
      </c>
      <c r="O34" s="16">
        <v>76623</v>
      </c>
      <c r="P34" s="15">
        <v>134589.6</v>
      </c>
      <c r="Q34" s="16">
        <v>10074.17</v>
      </c>
      <c r="R34" s="15">
        <v>156717.5</v>
      </c>
      <c r="S34" s="16">
        <v>382</v>
      </c>
      <c r="T34" s="15">
        <v>0</v>
      </c>
      <c r="U34" s="16">
        <v>7080</v>
      </c>
      <c r="V34" s="15">
        <v>0</v>
      </c>
      <c r="W34" s="16">
        <v>0</v>
      </c>
      <c r="X34" s="2">
        <f t="shared" si="2"/>
        <v>2903668.72</v>
      </c>
      <c r="Y34" s="18">
        <v>31540.5</v>
      </c>
      <c r="Z34" s="25"/>
      <c r="AA34" s="18">
        <v>93156.6</v>
      </c>
      <c r="AB34" s="25"/>
      <c r="AC34" s="18">
        <v>71309.7</v>
      </c>
      <c r="AD34" s="25">
        <v>122265</v>
      </c>
      <c r="AE34" s="18"/>
      <c r="AF34" s="25"/>
      <c r="AG34" s="18">
        <v>13361</v>
      </c>
      <c r="AH34" s="25"/>
      <c r="AI34" s="18"/>
      <c r="AJ34" s="25"/>
      <c r="AK34" s="18"/>
      <c r="AL34" s="68">
        <f t="shared" si="1"/>
        <v>331632.8</v>
      </c>
      <c r="AM34" s="33">
        <v>68.5</v>
      </c>
      <c r="AN34" s="34">
        <v>951</v>
      </c>
      <c r="AO34" s="18">
        <v>-82901</v>
      </c>
      <c r="AP34" s="25"/>
      <c r="AQ34" s="18">
        <v>0</v>
      </c>
      <c r="AR34" s="64">
        <v>1</v>
      </c>
      <c r="AS34" s="32"/>
      <c r="AT34" s="32"/>
      <c r="AU34" s="40"/>
      <c r="AV34" s="40"/>
      <c r="AW34" s="41"/>
      <c r="AX34" s="23"/>
      <c r="AZ34" s="40"/>
      <c r="BA34" s="40"/>
      <c r="BB34" s="41"/>
      <c r="BC34" s="42"/>
      <c r="BD34" s="42"/>
      <c r="BE34" s="42"/>
      <c r="BF34" s="42"/>
      <c r="BG34" s="42"/>
      <c r="BI34" s="38"/>
      <c r="BJ34" s="39"/>
      <c r="BK34" s="38"/>
      <c r="BL34" s="38"/>
      <c r="BM34" s="38"/>
    </row>
    <row r="35" spans="1:65" x14ac:dyDescent="0.25">
      <c r="A35" s="13">
        <v>5435</v>
      </c>
      <c r="B35" s="14" t="s">
        <v>392</v>
      </c>
      <c r="C35" s="16">
        <v>1160575.58</v>
      </c>
      <c r="D35" s="15">
        <v>141809.99</v>
      </c>
      <c r="E35" s="16">
        <v>0</v>
      </c>
      <c r="F35" s="15">
        <v>0</v>
      </c>
      <c r="G35" s="16">
        <v>11747.05</v>
      </c>
      <c r="H35" s="15">
        <v>112.9</v>
      </c>
      <c r="I35" s="16">
        <v>32027.71</v>
      </c>
      <c r="J35" s="15">
        <v>28439.48</v>
      </c>
      <c r="K35" s="17">
        <v>0</v>
      </c>
      <c r="L35" s="16">
        <v>110273.7</v>
      </c>
      <c r="M35" s="3">
        <f t="shared" si="0"/>
        <v>1484986.41</v>
      </c>
      <c r="N35" s="15" t="s">
        <v>512</v>
      </c>
      <c r="O35" s="16">
        <v>21938</v>
      </c>
      <c r="P35" s="15">
        <v>64108</v>
      </c>
      <c r="Q35" s="16">
        <v>26352.29</v>
      </c>
      <c r="R35" s="15">
        <v>68495.899999999994</v>
      </c>
      <c r="S35" s="16">
        <v>0</v>
      </c>
      <c r="T35" s="15">
        <v>240</v>
      </c>
      <c r="U35" s="16">
        <v>5250</v>
      </c>
      <c r="V35" s="15">
        <v>0</v>
      </c>
      <c r="W35" s="16">
        <v>0</v>
      </c>
      <c r="X35" s="2">
        <f t="shared" si="2"/>
        <v>1671370.5999999999</v>
      </c>
      <c r="Y35" s="18">
        <v>1570.9</v>
      </c>
      <c r="Z35" s="25"/>
      <c r="AA35" s="18">
        <v>82680.149999999994</v>
      </c>
      <c r="AB35" s="25"/>
      <c r="AC35" s="18">
        <v>56800</v>
      </c>
      <c r="AD35" s="25">
        <v>6880.05</v>
      </c>
      <c r="AE35" s="18"/>
      <c r="AF35" s="25"/>
      <c r="AG35" s="18"/>
      <c r="AH35" s="25">
        <v>12237.8</v>
      </c>
      <c r="AI35" s="18"/>
      <c r="AJ35" s="25"/>
      <c r="AK35" s="18"/>
      <c r="AL35" s="68">
        <f t="shared" si="1"/>
        <v>160168.89999999997</v>
      </c>
      <c r="AM35" s="33">
        <v>69</v>
      </c>
      <c r="AN35" s="34">
        <v>699</v>
      </c>
      <c r="AO35" s="18">
        <v>-23757.37</v>
      </c>
      <c r="AP35" s="25"/>
      <c r="AQ35" s="18">
        <v>-27.65</v>
      </c>
      <c r="AR35" s="64">
        <v>1</v>
      </c>
      <c r="AS35" s="32"/>
      <c r="AT35" s="32"/>
      <c r="AU35" s="40"/>
      <c r="AV35" s="40"/>
      <c r="AW35" s="41"/>
      <c r="AX35" s="23"/>
      <c r="AZ35" s="40"/>
      <c r="BA35" s="40"/>
      <c r="BB35" s="41"/>
      <c r="BC35" s="42"/>
      <c r="BD35" s="42"/>
      <c r="BE35" s="42"/>
      <c r="BF35" s="42"/>
      <c r="BG35" s="42"/>
      <c r="BI35" s="38"/>
      <c r="BJ35" s="39"/>
      <c r="BK35" s="38"/>
      <c r="BL35" s="38"/>
      <c r="BM35" s="38"/>
    </row>
    <row r="36" spans="1:65" x14ac:dyDescent="0.25">
      <c r="A36" s="13">
        <v>5436</v>
      </c>
      <c r="B36" s="14" t="s">
        <v>393</v>
      </c>
      <c r="C36" s="16">
        <v>749565.8</v>
      </c>
      <c r="D36" s="15">
        <v>82652.289999999994</v>
      </c>
      <c r="E36" s="16">
        <v>0</v>
      </c>
      <c r="F36" s="15">
        <v>0</v>
      </c>
      <c r="G36" s="16">
        <v>977.8</v>
      </c>
      <c r="H36" s="15">
        <v>-62.25</v>
      </c>
      <c r="I36" s="16">
        <v>0</v>
      </c>
      <c r="J36" s="15">
        <v>37673.42</v>
      </c>
      <c r="K36" s="17">
        <v>0</v>
      </c>
      <c r="L36" s="16">
        <v>45119.9</v>
      </c>
      <c r="M36" s="3">
        <f t="shared" si="0"/>
        <v>915926.9600000002</v>
      </c>
      <c r="N36" s="15" t="s">
        <v>512</v>
      </c>
      <c r="O36" s="16" t="s">
        <v>512</v>
      </c>
      <c r="P36" s="15">
        <v>53644.95</v>
      </c>
      <c r="Q36" s="16">
        <v>3437.79</v>
      </c>
      <c r="R36" s="15">
        <v>52464.45</v>
      </c>
      <c r="S36" s="16">
        <v>0</v>
      </c>
      <c r="T36" s="15">
        <v>100</v>
      </c>
      <c r="U36" s="16">
        <v>2812.5</v>
      </c>
      <c r="V36" s="15">
        <v>0</v>
      </c>
      <c r="W36" s="16">
        <v>0</v>
      </c>
      <c r="X36" s="2">
        <f t="shared" si="2"/>
        <v>1028386.6500000001</v>
      </c>
      <c r="Y36" s="18">
        <v>19747</v>
      </c>
      <c r="Z36" s="25"/>
      <c r="AA36" s="18">
        <v>50735</v>
      </c>
      <c r="AB36" s="25"/>
      <c r="AC36" s="18">
        <v>27840</v>
      </c>
      <c r="AD36" s="25">
        <v>19747</v>
      </c>
      <c r="AE36" s="18"/>
      <c r="AF36" s="25"/>
      <c r="AG36" s="18"/>
      <c r="AH36" s="25">
        <v>8820</v>
      </c>
      <c r="AI36" s="18"/>
      <c r="AJ36" s="25"/>
      <c r="AK36" s="18"/>
      <c r="AL36" s="68">
        <f t="shared" si="1"/>
        <v>126889</v>
      </c>
      <c r="AM36" s="33">
        <v>81</v>
      </c>
      <c r="AN36" s="34">
        <v>326</v>
      </c>
      <c r="AO36" s="18">
        <v>-9717</v>
      </c>
      <c r="AP36" s="25"/>
      <c r="AQ36" s="18">
        <v>0</v>
      </c>
      <c r="AR36" s="64">
        <v>0.8</v>
      </c>
      <c r="AS36" s="32"/>
      <c r="AT36" s="32"/>
      <c r="AU36" s="40"/>
      <c r="AV36" s="40"/>
      <c r="AW36" s="41"/>
      <c r="AX36" s="23"/>
      <c r="AZ36" s="40"/>
      <c r="BA36" s="40"/>
      <c r="BB36" s="41"/>
      <c r="BC36" s="42"/>
      <c r="BD36" s="42"/>
      <c r="BE36" s="42"/>
      <c r="BF36" s="42"/>
      <c r="BG36" s="42"/>
      <c r="BI36" s="38"/>
      <c r="BJ36" s="39"/>
      <c r="BK36" s="38"/>
      <c r="BL36" s="38"/>
      <c r="BM36" s="38"/>
    </row>
    <row r="37" spans="1:65" x14ac:dyDescent="0.25">
      <c r="A37" s="13">
        <v>5437</v>
      </c>
      <c r="B37" s="14" t="s">
        <v>394</v>
      </c>
      <c r="C37" s="16">
        <v>586904.77</v>
      </c>
      <c r="D37" s="15">
        <v>48063.86</v>
      </c>
      <c r="E37" s="16">
        <v>0</v>
      </c>
      <c r="F37" s="15">
        <v>2940</v>
      </c>
      <c r="G37" s="16">
        <v>2131.0500000000002</v>
      </c>
      <c r="H37" s="15">
        <v>-3.2</v>
      </c>
      <c r="I37" s="16">
        <v>0</v>
      </c>
      <c r="J37" s="15">
        <v>-8561.2900000000009</v>
      </c>
      <c r="K37" s="17">
        <v>408.5</v>
      </c>
      <c r="L37" s="16">
        <v>51086.8</v>
      </c>
      <c r="M37" s="3">
        <f t="shared" si="0"/>
        <v>682970.49000000011</v>
      </c>
      <c r="N37" s="15" t="s">
        <v>512</v>
      </c>
      <c r="O37" s="16">
        <v>0</v>
      </c>
      <c r="P37" s="15">
        <v>60742</v>
      </c>
      <c r="Q37" s="16">
        <v>0</v>
      </c>
      <c r="R37" s="15">
        <v>56011.199999999997</v>
      </c>
      <c r="S37" s="16">
        <v>0</v>
      </c>
      <c r="T37" s="15">
        <v>0</v>
      </c>
      <c r="U37" s="16">
        <v>2025</v>
      </c>
      <c r="V37" s="15">
        <v>0</v>
      </c>
      <c r="W37" s="16">
        <v>0</v>
      </c>
      <c r="X37" s="2">
        <f t="shared" si="2"/>
        <v>801748.69000000006</v>
      </c>
      <c r="Y37" s="18"/>
      <c r="Z37" s="25"/>
      <c r="AA37" s="18"/>
      <c r="AB37" s="25"/>
      <c r="AC37" s="18">
        <v>36030</v>
      </c>
      <c r="AD37" s="25"/>
      <c r="AE37" s="18"/>
      <c r="AF37" s="25"/>
      <c r="AG37" s="18"/>
      <c r="AH37" s="25"/>
      <c r="AI37" s="18"/>
      <c r="AJ37" s="25"/>
      <c r="AK37" s="18"/>
      <c r="AL37" s="68">
        <f t="shared" si="1"/>
        <v>36030</v>
      </c>
      <c r="AM37" s="33">
        <v>83</v>
      </c>
      <c r="AN37" s="34">
        <v>385</v>
      </c>
      <c r="AO37" s="18">
        <v>-1641.11</v>
      </c>
      <c r="AP37" s="25"/>
      <c r="AQ37" s="18">
        <v>0</v>
      </c>
      <c r="AR37" s="64">
        <v>1</v>
      </c>
      <c r="AS37" s="32"/>
      <c r="AT37" s="32"/>
      <c r="AU37" s="40"/>
      <c r="AV37" s="40"/>
      <c r="AW37" s="41"/>
      <c r="AX37" s="23"/>
      <c r="AZ37" s="40"/>
      <c r="BA37" s="40"/>
      <c r="BB37" s="41"/>
      <c r="BC37" s="42"/>
      <c r="BD37" s="42"/>
      <c r="BE37" s="42"/>
      <c r="BF37" s="42"/>
      <c r="BG37" s="42"/>
      <c r="BI37" s="38"/>
      <c r="BJ37" s="39"/>
      <c r="BK37" s="38"/>
      <c r="BL37" s="38"/>
      <c r="BM37" s="38"/>
    </row>
    <row r="38" spans="1:65" x14ac:dyDescent="0.25">
      <c r="A38" s="13">
        <v>5451</v>
      </c>
      <c r="B38" s="14" t="s">
        <v>395</v>
      </c>
      <c r="C38" s="16">
        <v>4972483.0199999996</v>
      </c>
      <c r="D38" s="15">
        <v>540937.05000000005</v>
      </c>
      <c r="E38" s="16">
        <v>0</v>
      </c>
      <c r="F38" s="15">
        <v>0</v>
      </c>
      <c r="G38" s="16">
        <v>538035.19999999995</v>
      </c>
      <c r="H38" s="15">
        <v>51942</v>
      </c>
      <c r="I38" s="16">
        <v>0</v>
      </c>
      <c r="J38" s="15">
        <v>389977.27</v>
      </c>
      <c r="K38" s="17">
        <v>79507.5</v>
      </c>
      <c r="L38" s="16">
        <v>1101528.45</v>
      </c>
      <c r="M38" s="3">
        <f t="shared" si="0"/>
        <v>7674410.4899999993</v>
      </c>
      <c r="N38" s="15">
        <v>494034.65</v>
      </c>
      <c r="O38" s="16">
        <v>73486.2</v>
      </c>
      <c r="P38" s="15">
        <v>427188.45</v>
      </c>
      <c r="Q38" s="16">
        <v>77045.2</v>
      </c>
      <c r="R38" s="15">
        <v>195017.7</v>
      </c>
      <c r="S38" s="16">
        <v>34798.1</v>
      </c>
      <c r="T38" s="15">
        <v>0</v>
      </c>
      <c r="U38" s="16">
        <v>20558.349999999999</v>
      </c>
      <c r="V38" s="15">
        <v>0</v>
      </c>
      <c r="W38" s="16">
        <v>0</v>
      </c>
      <c r="X38" s="2">
        <f t="shared" si="2"/>
        <v>8996539.1399999969</v>
      </c>
      <c r="Y38" s="18">
        <v>96171.25</v>
      </c>
      <c r="Z38" s="25">
        <v>4115.3</v>
      </c>
      <c r="AA38" s="18">
        <v>749158.55</v>
      </c>
      <c r="AB38" s="25"/>
      <c r="AC38" s="18">
        <v>448713.16</v>
      </c>
      <c r="AD38" s="25">
        <v>108160.65</v>
      </c>
      <c r="AE38" s="18">
        <v>4833.8</v>
      </c>
      <c r="AF38" s="25"/>
      <c r="AG38" s="18">
        <v>244838.5</v>
      </c>
      <c r="AH38" s="25"/>
      <c r="AI38" s="18"/>
      <c r="AJ38" s="25"/>
      <c r="AK38" s="18"/>
      <c r="AL38" s="68">
        <f t="shared" si="1"/>
        <v>1655991.21</v>
      </c>
      <c r="AM38" s="33">
        <v>68</v>
      </c>
      <c r="AN38" s="34">
        <v>4030</v>
      </c>
      <c r="AO38" s="18">
        <v>-328582.24</v>
      </c>
      <c r="AP38" s="25"/>
      <c r="AQ38" s="18">
        <v>-664.71</v>
      </c>
      <c r="AR38" s="64">
        <v>1.5</v>
      </c>
      <c r="AS38" s="32"/>
      <c r="AT38" s="32"/>
      <c r="AU38" s="40"/>
      <c r="AV38" s="40"/>
      <c r="AW38" s="41"/>
      <c r="AX38" s="23"/>
      <c r="AZ38" s="40"/>
      <c r="BA38" s="40"/>
      <c r="BB38" s="41"/>
      <c r="BC38" s="42"/>
      <c r="BD38" s="42"/>
      <c r="BE38" s="42"/>
      <c r="BF38" s="42"/>
      <c r="BG38" s="42"/>
      <c r="BI38" s="38"/>
      <c r="BJ38" s="39"/>
      <c r="BK38" s="38"/>
      <c r="BL38" s="38"/>
      <c r="BM38" s="38"/>
    </row>
    <row r="39" spans="1:65" x14ac:dyDescent="0.25">
      <c r="A39" s="13">
        <v>5456</v>
      </c>
      <c r="B39" s="14" t="s">
        <v>396</v>
      </c>
      <c r="C39" s="16">
        <v>2091476.9</v>
      </c>
      <c r="D39" s="15">
        <v>219262.07</v>
      </c>
      <c r="E39" s="16">
        <v>0</v>
      </c>
      <c r="F39" s="15">
        <v>0</v>
      </c>
      <c r="G39" s="16">
        <v>75429.850000000006</v>
      </c>
      <c r="H39" s="15">
        <v>601.65</v>
      </c>
      <c r="I39" s="16">
        <v>0</v>
      </c>
      <c r="J39" s="15">
        <v>63798.39</v>
      </c>
      <c r="K39" s="17">
        <v>106.5</v>
      </c>
      <c r="L39" s="16">
        <v>371549.95</v>
      </c>
      <c r="M39" s="3">
        <f t="shared" si="0"/>
        <v>2822225.31</v>
      </c>
      <c r="N39" s="15" t="s">
        <v>512</v>
      </c>
      <c r="O39" s="16">
        <v>31644.6</v>
      </c>
      <c r="P39" s="15">
        <v>79483.95</v>
      </c>
      <c r="Q39" s="16">
        <v>3890.42</v>
      </c>
      <c r="R39" s="15">
        <v>351812.55</v>
      </c>
      <c r="S39" s="16">
        <v>600</v>
      </c>
      <c r="T39" s="15">
        <v>0</v>
      </c>
      <c r="U39" s="16">
        <v>1290</v>
      </c>
      <c r="V39" s="15">
        <v>0</v>
      </c>
      <c r="W39" s="16">
        <v>0</v>
      </c>
      <c r="X39" s="2">
        <f t="shared" si="2"/>
        <v>3290946.83</v>
      </c>
      <c r="Y39" s="18">
        <v>380000</v>
      </c>
      <c r="Z39" s="25"/>
      <c r="AA39" s="18">
        <v>121259.5</v>
      </c>
      <c r="AB39" s="25"/>
      <c r="AC39" s="18">
        <v>218743.74</v>
      </c>
      <c r="AD39" s="25">
        <v>151168</v>
      </c>
      <c r="AE39" s="18"/>
      <c r="AF39" s="25"/>
      <c r="AG39" s="18">
        <v>123558.8</v>
      </c>
      <c r="AH39" s="25"/>
      <c r="AI39" s="18"/>
      <c r="AJ39" s="25"/>
      <c r="AK39" s="18"/>
      <c r="AL39" s="68">
        <f t="shared" si="1"/>
        <v>994730.04</v>
      </c>
      <c r="AM39" s="33">
        <v>59</v>
      </c>
      <c r="AN39" s="34">
        <v>1464</v>
      </c>
      <c r="AO39" s="18">
        <v>-31873.23</v>
      </c>
      <c r="AP39" s="25"/>
      <c r="AQ39" s="18">
        <v>-28.68</v>
      </c>
      <c r="AR39" s="64">
        <v>1.5</v>
      </c>
      <c r="AS39" s="32"/>
      <c r="AT39" s="32"/>
      <c r="AU39" s="40"/>
      <c r="AV39" s="40"/>
      <c r="AW39" s="41"/>
      <c r="AX39" s="23"/>
      <c r="AZ39" s="40"/>
      <c r="BA39" s="40"/>
      <c r="BB39" s="41"/>
      <c r="BC39" s="42"/>
      <c r="BD39" s="42"/>
      <c r="BE39" s="42"/>
      <c r="BF39" s="42"/>
      <c r="BG39" s="42"/>
      <c r="BI39" s="38"/>
      <c r="BJ39" s="39"/>
      <c r="BK39" s="38"/>
      <c r="BL39" s="38"/>
      <c r="BM39" s="38"/>
    </row>
    <row r="40" spans="1:65" x14ac:dyDescent="0.25">
      <c r="A40" s="13">
        <v>5458</v>
      </c>
      <c r="B40" s="14" t="s">
        <v>397</v>
      </c>
      <c r="C40" s="16">
        <v>1277863.76</v>
      </c>
      <c r="D40" s="15">
        <v>137836.01999999999</v>
      </c>
      <c r="E40" s="16">
        <v>0</v>
      </c>
      <c r="F40" s="15">
        <v>0</v>
      </c>
      <c r="G40" s="16">
        <v>57763.55</v>
      </c>
      <c r="H40" s="15">
        <v>61.9</v>
      </c>
      <c r="I40" s="16">
        <v>0</v>
      </c>
      <c r="J40" s="15">
        <v>26209.78</v>
      </c>
      <c r="K40" s="17">
        <v>5951</v>
      </c>
      <c r="L40" s="16">
        <v>146724.1</v>
      </c>
      <c r="M40" s="3">
        <f t="shared" si="0"/>
        <v>1652410.11</v>
      </c>
      <c r="N40" s="15" t="s">
        <v>512</v>
      </c>
      <c r="O40" s="16">
        <v>5095</v>
      </c>
      <c r="P40" s="15">
        <v>100982.45</v>
      </c>
      <c r="Q40" s="16">
        <v>1387.95</v>
      </c>
      <c r="R40" s="15">
        <v>241983.55</v>
      </c>
      <c r="S40" s="16">
        <v>175</v>
      </c>
      <c r="T40" s="15">
        <v>0</v>
      </c>
      <c r="U40" s="16">
        <v>7250</v>
      </c>
      <c r="V40" s="15">
        <v>0</v>
      </c>
      <c r="W40" s="16">
        <v>0</v>
      </c>
      <c r="X40" s="2">
        <f t="shared" si="2"/>
        <v>2009284.06</v>
      </c>
      <c r="Y40" s="18">
        <v>45170.5</v>
      </c>
      <c r="Z40" s="25">
        <v>24280.799999999999</v>
      </c>
      <c r="AA40" s="18">
        <v>135666.75</v>
      </c>
      <c r="AB40" s="25"/>
      <c r="AC40" s="18">
        <v>73663.100000000006</v>
      </c>
      <c r="AD40" s="25">
        <v>45170.5</v>
      </c>
      <c r="AE40" s="18">
        <v>24280.799999999999</v>
      </c>
      <c r="AF40" s="25"/>
      <c r="AG40" s="18">
        <v>33906.1</v>
      </c>
      <c r="AH40" s="25">
        <v>25259.66</v>
      </c>
      <c r="AI40" s="18"/>
      <c r="AJ40" s="25"/>
      <c r="AK40" s="18"/>
      <c r="AL40" s="68">
        <f t="shared" si="1"/>
        <v>407398.20999999996</v>
      </c>
      <c r="AM40" s="33">
        <v>61</v>
      </c>
      <c r="AN40" s="34">
        <v>825</v>
      </c>
      <c r="AO40" s="18">
        <v>-22522.62</v>
      </c>
      <c r="AP40" s="25"/>
      <c r="AQ40" s="18">
        <v>-633.65</v>
      </c>
      <c r="AR40" s="64">
        <v>1</v>
      </c>
      <c r="AS40" s="32"/>
      <c r="AT40" s="32"/>
      <c r="AU40" s="40"/>
      <c r="AV40" s="40"/>
      <c r="AW40" s="41"/>
      <c r="AX40" s="23"/>
      <c r="AZ40" s="40"/>
      <c r="BA40" s="40"/>
      <c r="BB40" s="41"/>
      <c r="BC40" s="42"/>
      <c r="BD40" s="42"/>
      <c r="BE40" s="42"/>
      <c r="BF40" s="42"/>
      <c r="BG40" s="42"/>
      <c r="BI40" s="38"/>
      <c r="BJ40" s="39"/>
      <c r="BK40" s="38"/>
      <c r="BL40" s="38"/>
      <c r="BM40" s="38"/>
    </row>
    <row r="41" spans="1:65" x14ac:dyDescent="0.25">
      <c r="A41" s="13">
        <v>5464</v>
      </c>
      <c r="B41" s="14" t="s">
        <v>496</v>
      </c>
      <c r="C41" s="16">
        <v>4757554.82</v>
      </c>
      <c r="D41" s="15">
        <v>772841.24</v>
      </c>
      <c r="E41" s="16">
        <v>0</v>
      </c>
      <c r="F41" s="15">
        <v>0</v>
      </c>
      <c r="G41" s="16">
        <v>3121.95</v>
      </c>
      <c r="H41" s="15">
        <v>1508.5</v>
      </c>
      <c r="I41" s="16">
        <v>0</v>
      </c>
      <c r="J41" s="15">
        <v>162479.67000000001</v>
      </c>
      <c r="K41" s="17">
        <v>16301.5</v>
      </c>
      <c r="L41" s="16">
        <v>761018.55</v>
      </c>
      <c r="M41" s="3">
        <f t="shared" si="0"/>
        <v>6474826.2300000004</v>
      </c>
      <c r="N41" s="15" t="s">
        <v>512</v>
      </c>
      <c r="O41" s="16">
        <v>92142.2</v>
      </c>
      <c r="P41" s="15">
        <v>202639.75</v>
      </c>
      <c r="Q41" s="16">
        <v>6636.99</v>
      </c>
      <c r="R41" s="15">
        <v>291233.25</v>
      </c>
      <c r="S41" s="16">
        <v>1175</v>
      </c>
      <c r="T41" s="15">
        <v>0</v>
      </c>
      <c r="U41" s="16">
        <v>21350</v>
      </c>
      <c r="V41" s="15">
        <v>0</v>
      </c>
      <c r="W41" s="16">
        <v>0</v>
      </c>
      <c r="X41" s="2">
        <f t="shared" si="2"/>
        <v>7090003.4200000009</v>
      </c>
      <c r="Y41" s="18">
        <v>112920.57</v>
      </c>
      <c r="Z41" s="25">
        <v>59884.67</v>
      </c>
      <c r="AA41" s="18">
        <v>421096.82</v>
      </c>
      <c r="AB41" s="25"/>
      <c r="AC41" s="18">
        <v>270075.81</v>
      </c>
      <c r="AD41" s="25">
        <v>115792.05</v>
      </c>
      <c r="AE41" s="18"/>
      <c r="AF41" s="25"/>
      <c r="AG41" s="18">
        <v>145707.5</v>
      </c>
      <c r="AH41" s="25"/>
      <c r="AI41" s="18">
        <v>93606.2</v>
      </c>
      <c r="AJ41" s="25"/>
      <c r="AK41" s="18"/>
      <c r="AL41" s="68">
        <f t="shared" si="1"/>
        <v>1219083.6200000001</v>
      </c>
      <c r="AM41" s="33">
        <v>67</v>
      </c>
      <c r="AN41" s="34">
        <v>2798</v>
      </c>
      <c r="AO41" s="18">
        <v>-87889.56</v>
      </c>
      <c r="AP41" s="25"/>
      <c r="AQ41" s="18">
        <v>-696.77</v>
      </c>
      <c r="AR41" s="64">
        <v>1.5</v>
      </c>
      <c r="AS41" s="32"/>
      <c r="AT41" s="32"/>
      <c r="AU41" s="40"/>
      <c r="AV41" s="40"/>
      <c r="AW41" s="41"/>
      <c r="AX41" s="23"/>
      <c r="AZ41" s="40"/>
      <c r="BA41" s="40"/>
      <c r="BB41" s="41"/>
      <c r="BC41" s="42"/>
      <c r="BD41" s="42"/>
      <c r="BE41" s="42"/>
      <c r="BF41" s="42"/>
      <c r="BG41" s="42"/>
      <c r="BI41" s="38"/>
      <c r="BJ41" s="39"/>
      <c r="BK41" s="38"/>
      <c r="BL41" s="38"/>
      <c r="BM41" s="38"/>
    </row>
    <row r="42" spans="1:65" x14ac:dyDescent="0.25">
      <c r="A42" s="13">
        <v>5471</v>
      </c>
      <c r="B42" s="14" t="s">
        <v>398</v>
      </c>
      <c r="C42" s="16">
        <v>945748.95</v>
      </c>
      <c r="D42" s="15">
        <v>68041.009999999995</v>
      </c>
      <c r="E42" s="16">
        <v>0</v>
      </c>
      <c r="F42" s="15">
        <v>0</v>
      </c>
      <c r="G42" s="16">
        <v>179258.75</v>
      </c>
      <c r="H42" s="15">
        <v>16.649999999999999</v>
      </c>
      <c r="I42" s="16">
        <v>0</v>
      </c>
      <c r="J42" s="15">
        <v>49441.22</v>
      </c>
      <c r="K42" s="17">
        <v>-512.5</v>
      </c>
      <c r="L42" s="16">
        <v>69428.3</v>
      </c>
      <c r="M42" s="3">
        <f t="shared" si="0"/>
        <v>1311422.3799999999</v>
      </c>
      <c r="N42" s="15" t="s">
        <v>512</v>
      </c>
      <c r="O42" s="16" t="s">
        <v>512</v>
      </c>
      <c r="P42" s="15">
        <v>69950.350000000006</v>
      </c>
      <c r="Q42" s="16">
        <v>0</v>
      </c>
      <c r="R42" s="15">
        <v>188129.45</v>
      </c>
      <c r="S42" s="16">
        <v>62.5</v>
      </c>
      <c r="T42" s="15">
        <v>0</v>
      </c>
      <c r="U42" s="16">
        <v>3850</v>
      </c>
      <c r="V42" s="15">
        <v>0</v>
      </c>
      <c r="W42" s="16">
        <v>0</v>
      </c>
      <c r="X42" s="2">
        <f t="shared" si="2"/>
        <v>1573414.68</v>
      </c>
      <c r="Y42" s="18">
        <v>53766</v>
      </c>
      <c r="Z42" s="25">
        <v>34571</v>
      </c>
      <c r="AA42" s="18"/>
      <c r="AB42" s="25"/>
      <c r="AC42" s="18">
        <v>17521</v>
      </c>
      <c r="AD42" s="25">
        <v>8839</v>
      </c>
      <c r="AE42" s="18"/>
      <c r="AF42" s="25"/>
      <c r="AG42" s="18"/>
      <c r="AH42" s="25"/>
      <c r="AI42" s="18"/>
      <c r="AJ42" s="25"/>
      <c r="AK42" s="18"/>
      <c r="AL42" s="68">
        <f t="shared" si="1"/>
        <v>114697</v>
      </c>
      <c r="AM42" s="33">
        <v>70</v>
      </c>
      <c r="AN42" s="34">
        <v>531</v>
      </c>
      <c r="AO42" s="18">
        <v>-12045.41</v>
      </c>
      <c r="AP42" s="25"/>
      <c r="AQ42" s="18">
        <v>-311.66000000000003</v>
      </c>
      <c r="AR42" s="64">
        <v>0.9</v>
      </c>
      <c r="AS42" s="32"/>
      <c r="AT42" s="32"/>
      <c r="AU42" s="40"/>
      <c r="AV42" s="40"/>
      <c r="AW42" s="41"/>
      <c r="AX42" s="23"/>
      <c r="AZ42" s="40"/>
      <c r="BA42" s="40"/>
      <c r="BB42" s="41"/>
      <c r="BC42" s="42"/>
      <c r="BD42" s="42"/>
      <c r="BE42" s="42"/>
      <c r="BF42" s="42"/>
      <c r="BG42" s="42"/>
      <c r="BI42" s="38"/>
      <c r="BJ42" s="39"/>
      <c r="BK42" s="38"/>
      <c r="BL42" s="38"/>
      <c r="BM42" s="38"/>
    </row>
    <row r="43" spans="1:65" x14ac:dyDescent="0.25">
      <c r="A43" s="13">
        <v>5472</v>
      </c>
      <c r="B43" s="14" t="s">
        <v>399</v>
      </c>
      <c r="C43" s="16">
        <v>858009.86</v>
      </c>
      <c r="D43" s="15">
        <v>98459.24</v>
      </c>
      <c r="E43" s="16">
        <v>0</v>
      </c>
      <c r="F43" s="15">
        <v>0</v>
      </c>
      <c r="G43" s="16">
        <v>195.75</v>
      </c>
      <c r="H43" s="15">
        <v>139.05000000000001</v>
      </c>
      <c r="I43" s="16">
        <v>0</v>
      </c>
      <c r="J43" s="15">
        <v>9135.36</v>
      </c>
      <c r="K43" s="17">
        <v>200</v>
      </c>
      <c r="L43" s="16">
        <v>65935.649999999994</v>
      </c>
      <c r="M43" s="3">
        <f t="shared" si="0"/>
        <v>1032074.91</v>
      </c>
      <c r="N43" s="15" t="s">
        <v>512</v>
      </c>
      <c r="O43" s="16">
        <v>6435.5</v>
      </c>
      <c r="P43" s="15">
        <v>25751</v>
      </c>
      <c r="Q43" s="16">
        <v>0</v>
      </c>
      <c r="R43" s="15">
        <v>24330.15</v>
      </c>
      <c r="S43" s="16">
        <v>0</v>
      </c>
      <c r="T43" s="15">
        <v>0</v>
      </c>
      <c r="U43" s="16">
        <v>1320</v>
      </c>
      <c r="V43" s="15">
        <v>0</v>
      </c>
      <c r="W43" s="16">
        <v>0</v>
      </c>
      <c r="X43" s="2">
        <f t="shared" si="2"/>
        <v>1089911.56</v>
      </c>
      <c r="Y43" s="18"/>
      <c r="Z43" s="25"/>
      <c r="AA43" s="18">
        <v>38277.85</v>
      </c>
      <c r="AC43" s="25">
        <v>27690</v>
      </c>
      <c r="AD43" s="25">
        <v>2778.65</v>
      </c>
      <c r="AE43" s="18"/>
      <c r="AF43" s="25"/>
      <c r="AG43" s="18"/>
      <c r="AH43" s="25"/>
      <c r="AI43" s="18"/>
      <c r="AJ43" s="25"/>
      <c r="AK43" s="18"/>
      <c r="AL43" s="68">
        <f t="shared" si="1"/>
        <v>68746.5</v>
      </c>
      <c r="AM43" s="33">
        <v>80</v>
      </c>
      <c r="AN43" s="34">
        <v>362</v>
      </c>
      <c r="AO43" s="18">
        <v>-5214.7700000000004</v>
      </c>
      <c r="AP43" s="25"/>
      <c r="AQ43" s="18">
        <v>-86.6</v>
      </c>
      <c r="AR43" s="64">
        <v>1</v>
      </c>
      <c r="AS43" s="32"/>
      <c r="AT43" s="32"/>
      <c r="AU43" s="40"/>
      <c r="AV43" s="40"/>
      <c r="AW43" s="41"/>
      <c r="AX43" s="23"/>
      <c r="AZ43" s="40"/>
      <c r="BA43" s="40"/>
      <c r="BB43" s="41"/>
      <c r="BC43" s="42"/>
      <c r="BD43" s="42"/>
      <c r="BE43" s="42"/>
      <c r="BF43" s="42"/>
      <c r="BG43" s="42"/>
      <c r="BI43" s="38"/>
      <c r="BJ43" s="39"/>
      <c r="BK43" s="38"/>
      <c r="BL43" s="38"/>
      <c r="BM43" s="38"/>
    </row>
    <row r="44" spans="1:65" x14ac:dyDescent="0.25">
      <c r="A44" s="13">
        <v>5473</v>
      </c>
      <c r="B44" s="14" t="s">
        <v>247</v>
      </c>
      <c r="C44" s="16">
        <v>1925371.41</v>
      </c>
      <c r="D44" s="15">
        <v>177989.19</v>
      </c>
      <c r="E44" s="16">
        <v>0</v>
      </c>
      <c r="F44" s="15">
        <v>0</v>
      </c>
      <c r="G44" s="16">
        <v>6714.25</v>
      </c>
      <c r="H44" s="15">
        <v>182.2</v>
      </c>
      <c r="I44" s="16">
        <v>0</v>
      </c>
      <c r="J44" s="15">
        <v>10594.16</v>
      </c>
      <c r="K44" s="17">
        <v>1046.5</v>
      </c>
      <c r="L44" s="16">
        <v>165263.20000000001</v>
      </c>
      <c r="M44" s="3">
        <f t="shared" si="0"/>
        <v>2287160.9100000006</v>
      </c>
      <c r="N44" s="15" t="s">
        <v>512</v>
      </c>
      <c r="O44" s="16" t="s">
        <v>512</v>
      </c>
      <c r="P44" s="15">
        <v>66131.75</v>
      </c>
      <c r="Q44" s="16">
        <v>0</v>
      </c>
      <c r="R44" s="15">
        <v>57307.85</v>
      </c>
      <c r="S44" s="16">
        <v>0</v>
      </c>
      <c r="T44" s="15">
        <v>0</v>
      </c>
      <c r="U44" s="16">
        <v>5640</v>
      </c>
      <c r="V44" s="15">
        <v>0</v>
      </c>
      <c r="W44" s="16">
        <v>0</v>
      </c>
      <c r="X44" s="2">
        <f t="shared" si="2"/>
        <v>2416240.5100000007</v>
      </c>
      <c r="Y44" s="18">
        <v>55671</v>
      </c>
      <c r="Z44" s="25"/>
      <c r="AA44" s="18">
        <v>160644</v>
      </c>
      <c r="AB44" s="25"/>
      <c r="AC44" s="18">
        <v>60851</v>
      </c>
      <c r="AD44" s="25"/>
      <c r="AE44" s="18"/>
      <c r="AF44" s="25"/>
      <c r="AG44" s="18"/>
      <c r="AH44" s="25"/>
      <c r="AI44" s="18"/>
      <c r="AJ44" s="25"/>
      <c r="AK44" s="18"/>
      <c r="AL44" s="68">
        <f t="shared" si="1"/>
        <v>277166</v>
      </c>
      <c r="AM44" s="33">
        <v>69</v>
      </c>
      <c r="AN44" s="34">
        <v>944</v>
      </c>
      <c r="AO44" s="18">
        <v>-16733</v>
      </c>
      <c r="AP44" s="25"/>
      <c r="AQ44" s="18">
        <v>-16.88</v>
      </c>
      <c r="AR44" s="64">
        <v>1</v>
      </c>
      <c r="AS44" s="32"/>
      <c r="AT44" s="32"/>
      <c r="AU44" s="40"/>
      <c r="AV44" s="40"/>
      <c r="AW44" s="41"/>
      <c r="AX44" s="23"/>
      <c r="AZ44" s="40"/>
      <c r="BA44" s="40"/>
      <c r="BB44" s="41"/>
      <c r="BC44" s="42"/>
      <c r="BD44" s="42"/>
      <c r="BE44" s="42"/>
      <c r="BF44" s="42"/>
      <c r="BG44" s="42"/>
      <c r="BI44" s="38"/>
      <c r="BJ44" s="39"/>
      <c r="BK44" s="38"/>
      <c r="BL44" s="38"/>
      <c r="BM44" s="38"/>
    </row>
    <row r="45" spans="1:65" x14ac:dyDescent="0.25">
      <c r="A45" s="13">
        <v>5474</v>
      </c>
      <c r="B45" s="14" t="s">
        <v>248</v>
      </c>
      <c r="C45" s="16">
        <v>827289.32</v>
      </c>
      <c r="D45" s="15">
        <v>78718.98</v>
      </c>
      <c r="E45" s="16">
        <v>0</v>
      </c>
      <c r="F45" s="15">
        <v>0</v>
      </c>
      <c r="G45" s="16">
        <v>2926.8</v>
      </c>
      <c r="H45" s="15">
        <v>62.35</v>
      </c>
      <c r="I45" s="16">
        <v>34126.800000000003</v>
      </c>
      <c r="J45" s="15">
        <v>-700.28</v>
      </c>
      <c r="K45" s="17">
        <v>-2454.5</v>
      </c>
      <c r="L45" s="16">
        <v>74722.3</v>
      </c>
      <c r="M45" s="3">
        <f t="shared" si="0"/>
        <v>1014691.77</v>
      </c>
      <c r="N45" s="15" t="s">
        <v>512</v>
      </c>
      <c r="O45" s="16" t="s">
        <v>512</v>
      </c>
      <c r="P45" s="15">
        <v>38545.599999999999</v>
      </c>
      <c r="Q45" s="16">
        <v>0</v>
      </c>
      <c r="R45" s="15">
        <v>24948.7</v>
      </c>
      <c r="S45" s="16">
        <v>56.25</v>
      </c>
      <c r="T45" s="15">
        <v>0</v>
      </c>
      <c r="U45" s="16">
        <v>1025</v>
      </c>
      <c r="V45" s="15">
        <v>0</v>
      </c>
      <c r="W45" s="16">
        <v>0</v>
      </c>
      <c r="X45" s="2">
        <f t="shared" si="2"/>
        <v>1079267.32</v>
      </c>
      <c r="Y45" s="18">
        <v>32443</v>
      </c>
      <c r="Z45" s="25"/>
      <c r="AA45" s="18">
        <v>59100.9</v>
      </c>
      <c r="AB45" s="25"/>
      <c r="AC45" s="18"/>
      <c r="AD45" s="25"/>
      <c r="AE45" s="18"/>
      <c r="AF45" s="25"/>
      <c r="AG45" s="18"/>
      <c r="AH45" s="25"/>
      <c r="AI45" s="18"/>
      <c r="AJ45" s="25"/>
      <c r="AK45" s="18"/>
      <c r="AL45" s="68">
        <f t="shared" si="1"/>
        <v>91543.9</v>
      </c>
      <c r="AM45" s="33">
        <v>77</v>
      </c>
      <c r="AN45" s="34">
        <v>422</v>
      </c>
      <c r="AO45" s="18">
        <v>-5675.4</v>
      </c>
      <c r="AP45" s="25"/>
      <c r="AQ45" s="18">
        <v>-0.09</v>
      </c>
      <c r="AR45" s="64">
        <v>1.2</v>
      </c>
      <c r="AS45" s="32"/>
      <c r="AT45" s="32"/>
      <c r="AU45" s="40"/>
      <c r="AV45" s="40"/>
      <c r="AW45" s="41"/>
      <c r="AX45" s="23"/>
      <c r="AZ45" s="40"/>
      <c r="BA45" s="40"/>
      <c r="BB45" s="41"/>
      <c r="BC45" s="42"/>
      <c r="BD45" s="42"/>
      <c r="BE45" s="42"/>
      <c r="BF45" s="42"/>
      <c r="BG45" s="42"/>
      <c r="BI45" s="38"/>
      <c r="BJ45" s="39"/>
      <c r="BK45" s="38"/>
      <c r="BL45" s="38"/>
      <c r="BM45" s="38"/>
    </row>
    <row r="46" spans="1:65" x14ac:dyDescent="0.25">
      <c r="A46" s="13">
        <v>5475</v>
      </c>
      <c r="B46" s="14" t="s">
        <v>421</v>
      </c>
      <c r="C46" s="16">
        <v>200856.55</v>
      </c>
      <c r="D46" s="15">
        <v>12947.67</v>
      </c>
      <c r="E46" s="16">
        <v>0</v>
      </c>
      <c r="F46" s="15">
        <v>0</v>
      </c>
      <c r="G46" s="16">
        <v>352.1</v>
      </c>
      <c r="H46" s="15">
        <v>2455.4</v>
      </c>
      <c r="I46" s="16">
        <v>0</v>
      </c>
      <c r="J46" s="15">
        <v>6972.24</v>
      </c>
      <c r="K46" s="17">
        <v>0</v>
      </c>
      <c r="L46" s="16">
        <v>19777.599999999999</v>
      </c>
      <c r="M46" s="3">
        <f t="shared" si="0"/>
        <v>243361.56</v>
      </c>
      <c r="N46" s="15" t="s">
        <v>512</v>
      </c>
      <c r="O46" s="16">
        <v>26853.3</v>
      </c>
      <c r="P46" s="15">
        <v>6124.8</v>
      </c>
      <c r="Q46" s="16">
        <v>0</v>
      </c>
      <c r="R46" s="15" t="s">
        <v>512</v>
      </c>
      <c r="S46" s="16">
        <v>0</v>
      </c>
      <c r="T46" s="15">
        <v>0</v>
      </c>
      <c r="U46" s="16">
        <v>540</v>
      </c>
      <c r="V46" s="15">
        <v>0</v>
      </c>
      <c r="W46" s="16">
        <v>0</v>
      </c>
      <c r="X46" s="2">
        <f t="shared" si="2"/>
        <v>276879.65999999997</v>
      </c>
      <c r="Y46" s="18"/>
      <c r="Z46" s="25"/>
      <c r="AA46" s="18">
        <v>22271.95</v>
      </c>
      <c r="AB46" s="25"/>
      <c r="AC46" s="18">
        <v>17183.150000000001</v>
      </c>
      <c r="AD46" s="25"/>
      <c r="AE46" s="18"/>
      <c r="AF46" s="25"/>
      <c r="AG46" s="18"/>
      <c r="AH46" s="25"/>
      <c r="AI46" s="18"/>
      <c r="AJ46" s="25"/>
      <c r="AK46" s="18"/>
      <c r="AL46" s="68">
        <f t="shared" si="1"/>
        <v>39455.100000000006</v>
      </c>
      <c r="AM46" s="33">
        <v>77</v>
      </c>
      <c r="AN46" s="34">
        <v>127</v>
      </c>
      <c r="AO46" s="18">
        <v>-21836.33</v>
      </c>
      <c r="AP46" s="25"/>
      <c r="AQ46" s="18">
        <v>0</v>
      </c>
      <c r="AR46" s="64">
        <v>1</v>
      </c>
      <c r="AS46" s="32"/>
      <c r="AT46" s="32"/>
      <c r="AU46" s="40"/>
      <c r="AV46" s="40"/>
      <c r="AW46" s="41"/>
      <c r="AX46" s="23"/>
      <c r="AZ46" s="40"/>
      <c r="BA46" s="40"/>
      <c r="BB46" s="41"/>
      <c r="BC46" s="42"/>
      <c r="BD46" s="42"/>
      <c r="BE46" s="42"/>
      <c r="BF46" s="42"/>
      <c r="BG46" s="42"/>
      <c r="BI46" s="38"/>
      <c r="BJ46" s="39"/>
      <c r="BK46" s="38"/>
      <c r="BL46" s="38"/>
      <c r="BM46" s="38"/>
    </row>
    <row r="47" spans="1:65" x14ac:dyDescent="0.25">
      <c r="A47" s="13">
        <v>5476</v>
      </c>
      <c r="B47" s="14" t="s">
        <v>422</v>
      </c>
      <c r="C47" s="16">
        <v>470727.91</v>
      </c>
      <c r="D47" s="15">
        <v>55223.87</v>
      </c>
      <c r="E47" s="16">
        <v>0</v>
      </c>
      <c r="F47" s="15">
        <v>0</v>
      </c>
      <c r="G47" s="16">
        <v>1535</v>
      </c>
      <c r="H47" s="15">
        <v>2088.65</v>
      </c>
      <c r="I47" s="16">
        <v>0</v>
      </c>
      <c r="J47" s="15">
        <v>-1619.6</v>
      </c>
      <c r="K47" s="17">
        <v>0</v>
      </c>
      <c r="L47" s="16">
        <v>69509.55</v>
      </c>
      <c r="M47" s="3">
        <f t="shared" si="0"/>
        <v>597465.38000000012</v>
      </c>
      <c r="N47" s="15" t="s">
        <v>512</v>
      </c>
      <c r="O47" s="16">
        <v>2448.5</v>
      </c>
      <c r="P47" s="15">
        <v>47825.85</v>
      </c>
      <c r="Q47" s="16">
        <v>96</v>
      </c>
      <c r="R47" s="15">
        <v>35610.5</v>
      </c>
      <c r="S47" s="16">
        <v>0</v>
      </c>
      <c r="T47" s="15">
        <v>0</v>
      </c>
      <c r="U47" s="16">
        <v>2800</v>
      </c>
      <c r="V47" s="15">
        <v>0</v>
      </c>
      <c r="W47" s="16">
        <v>0</v>
      </c>
      <c r="X47" s="2">
        <f t="shared" si="2"/>
        <v>686246.2300000001</v>
      </c>
      <c r="Y47" s="18">
        <v>2114.5500000000002</v>
      </c>
      <c r="Z47" s="25"/>
      <c r="AA47" s="18">
        <v>12820</v>
      </c>
      <c r="AB47" s="25"/>
      <c r="AC47" s="18">
        <v>12691.65</v>
      </c>
      <c r="AD47" s="25">
        <v>3524.25</v>
      </c>
      <c r="AE47" s="18"/>
      <c r="AF47" s="25"/>
      <c r="AG47" s="18"/>
      <c r="AH47" s="25"/>
      <c r="AI47" s="18"/>
      <c r="AJ47" s="25"/>
      <c r="AK47" s="18"/>
      <c r="AL47" s="68">
        <f t="shared" si="1"/>
        <v>31150.449999999997</v>
      </c>
      <c r="AM47" s="33">
        <v>74</v>
      </c>
      <c r="AN47" s="34">
        <v>249</v>
      </c>
      <c r="AO47" s="18">
        <v>-35178.11</v>
      </c>
      <c r="AP47" s="25"/>
      <c r="AQ47" s="18">
        <v>-0.21</v>
      </c>
      <c r="AR47" s="64">
        <v>1.5</v>
      </c>
      <c r="AS47" s="32"/>
      <c r="AT47" s="32"/>
      <c r="AU47" s="40"/>
      <c r="AV47" s="40"/>
      <c r="AW47" s="41"/>
      <c r="AX47" s="23"/>
      <c r="AZ47" s="40"/>
      <c r="BA47" s="40"/>
      <c r="BB47" s="41"/>
      <c r="BC47" s="42"/>
      <c r="BD47" s="42"/>
      <c r="BE47" s="42"/>
      <c r="BF47" s="42"/>
      <c r="BG47" s="42"/>
      <c r="BI47" s="38"/>
      <c r="BJ47" s="39"/>
      <c r="BK47" s="38"/>
      <c r="BL47" s="38"/>
      <c r="BM47" s="38"/>
    </row>
    <row r="48" spans="1:65" x14ac:dyDescent="0.25">
      <c r="A48" s="13">
        <v>5477</v>
      </c>
      <c r="B48" s="14" t="s">
        <v>423</v>
      </c>
      <c r="C48" s="16">
        <v>6380112.7599999998</v>
      </c>
      <c r="D48" s="15">
        <v>1011785.67</v>
      </c>
      <c r="E48" s="16">
        <v>0</v>
      </c>
      <c r="F48" s="15">
        <v>0</v>
      </c>
      <c r="G48" s="16">
        <v>426927.95</v>
      </c>
      <c r="H48" s="15">
        <v>32182.15</v>
      </c>
      <c r="I48" s="16">
        <v>0</v>
      </c>
      <c r="J48" s="15">
        <v>213457.43</v>
      </c>
      <c r="K48" s="17">
        <v>22989.5</v>
      </c>
      <c r="L48" s="16">
        <v>502242.6</v>
      </c>
      <c r="M48" s="3">
        <f t="shared" si="0"/>
        <v>8589698.0600000005</v>
      </c>
      <c r="N48" s="15">
        <v>54004.25</v>
      </c>
      <c r="O48" s="16">
        <v>245168.8</v>
      </c>
      <c r="P48" s="15">
        <v>210775.6</v>
      </c>
      <c r="Q48" s="16">
        <v>20432.79</v>
      </c>
      <c r="R48" s="15">
        <v>167545.35</v>
      </c>
      <c r="S48" s="16">
        <v>3575</v>
      </c>
      <c r="T48" s="15">
        <v>0</v>
      </c>
      <c r="U48" s="16">
        <v>15100</v>
      </c>
      <c r="V48" s="15">
        <v>0</v>
      </c>
      <c r="W48" s="16">
        <v>0</v>
      </c>
      <c r="X48" s="2">
        <f t="shared" si="2"/>
        <v>9306299.8499999996</v>
      </c>
      <c r="Y48" s="18">
        <v>274395</v>
      </c>
      <c r="Z48" s="25"/>
      <c r="AA48" s="18">
        <v>116476.5</v>
      </c>
      <c r="AB48" s="25">
        <v>313949.05</v>
      </c>
      <c r="AC48" s="18">
        <v>330142.7</v>
      </c>
      <c r="AD48" s="25">
        <v>277250.2</v>
      </c>
      <c r="AE48" s="18"/>
      <c r="AF48" s="25"/>
      <c r="AG48" s="18">
        <v>1456.5</v>
      </c>
      <c r="AH48" s="25">
        <v>81082.600000000006</v>
      </c>
      <c r="AI48" s="18"/>
      <c r="AJ48" s="25"/>
      <c r="AK48" s="18"/>
      <c r="AL48" s="68">
        <f t="shared" si="1"/>
        <v>1394752.55</v>
      </c>
      <c r="AM48" s="33">
        <v>67.3</v>
      </c>
      <c r="AN48" s="34">
        <v>3608</v>
      </c>
      <c r="AO48" s="18">
        <v>-147455.96</v>
      </c>
      <c r="AP48" s="25"/>
      <c r="AQ48" s="18">
        <v>-508.88</v>
      </c>
      <c r="AR48" s="64">
        <v>1</v>
      </c>
      <c r="AS48" s="32"/>
      <c r="AT48" s="32"/>
      <c r="AU48" s="40"/>
      <c r="AV48" s="40"/>
      <c r="AW48" s="41"/>
      <c r="AX48" s="23"/>
      <c r="AZ48" s="40"/>
      <c r="BA48" s="40"/>
      <c r="BB48" s="41"/>
      <c r="BC48" s="42"/>
      <c r="BD48" s="42"/>
      <c r="BE48" s="42"/>
      <c r="BF48" s="42"/>
      <c r="BG48" s="42"/>
      <c r="BI48" s="38"/>
      <c r="BJ48" s="39"/>
      <c r="BK48" s="38"/>
      <c r="BL48" s="38"/>
      <c r="BM48" s="38"/>
    </row>
    <row r="49" spans="1:65" x14ac:dyDescent="0.25">
      <c r="A49" s="13">
        <v>5478</v>
      </c>
      <c r="B49" s="14" t="s">
        <v>279</v>
      </c>
      <c r="C49" s="16">
        <v>871891.4</v>
      </c>
      <c r="D49" s="15">
        <v>123121.36</v>
      </c>
      <c r="E49" s="16">
        <v>0</v>
      </c>
      <c r="F49" s="15">
        <v>0</v>
      </c>
      <c r="G49" s="16">
        <v>50735.85</v>
      </c>
      <c r="H49" s="15">
        <v>32.1</v>
      </c>
      <c r="I49" s="16">
        <v>0</v>
      </c>
      <c r="J49" s="15">
        <v>9501.89</v>
      </c>
      <c r="K49" s="17">
        <v>250</v>
      </c>
      <c r="L49" s="16">
        <v>71620.3</v>
      </c>
      <c r="M49" s="3">
        <f t="shared" si="0"/>
        <v>1127152.8999999999</v>
      </c>
      <c r="N49" s="15" t="s">
        <v>512</v>
      </c>
      <c r="O49" s="16" t="s">
        <v>512</v>
      </c>
      <c r="P49" s="15">
        <v>42955.05</v>
      </c>
      <c r="Q49" s="16">
        <v>0</v>
      </c>
      <c r="R49" s="15">
        <v>3333.3</v>
      </c>
      <c r="S49" s="16">
        <v>62.5</v>
      </c>
      <c r="T49" s="15">
        <v>250</v>
      </c>
      <c r="U49" s="16">
        <v>1750</v>
      </c>
      <c r="V49" s="15">
        <v>0</v>
      </c>
      <c r="W49" s="16">
        <v>0</v>
      </c>
      <c r="X49" s="2">
        <f t="shared" si="2"/>
        <v>1175503.75</v>
      </c>
      <c r="Y49" s="18">
        <v>6600</v>
      </c>
      <c r="Z49" s="25"/>
      <c r="AA49" s="18">
        <v>26926</v>
      </c>
      <c r="AB49" s="25"/>
      <c r="AC49" s="18">
        <v>43128.85</v>
      </c>
      <c r="AD49" s="25">
        <v>6600</v>
      </c>
      <c r="AE49" s="18"/>
      <c r="AF49" s="25"/>
      <c r="AG49" s="18"/>
      <c r="AH49" s="25"/>
      <c r="AI49" s="18"/>
      <c r="AJ49" s="25"/>
      <c r="AK49" s="18"/>
      <c r="AL49" s="68">
        <f t="shared" si="1"/>
        <v>83254.850000000006</v>
      </c>
      <c r="AM49" s="33">
        <v>72</v>
      </c>
      <c r="AN49" s="34">
        <v>472</v>
      </c>
      <c r="AO49" s="18">
        <v>-2947.62</v>
      </c>
      <c r="AP49" s="25"/>
      <c r="AQ49" s="18">
        <v>-40.51</v>
      </c>
      <c r="AR49" s="64">
        <v>1</v>
      </c>
      <c r="AS49" s="32"/>
      <c r="AT49" s="32"/>
      <c r="AU49" s="40"/>
      <c r="AV49" s="40"/>
      <c r="AW49" s="41"/>
      <c r="AX49" s="23"/>
      <c r="AZ49" s="40"/>
      <c r="BA49" s="40"/>
      <c r="BB49" s="41"/>
      <c r="BC49" s="42"/>
      <c r="BD49" s="42"/>
      <c r="BE49" s="42"/>
      <c r="BF49" s="42"/>
      <c r="BG49" s="42"/>
      <c r="BI49" s="38"/>
      <c r="BJ49" s="39"/>
      <c r="BK49" s="38"/>
      <c r="BL49" s="38"/>
      <c r="BM49" s="38"/>
    </row>
    <row r="50" spans="1:65" x14ac:dyDescent="0.25">
      <c r="A50" s="13">
        <v>5479</v>
      </c>
      <c r="B50" s="14" t="s">
        <v>280</v>
      </c>
      <c r="C50" s="16">
        <v>736227.36</v>
      </c>
      <c r="D50" s="15">
        <v>74508.14</v>
      </c>
      <c r="E50" s="16">
        <v>0</v>
      </c>
      <c r="F50" s="15">
        <v>0</v>
      </c>
      <c r="G50" s="16">
        <v>40879.800000000003</v>
      </c>
      <c r="H50" s="15">
        <v>481.6</v>
      </c>
      <c r="I50" s="16">
        <v>59292.87</v>
      </c>
      <c r="J50" s="15">
        <v>13153.3</v>
      </c>
      <c r="K50" s="17">
        <v>1668</v>
      </c>
      <c r="L50" s="16">
        <v>63394.8</v>
      </c>
      <c r="M50" s="3">
        <f t="shared" si="0"/>
        <v>989605.87000000011</v>
      </c>
      <c r="N50" s="15" t="s">
        <v>512</v>
      </c>
      <c r="O50" s="16">
        <v>51512.5</v>
      </c>
      <c r="P50" s="15">
        <v>40935.9</v>
      </c>
      <c r="Q50" s="16">
        <v>5848.21</v>
      </c>
      <c r="R50" s="15">
        <v>59479.1</v>
      </c>
      <c r="S50" s="16">
        <v>0</v>
      </c>
      <c r="T50" s="15">
        <v>0</v>
      </c>
      <c r="U50" s="16">
        <v>1440</v>
      </c>
      <c r="V50" s="15">
        <v>0</v>
      </c>
      <c r="W50" s="16">
        <v>0</v>
      </c>
      <c r="X50" s="2">
        <f t="shared" si="2"/>
        <v>1148821.58</v>
      </c>
      <c r="Y50" s="18">
        <v>30410</v>
      </c>
      <c r="Z50" s="25"/>
      <c r="AA50" s="18">
        <v>48362.5</v>
      </c>
      <c r="AB50" s="25"/>
      <c r="AC50" s="18">
        <v>67595.899999999994</v>
      </c>
      <c r="AD50" s="25">
        <v>13770.15</v>
      </c>
      <c r="AE50" s="18">
        <v>10472.9</v>
      </c>
      <c r="AF50" s="25"/>
      <c r="AG50" s="18"/>
      <c r="AH50" s="25">
        <v>13822.4</v>
      </c>
      <c r="AI50" s="18"/>
      <c r="AJ50" s="25"/>
      <c r="AK50" s="18"/>
      <c r="AL50" s="68">
        <f t="shared" si="1"/>
        <v>184433.84999999998</v>
      </c>
      <c r="AM50" s="33">
        <v>77</v>
      </c>
      <c r="AN50" s="34">
        <v>435</v>
      </c>
      <c r="AO50" s="18">
        <v>-34533.050000000003</v>
      </c>
      <c r="AP50" s="25"/>
      <c r="AQ50" s="18">
        <v>-0.05</v>
      </c>
      <c r="AR50" s="64">
        <v>1</v>
      </c>
      <c r="AS50" s="32"/>
      <c r="AT50" s="32"/>
      <c r="AU50" s="40"/>
      <c r="AV50" s="40"/>
      <c r="AW50" s="41"/>
      <c r="AX50" s="23"/>
      <c r="AZ50" s="40"/>
      <c r="BA50" s="40"/>
      <c r="BB50" s="41"/>
      <c r="BC50" s="42"/>
      <c r="BD50" s="42"/>
      <c r="BE50" s="42"/>
      <c r="BF50" s="42"/>
      <c r="BG50" s="42"/>
      <c r="BI50" s="38"/>
      <c r="BJ50" s="39"/>
      <c r="BK50" s="38"/>
      <c r="BL50" s="38"/>
      <c r="BM50" s="38"/>
    </row>
    <row r="51" spans="1:65" x14ac:dyDescent="0.25">
      <c r="A51" s="13">
        <v>5480</v>
      </c>
      <c r="B51" s="14" t="s">
        <v>281</v>
      </c>
      <c r="C51" s="16">
        <v>2047994.04</v>
      </c>
      <c r="D51" s="15">
        <v>224689.72</v>
      </c>
      <c r="E51" s="16">
        <v>0</v>
      </c>
      <c r="F51" s="15">
        <v>0</v>
      </c>
      <c r="G51" s="16">
        <v>79082.95</v>
      </c>
      <c r="H51" s="15">
        <v>16094.05</v>
      </c>
      <c r="I51" s="16">
        <v>0</v>
      </c>
      <c r="J51" s="15">
        <v>61147.03</v>
      </c>
      <c r="K51" s="17">
        <v>47244</v>
      </c>
      <c r="L51" s="16">
        <v>271491.09999999998</v>
      </c>
      <c r="M51" s="3">
        <f t="shared" si="0"/>
        <v>2747742.89</v>
      </c>
      <c r="N51" s="15">
        <v>116134.7</v>
      </c>
      <c r="O51" s="16">
        <v>72122.100000000006</v>
      </c>
      <c r="P51" s="15">
        <v>68475.899999999994</v>
      </c>
      <c r="Q51" s="16">
        <v>18411.73</v>
      </c>
      <c r="R51" s="15">
        <v>56418.05</v>
      </c>
      <c r="S51" s="16">
        <v>931.25</v>
      </c>
      <c r="T51" s="15">
        <v>0</v>
      </c>
      <c r="U51" s="16">
        <v>9150</v>
      </c>
      <c r="V51" s="15">
        <v>0</v>
      </c>
      <c r="W51" s="16">
        <v>0</v>
      </c>
      <c r="X51" s="2">
        <f t="shared" si="2"/>
        <v>3089386.62</v>
      </c>
      <c r="Y51" s="18">
        <v>73096.100000000006</v>
      </c>
      <c r="Z51" s="25"/>
      <c r="AA51" s="18">
        <v>128947.5</v>
      </c>
      <c r="AB51" s="25">
        <v>86503</v>
      </c>
      <c r="AC51" s="18">
        <v>56971.7</v>
      </c>
      <c r="AD51" s="25">
        <v>33295.65</v>
      </c>
      <c r="AE51" s="18"/>
      <c r="AF51" s="25"/>
      <c r="AG51" s="18">
        <v>6977.8</v>
      </c>
      <c r="AH51" s="25">
        <v>62298.3</v>
      </c>
      <c r="AI51" s="18"/>
      <c r="AJ51" s="25"/>
      <c r="AK51" s="18"/>
      <c r="AL51" s="68">
        <f t="shared" si="1"/>
        <v>448090.05</v>
      </c>
      <c r="AM51" s="33">
        <v>71</v>
      </c>
      <c r="AN51" s="34">
        <v>940</v>
      </c>
      <c r="AO51" s="18">
        <v>-34329.15</v>
      </c>
      <c r="AP51" s="25"/>
      <c r="AQ51" s="18">
        <v>-71.010000000000005</v>
      </c>
      <c r="AR51" s="64">
        <v>1</v>
      </c>
      <c r="AS51" s="32"/>
      <c r="AT51" s="32"/>
      <c r="AU51" s="40"/>
      <c r="AV51" s="40"/>
      <c r="AW51" s="41"/>
      <c r="AX51" s="23"/>
      <c r="AZ51" s="40"/>
      <c r="BA51" s="40"/>
      <c r="BB51" s="41"/>
      <c r="BC51" s="42"/>
      <c r="BD51" s="42"/>
      <c r="BE51" s="42"/>
      <c r="BF51" s="42"/>
      <c r="BG51" s="42"/>
      <c r="BI51" s="38"/>
      <c r="BJ51" s="39"/>
      <c r="BK51" s="38"/>
      <c r="BL51" s="38"/>
      <c r="BM51" s="38"/>
    </row>
    <row r="52" spans="1:65" x14ac:dyDescent="0.25">
      <c r="A52" s="13">
        <v>5481</v>
      </c>
      <c r="B52" s="14" t="s">
        <v>282</v>
      </c>
      <c r="C52" s="16">
        <v>455433.22</v>
      </c>
      <c r="D52" s="15">
        <v>90660.41</v>
      </c>
      <c r="E52" s="16">
        <v>0</v>
      </c>
      <c r="F52" s="15">
        <v>0</v>
      </c>
      <c r="G52" s="16">
        <v>16327.05</v>
      </c>
      <c r="H52" s="15">
        <v>614.29999999999995</v>
      </c>
      <c r="I52" s="16">
        <v>0</v>
      </c>
      <c r="J52" s="15">
        <v>930.81</v>
      </c>
      <c r="K52" s="17">
        <v>0</v>
      </c>
      <c r="L52" s="16">
        <v>33341.35</v>
      </c>
      <c r="M52" s="3">
        <f t="shared" si="0"/>
        <v>597307.14000000013</v>
      </c>
      <c r="N52" s="15" t="s">
        <v>512</v>
      </c>
      <c r="O52" s="16" t="s">
        <v>512</v>
      </c>
      <c r="P52" s="15">
        <v>22893.200000000001</v>
      </c>
      <c r="Q52" s="16">
        <v>0</v>
      </c>
      <c r="R52" s="15">
        <v>27126.1</v>
      </c>
      <c r="S52" s="16">
        <v>0</v>
      </c>
      <c r="T52" s="15">
        <v>0</v>
      </c>
      <c r="U52" s="16">
        <v>650</v>
      </c>
      <c r="V52" s="15">
        <v>0</v>
      </c>
      <c r="W52" s="16">
        <v>0</v>
      </c>
      <c r="X52" s="2">
        <f t="shared" si="2"/>
        <v>647976.44000000006</v>
      </c>
      <c r="Y52" s="18"/>
      <c r="Z52" s="25"/>
      <c r="AA52" s="18">
        <v>36236</v>
      </c>
      <c r="AB52" s="25"/>
      <c r="AC52" s="18">
        <v>15532</v>
      </c>
      <c r="AD52" s="25"/>
      <c r="AE52" s="18"/>
      <c r="AF52" s="25"/>
      <c r="AG52" s="18"/>
      <c r="AH52" s="25"/>
      <c r="AI52" s="18"/>
      <c r="AJ52" s="25"/>
      <c r="AK52" s="18"/>
      <c r="AL52" s="68">
        <f t="shared" si="1"/>
        <v>51768</v>
      </c>
      <c r="AM52" s="33">
        <v>74</v>
      </c>
      <c r="AN52" s="34">
        <v>224</v>
      </c>
      <c r="AO52" s="18">
        <v>-72.44</v>
      </c>
      <c r="AP52" s="25"/>
      <c r="AQ52" s="18">
        <v>-39.82</v>
      </c>
      <c r="AR52" s="64">
        <v>1</v>
      </c>
      <c r="AS52" s="32"/>
      <c r="AT52" s="32"/>
      <c r="AU52" s="40"/>
      <c r="AV52" s="40"/>
      <c r="AW52" s="41"/>
      <c r="AX52" s="23"/>
      <c r="AZ52" s="40"/>
      <c r="BA52" s="40"/>
      <c r="BB52" s="41"/>
      <c r="BC52" s="42"/>
      <c r="BD52" s="42"/>
      <c r="BE52" s="42"/>
      <c r="BF52" s="42"/>
      <c r="BG52" s="42"/>
      <c r="BI52" s="38"/>
      <c r="BJ52" s="39"/>
      <c r="BK52" s="38"/>
      <c r="BL52" s="38"/>
      <c r="BM52" s="38"/>
    </row>
    <row r="53" spans="1:65" x14ac:dyDescent="0.25">
      <c r="A53" s="13">
        <v>5482</v>
      </c>
      <c r="B53" s="14" t="s">
        <v>283</v>
      </c>
      <c r="C53" s="16">
        <v>1150188.98</v>
      </c>
      <c r="D53" s="15">
        <v>142607.51</v>
      </c>
      <c r="E53" s="16">
        <v>0</v>
      </c>
      <c r="F53" s="15">
        <v>0</v>
      </c>
      <c r="G53" s="16">
        <v>1424185.7</v>
      </c>
      <c r="H53" s="15">
        <v>30344.05</v>
      </c>
      <c r="I53" s="16">
        <v>0</v>
      </c>
      <c r="J53" s="15">
        <v>64514.07</v>
      </c>
      <c r="K53" s="17">
        <v>38321.5</v>
      </c>
      <c r="L53" s="16">
        <v>358364.1</v>
      </c>
      <c r="M53" s="3">
        <f t="shared" si="0"/>
        <v>3208525.9099999997</v>
      </c>
      <c r="N53" s="15">
        <v>155130.6</v>
      </c>
      <c r="O53" s="16">
        <v>106050.9</v>
      </c>
      <c r="P53" s="15">
        <v>36857.199999999997</v>
      </c>
      <c r="Q53" s="16">
        <v>7186.85</v>
      </c>
      <c r="R53" s="15">
        <v>83057.600000000006</v>
      </c>
      <c r="S53" s="16">
        <v>112.5</v>
      </c>
      <c r="T53" s="15">
        <v>0</v>
      </c>
      <c r="U53" s="16">
        <v>7575</v>
      </c>
      <c r="V53" s="15">
        <v>0</v>
      </c>
      <c r="W53" s="16">
        <v>0</v>
      </c>
      <c r="X53" s="2">
        <f t="shared" si="2"/>
        <v>3604496.56</v>
      </c>
      <c r="Y53" s="18"/>
      <c r="Z53" s="25"/>
      <c r="AA53" s="18">
        <v>151723.15</v>
      </c>
      <c r="AB53" s="25"/>
      <c r="AC53" s="18">
        <v>107596.91</v>
      </c>
      <c r="AD53" s="25"/>
      <c r="AE53" s="18"/>
      <c r="AF53" s="25"/>
      <c r="AG53" s="18"/>
      <c r="AH53" s="25">
        <v>710000</v>
      </c>
      <c r="AI53" s="18"/>
      <c r="AJ53" s="25"/>
      <c r="AK53" s="18"/>
      <c r="AL53" s="68">
        <f t="shared" si="1"/>
        <v>969320.06</v>
      </c>
      <c r="AM53" s="33">
        <v>46</v>
      </c>
      <c r="AN53" s="34">
        <v>1010</v>
      </c>
      <c r="AO53" s="18">
        <v>-58033.67</v>
      </c>
      <c r="AP53" s="25"/>
      <c r="AQ53" s="18">
        <v>-6715.81</v>
      </c>
      <c r="AR53" s="64">
        <v>1</v>
      </c>
      <c r="AS53" s="32"/>
      <c r="AT53" s="32"/>
      <c r="AU53" s="40"/>
      <c r="AV53" s="40"/>
      <c r="AW53" s="41"/>
      <c r="AX53" s="23"/>
      <c r="AZ53" s="40"/>
      <c r="BA53" s="40"/>
      <c r="BB53" s="41"/>
      <c r="BC53" s="42"/>
      <c r="BD53" s="42"/>
      <c r="BE53" s="42"/>
      <c r="BF53" s="42"/>
      <c r="BG53" s="42"/>
      <c r="BI53" s="38"/>
      <c r="BJ53" s="39"/>
      <c r="BK53" s="38"/>
      <c r="BL53" s="38"/>
      <c r="BM53" s="38"/>
    </row>
    <row r="54" spans="1:65" x14ac:dyDescent="0.25">
      <c r="A54" s="13">
        <v>5483</v>
      </c>
      <c r="B54" s="14" t="s">
        <v>176</v>
      </c>
      <c r="C54" s="16">
        <v>633072.6</v>
      </c>
      <c r="D54" s="15">
        <v>60158.6</v>
      </c>
      <c r="E54" s="16">
        <v>0</v>
      </c>
      <c r="F54" s="15">
        <v>0</v>
      </c>
      <c r="G54" s="16">
        <v>22673.8</v>
      </c>
      <c r="H54" s="15">
        <v>1667.05</v>
      </c>
      <c r="I54" s="16">
        <v>0</v>
      </c>
      <c r="J54" s="15">
        <v>-1001.79</v>
      </c>
      <c r="K54" s="17">
        <v>175.5</v>
      </c>
      <c r="L54" s="16">
        <v>47514.5</v>
      </c>
      <c r="M54" s="3">
        <f t="shared" si="0"/>
        <v>764260.26</v>
      </c>
      <c r="N54" s="15">
        <v>3461.5</v>
      </c>
      <c r="O54" s="16" t="s">
        <v>512</v>
      </c>
      <c r="P54" s="15">
        <v>10615</v>
      </c>
      <c r="Q54" s="16">
        <v>0</v>
      </c>
      <c r="R54" s="15">
        <v>2958.2</v>
      </c>
      <c r="S54" s="16">
        <v>31.25</v>
      </c>
      <c r="T54" s="15">
        <v>0</v>
      </c>
      <c r="U54" s="16">
        <v>1500</v>
      </c>
      <c r="V54" s="15">
        <v>0</v>
      </c>
      <c r="W54" s="16">
        <v>0</v>
      </c>
      <c r="X54" s="2">
        <f t="shared" si="2"/>
        <v>782826.21</v>
      </c>
      <c r="Y54" s="18"/>
      <c r="Z54" s="25"/>
      <c r="AA54" s="18">
        <v>48799.4</v>
      </c>
      <c r="AB54" s="25"/>
      <c r="AC54" s="18">
        <v>28443</v>
      </c>
      <c r="AD54" s="25"/>
      <c r="AE54" s="18"/>
      <c r="AF54" s="25"/>
      <c r="AG54" s="18"/>
      <c r="AH54" s="25"/>
      <c r="AI54" s="18"/>
      <c r="AJ54" s="25"/>
      <c r="AK54" s="18"/>
      <c r="AL54" s="68">
        <f t="shared" si="1"/>
        <v>77242.399999999994</v>
      </c>
      <c r="AM54" s="33">
        <v>76</v>
      </c>
      <c r="AN54" s="34">
        <v>302</v>
      </c>
      <c r="AO54" s="18">
        <v>-745.84</v>
      </c>
      <c r="AP54" s="25"/>
      <c r="AQ54" s="18">
        <v>-181.26</v>
      </c>
      <c r="AR54" s="64">
        <v>1</v>
      </c>
      <c r="AS54" s="32"/>
      <c r="AT54" s="32"/>
      <c r="AU54" s="40"/>
      <c r="AV54" s="40"/>
      <c r="AW54" s="41"/>
      <c r="AX54" s="23"/>
      <c r="AZ54" s="40"/>
      <c r="BA54" s="40"/>
      <c r="BB54" s="41"/>
      <c r="BC54" s="42"/>
      <c r="BD54" s="42"/>
      <c r="BE54" s="42"/>
      <c r="BF54" s="42"/>
      <c r="BG54" s="42"/>
      <c r="BI54" s="38"/>
      <c r="BJ54" s="39"/>
      <c r="BK54" s="38"/>
      <c r="BL54" s="38"/>
      <c r="BM54" s="38"/>
    </row>
    <row r="55" spans="1:65" x14ac:dyDescent="0.25">
      <c r="A55" s="13">
        <v>5484</v>
      </c>
      <c r="B55" s="14" t="s">
        <v>177</v>
      </c>
      <c r="C55" s="16">
        <v>1485185.15</v>
      </c>
      <c r="D55" s="15">
        <v>125006.84</v>
      </c>
      <c r="E55" s="16">
        <v>0</v>
      </c>
      <c r="F55" s="15">
        <v>0</v>
      </c>
      <c r="G55" s="16">
        <v>49145.65</v>
      </c>
      <c r="H55" s="15">
        <v>264.35000000000002</v>
      </c>
      <c r="I55" s="16">
        <v>0</v>
      </c>
      <c r="J55" s="15">
        <v>33131.449999999997</v>
      </c>
      <c r="K55" s="17">
        <v>2368</v>
      </c>
      <c r="L55" s="16">
        <v>125203.2</v>
      </c>
      <c r="M55" s="3">
        <f t="shared" si="0"/>
        <v>1820304.64</v>
      </c>
      <c r="N55" s="15">
        <v>48737.599999999999</v>
      </c>
      <c r="O55" s="16">
        <v>2516.5</v>
      </c>
      <c r="P55" s="15">
        <v>80135.100000000006</v>
      </c>
      <c r="Q55" s="16">
        <v>1721.11</v>
      </c>
      <c r="R55" s="15">
        <v>67557.350000000006</v>
      </c>
      <c r="S55" s="16">
        <v>187.5</v>
      </c>
      <c r="T55" s="15">
        <v>0</v>
      </c>
      <c r="U55" s="16">
        <v>4020</v>
      </c>
      <c r="V55" s="15">
        <v>0</v>
      </c>
      <c r="W55" s="16">
        <v>0</v>
      </c>
      <c r="X55" s="2">
        <f t="shared" si="2"/>
        <v>2025179.8000000003</v>
      </c>
      <c r="Y55" s="18">
        <v>262543.5</v>
      </c>
      <c r="Z55" s="25"/>
      <c r="AA55" s="18">
        <v>105892.45</v>
      </c>
      <c r="AB55" s="25"/>
      <c r="AC55" s="18">
        <v>59100</v>
      </c>
      <c r="AD55" s="25">
        <v>204586.2</v>
      </c>
      <c r="AE55" s="18"/>
      <c r="AF55" s="25"/>
      <c r="AG55" s="18"/>
      <c r="AH55" s="25"/>
      <c r="AI55" s="18"/>
      <c r="AJ55" s="25"/>
      <c r="AK55" s="18"/>
      <c r="AL55" s="68">
        <f t="shared" si="1"/>
        <v>632122.15</v>
      </c>
      <c r="AM55" s="33">
        <v>74</v>
      </c>
      <c r="AN55" s="34">
        <v>813</v>
      </c>
      <c r="AO55" s="18">
        <v>-12651.4</v>
      </c>
      <c r="AP55" s="25"/>
      <c r="AQ55" s="18">
        <v>-13.36</v>
      </c>
      <c r="AR55" s="64">
        <v>1</v>
      </c>
      <c r="AS55" s="32"/>
      <c r="AT55" s="32"/>
      <c r="AU55" s="40"/>
      <c r="AV55" s="40"/>
      <c r="AW55" s="41"/>
      <c r="AX55" s="23"/>
      <c r="AZ55" s="40"/>
      <c r="BA55" s="40"/>
      <c r="BB55" s="41"/>
      <c r="BC55" s="42"/>
      <c r="BD55" s="42"/>
      <c r="BE55" s="42"/>
      <c r="BF55" s="42"/>
      <c r="BG55" s="42"/>
      <c r="BI55" s="38"/>
      <c r="BJ55" s="39"/>
      <c r="BK55" s="38"/>
      <c r="BL55" s="38"/>
      <c r="BM55" s="38"/>
    </row>
    <row r="56" spans="1:65" x14ac:dyDescent="0.25">
      <c r="A56" s="13">
        <v>5485</v>
      </c>
      <c r="B56" s="14" t="s">
        <v>178</v>
      </c>
      <c r="C56" s="16">
        <v>1043226.8</v>
      </c>
      <c r="D56" s="15">
        <v>138370.85</v>
      </c>
      <c r="E56" s="16">
        <v>0</v>
      </c>
      <c r="F56" s="15">
        <v>0</v>
      </c>
      <c r="G56" s="16">
        <v>9114.75</v>
      </c>
      <c r="H56" s="15">
        <v>56.85</v>
      </c>
      <c r="I56" s="16">
        <v>0</v>
      </c>
      <c r="J56" s="15">
        <v>11640.16</v>
      </c>
      <c r="K56" s="17">
        <v>225</v>
      </c>
      <c r="L56" s="16">
        <v>66290.649999999994</v>
      </c>
      <c r="M56" s="3">
        <f t="shared" si="0"/>
        <v>1268925.06</v>
      </c>
      <c r="N56" s="15">
        <v>3931.6</v>
      </c>
      <c r="O56" s="16">
        <v>3929.6</v>
      </c>
      <c r="P56" s="15">
        <v>41459</v>
      </c>
      <c r="Q56" s="16">
        <v>0</v>
      </c>
      <c r="R56" s="15">
        <v>45587.55</v>
      </c>
      <c r="S56" s="16">
        <v>0</v>
      </c>
      <c r="T56" s="15">
        <v>0</v>
      </c>
      <c r="U56" s="16">
        <v>1080</v>
      </c>
      <c r="V56" s="15">
        <v>0</v>
      </c>
      <c r="W56" s="16">
        <v>0</v>
      </c>
      <c r="X56" s="2">
        <f t="shared" si="2"/>
        <v>1364912.8100000003</v>
      </c>
      <c r="Y56" s="18">
        <v>350</v>
      </c>
      <c r="Z56" s="25"/>
      <c r="AA56" s="18">
        <v>75612</v>
      </c>
      <c r="AB56" s="25"/>
      <c r="AC56" s="18">
        <v>27070</v>
      </c>
      <c r="AD56" s="25">
        <v>210</v>
      </c>
      <c r="AE56" s="18"/>
      <c r="AF56" s="25"/>
      <c r="AG56" s="18"/>
      <c r="AH56" s="25"/>
      <c r="AI56" s="18"/>
      <c r="AJ56" s="25"/>
      <c r="AK56" s="18"/>
      <c r="AL56" s="68">
        <f t="shared" si="1"/>
        <v>103242</v>
      </c>
      <c r="AM56" s="33">
        <v>70</v>
      </c>
      <c r="AN56" s="34">
        <v>388</v>
      </c>
      <c r="AO56" s="18">
        <v>-7927.32</v>
      </c>
      <c r="AP56" s="25"/>
      <c r="AQ56" s="18">
        <v>-157.94</v>
      </c>
      <c r="AR56" s="64">
        <v>1</v>
      </c>
      <c r="AS56" s="32"/>
      <c r="AT56" s="32"/>
      <c r="AU56" s="40"/>
      <c r="AV56" s="40"/>
      <c r="AW56" s="41"/>
      <c r="AX56" s="23"/>
      <c r="AZ56" s="40"/>
      <c r="BA56" s="40"/>
      <c r="BB56" s="41"/>
      <c r="BC56" s="42"/>
      <c r="BD56" s="42"/>
      <c r="BE56" s="42"/>
      <c r="BF56" s="42"/>
      <c r="BG56" s="42"/>
      <c r="BI56" s="38"/>
      <c r="BJ56" s="39"/>
      <c r="BK56" s="38"/>
      <c r="BL56" s="38"/>
      <c r="BM56" s="38"/>
    </row>
    <row r="57" spans="1:65" x14ac:dyDescent="0.25">
      <c r="A57" s="13">
        <v>5486</v>
      </c>
      <c r="B57" s="14" t="s">
        <v>7</v>
      </c>
      <c r="C57" s="16">
        <v>1507887.67</v>
      </c>
      <c r="D57" s="15">
        <v>198733.59</v>
      </c>
      <c r="E57" s="16">
        <v>0</v>
      </c>
      <c r="F57" s="15">
        <v>0</v>
      </c>
      <c r="G57" s="16">
        <v>69104.75</v>
      </c>
      <c r="H57" s="15">
        <v>394.35</v>
      </c>
      <c r="I57" s="16">
        <v>44072.9</v>
      </c>
      <c r="J57" s="15">
        <v>19665.59</v>
      </c>
      <c r="K57" s="17">
        <v>3170</v>
      </c>
      <c r="L57" s="16">
        <v>166925.04999999999</v>
      </c>
      <c r="M57" s="3">
        <f t="shared" si="0"/>
        <v>2009953.9000000001</v>
      </c>
      <c r="N57" s="15">
        <v>114698.1</v>
      </c>
      <c r="O57" s="16">
        <v>23382.1</v>
      </c>
      <c r="P57" s="15">
        <v>126820</v>
      </c>
      <c r="Q57" s="16">
        <v>3464.95</v>
      </c>
      <c r="R57" s="15">
        <v>95823.35</v>
      </c>
      <c r="S57" s="16">
        <v>225</v>
      </c>
      <c r="T57" s="15">
        <v>850</v>
      </c>
      <c r="U57" s="16">
        <v>9450</v>
      </c>
      <c r="V57" s="15">
        <v>0</v>
      </c>
      <c r="W57" s="16">
        <v>0</v>
      </c>
      <c r="X57" s="2">
        <f t="shared" si="2"/>
        <v>2384667.4000000004</v>
      </c>
      <c r="Y57" s="18"/>
      <c r="Z57" s="25">
        <v>9041.6</v>
      </c>
      <c r="AA57" s="18">
        <v>169162</v>
      </c>
      <c r="AB57" s="25"/>
      <c r="AC57" s="18">
        <v>89830.3</v>
      </c>
      <c r="AD57" s="25"/>
      <c r="AE57" s="18">
        <v>9683.2999999999993</v>
      </c>
      <c r="AF57" s="25"/>
      <c r="AG57" s="18"/>
      <c r="AH57" s="25">
        <v>38657.550000000003</v>
      </c>
      <c r="AI57" s="18"/>
      <c r="AJ57" s="25"/>
      <c r="AK57" s="18"/>
      <c r="AL57" s="68">
        <f t="shared" si="1"/>
        <v>316374.75</v>
      </c>
      <c r="AM57" s="33">
        <v>72</v>
      </c>
      <c r="AN57" s="34">
        <v>1004</v>
      </c>
      <c r="AO57" s="18">
        <v>-96205.88</v>
      </c>
      <c r="AP57" s="25"/>
      <c r="AQ57" s="18">
        <v>-12.08</v>
      </c>
      <c r="AR57" s="64">
        <v>1</v>
      </c>
      <c r="AS57" s="32"/>
      <c r="AT57" s="32"/>
      <c r="AU57" s="40"/>
      <c r="AV57" s="40"/>
      <c r="AW57" s="41"/>
      <c r="AX57" s="23"/>
      <c r="AZ57" s="40"/>
      <c r="BA57" s="40"/>
      <c r="BB57" s="41"/>
      <c r="BC57" s="42"/>
      <c r="BD57" s="42"/>
      <c r="BE57" s="42"/>
      <c r="BF57" s="42"/>
      <c r="BG57" s="42"/>
      <c r="BI57" s="38"/>
      <c r="BJ57" s="39"/>
      <c r="BK57" s="38"/>
      <c r="BL57" s="38"/>
      <c r="BM57" s="38"/>
    </row>
    <row r="58" spans="1:65" x14ac:dyDescent="0.25">
      <c r="A58" s="13">
        <v>5487</v>
      </c>
      <c r="B58" s="14" t="s">
        <v>8</v>
      </c>
      <c r="C58" s="16">
        <v>710613.33</v>
      </c>
      <c r="D58" s="15">
        <v>33165.01</v>
      </c>
      <c r="E58" s="16">
        <v>0</v>
      </c>
      <c r="F58" s="15">
        <v>0</v>
      </c>
      <c r="G58" s="16">
        <v>111387.8</v>
      </c>
      <c r="H58" s="15">
        <v>8</v>
      </c>
      <c r="I58" s="16">
        <v>0</v>
      </c>
      <c r="J58" s="15">
        <v>8347.1299999999992</v>
      </c>
      <c r="K58" s="17">
        <v>466</v>
      </c>
      <c r="L58" s="16">
        <v>59547.5</v>
      </c>
      <c r="M58" s="3">
        <f t="shared" si="0"/>
        <v>923534.77</v>
      </c>
      <c r="N58" s="15" t="s">
        <v>512</v>
      </c>
      <c r="O58" s="16">
        <v>238.5</v>
      </c>
      <c r="P58" s="15">
        <v>74013.149999999994</v>
      </c>
      <c r="Q58" s="16">
        <v>9964.6299999999992</v>
      </c>
      <c r="R58" s="15">
        <v>40802.15</v>
      </c>
      <c r="S58" s="16">
        <v>7.5</v>
      </c>
      <c r="T58" s="15">
        <v>0</v>
      </c>
      <c r="U58" s="16">
        <v>1770</v>
      </c>
      <c r="V58" s="15">
        <v>0</v>
      </c>
      <c r="W58" s="16">
        <v>0</v>
      </c>
      <c r="X58" s="2">
        <f t="shared" si="2"/>
        <v>1050330.7000000002</v>
      </c>
      <c r="Y58" s="18"/>
      <c r="Z58" s="25"/>
      <c r="AA58" s="18">
        <v>36133</v>
      </c>
      <c r="AB58" s="25"/>
      <c r="AC58" s="18">
        <v>34750</v>
      </c>
      <c r="AD58" s="25">
        <v>2425</v>
      </c>
      <c r="AE58" s="18"/>
      <c r="AF58" s="25"/>
      <c r="AG58" s="18">
        <v>548</v>
      </c>
      <c r="AH58" s="25">
        <v>8660.0499999999993</v>
      </c>
      <c r="AI58" s="18"/>
      <c r="AJ58" s="25"/>
      <c r="AK58" s="18"/>
      <c r="AL58" s="68">
        <f t="shared" si="1"/>
        <v>82516.05</v>
      </c>
      <c r="AM58" s="33">
        <v>65</v>
      </c>
      <c r="AN58" s="34">
        <v>404</v>
      </c>
      <c r="AO58" s="18">
        <v>-12997.74</v>
      </c>
      <c r="AP58" s="25"/>
      <c r="AQ58" s="18">
        <v>0</v>
      </c>
      <c r="AR58" s="64">
        <v>1</v>
      </c>
      <c r="AS58" s="32"/>
      <c r="AT58" s="32"/>
      <c r="AU58" s="40"/>
      <c r="AV58" s="40"/>
      <c r="AW58" s="41"/>
      <c r="AX58" s="23"/>
      <c r="AZ58" s="40"/>
      <c r="BA58" s="40"/>
      <c r="BB58" s="41"/>
      <c r="BC58" s="42"/>
      <c r="BD58" s="42"/>
      <c r="BE58" s="42"/>
      <c r="BF58" s="42"/>
      <c r="BG58" s="42"/>
      <c r="BI58" s="38"/>
      <c r="BJ58" s="39"/>
      <c r="BK58" s="38"/>
      <c r="BL58" s="38"/>
      <c r="BM58" s="38"/>
    </row>
    <row r="59" spans="1:65" x14ac:dyDescent="0.25">
      <c r="A59" s="13">
        <v>5488</v>
      </c>
      <c r="B59" s="14" t="s">
        <v>9</v>
      </c>
      <c r="C59" s="16">
        <v>100195.02</v>
      </c>
      <c r="D59" s="15">
        <v>10837.55</v>
      </c>
      <c r="E59" s="16">
        <v>0</v>
      </c>
      <c r="F59" s="15">
        <v>0</v>
      </c>
      <c r="G59" s="16">
        <v>2518.35</v>
      </c>
      <c r="H59" s="15">
        <v>0</v>
      </c>
      <c r="I59" s="16">
        <v>0</v>
      </c>
      <c r="J59" s="15">
        <v>0</v>
      </c>
      <c r="K59" s="17">
        <v>0</v>
      </c>
      <c r="L59" s="16">
        <v>8474</v>
      </c>
      <c r="M59" s="3">
        <f t="shared" si="0"/>
        <v>122024.92000000001</v>
      </c>
      <c r="N59" s="25"/>
      <c r="O59" s="18"/>
      <c r="P59" s="25"/>
      <c r="Q59" s="18">
        <v>0</v>
      </c>
      <c r="R59" s="25"/>
      <c r="S59" s="18">
        <v>0</v>
      </c>
      <c r="T59" s="15">
        <v>0</v>
      </c>
      <c r="U59" s="18">
        <v>0</v>
      </c>
      <c r="V59" s="25">
        <v>100</v>
      </c>
      <c r="W59" s="18">
        <v>0</v>
      </c>
      <c r="X59" s="2">
        <f t="shared" si="2"/>
        <v>122124.92000000001</v>
      </c>
      <c r="Y59" s="18"/>
      <c r="Z59" s="25"/>
      <c r="AA59" s="18">
        <v>6450</v>
      </c>
      <c r="AB59" s="25"/>
      <c r="AC59" s="18">
        <v>5010</v>
      </c>
      <c r="AD59" s="25"/>
      <c r="AE59" s="18"/>
      <c r="AF59" s="25"/>
      <c r="AG59" s="18"/>
      <c r="AH59" s="25"/>
      <c r="AI59" s="18"/>
      <c r="AJ59" s="25"/>
      <c r="AK59" s="18"/>
      <c r="AL59" s="68">
        <f t="shared" si="1"/>
        <v>11460</v>
      </c>
      <c r="AM59" s="33">
        <v>74</v>
      </c>
      <c r="AN59" s="34">
        <v>49</v>
      </c>
      <c r="AO59" s="18">
        <v>-43.14</v>
      </c>
      <c r="AP59" s="25"/>
      <c r="AQ59" s="18">
        <v>0</v>
      </c>
      <c r="AR59" s="64">
        <v>1</v>
      </c>
      <c r="AS59" s="32"/>
      <c r="AT59" s="32"/>
      <c r="AU59" s="40"/>
      <c r="AV59" s="40"/>
      <c r="AW59" s="41"/>
      <c r="AX59" s="23"/>
      <c r="AZ59" s="40"/>
      <c r="BA59" s="40"/>
      <c r="BB59" s="41"/>
      <c r="BC59" s="42"/>
      <c r="BD59" s="42"/>
      <c r="BE59" s="42"/>
      <c r="BF59" s="42"/>
      <c r="BG59" s="42"/>
      <c r="BI59" s="38"/>
      <c r="BJ59" s="39"/>
      <c r="BK59" s="38"/>
      <c r="BL59" s="38"/>
      <c r="BM59" s="38"/>
    </row>
    <row r="60" spans="1:65" x14ac:dyDescent="0.25">
      <c r="A60" s="13">
        <v>5489</v>
      </c>
      <c r="B60" s="14" t="s">
        <v>10</v>
      </c>
      <c r="C60" s="16">
        <v>2271672.9</v>
      </c>
      <c r="D60" s="15">
        <v>762520.93</v>
      </c>
      <c r="E60" s="16">
        <v>0</v>
      </c>
      <c r="F60" s="15">
        <v>0</v>
      </c>
      <c r="G60" s="16">
        <v>1802.7</v>
      </c>
      <c r="H60" s="15">
        <v>86713.1</v>
      </c>
      <c r="I60" s="16">
        <v>0</v>
      </c>
      <c r="J60" s="15">
        <v>-7317.58</v>
      </c>
      <c r="K60" s="17">
        <v>4580</v>
      </c>
      <c r="L60" s="16">
        <v>233217.55</v>
      </c>
      <c r="M60" s="3">
        <f t="shared" si="0"/>
        <v>3353189.6</v>
      </c>
      <c r="N60" s="15">
        <v>134667.9</v>
      </c>
      <c r="O60" s="16" t="s">
        <v>512</v>
      </c>
      <c r="P60" s="15">
        <v>23952.5</v>
      </c>
      <c r="Q60" s="16">
        <v>7609.09</v>
      </c>
      <c r="R60" s="15">
        <v>77273.25</v>
      </c>
      <c r="S60" s="16">
        <v>125</v>
      </c>
      <c r="T60" s="15">
        <v>0</v>
      </c>
      <c r="U60" s="16">
        <v>2610</v>
      </c>
      <c r="V60" s="15">
        <v>0</v>
      </c>
      <c r="W60" s="16">
        <v>0</v>
      </c>
      <c r="X60" s="2">
        <f t="shared" si="2"/>
        <v>3599427.34</v>
      </c>
      <c r="Y60" s="18">
        <v>24277.05</v>
      </c>
      <c r="Z60" s="25"/>
      <c r="AA60" s="18">
        <v>140181.6</v>
      </c>
      <c r="AB60" s="25"/>
      <c r="AC60" s="18">
        <v>43720</v>
      </c>
      <c r="AD60" s="25">
        <v>68555.55</v>
      </c>
      <c r="AE60" s="18"/>
      <c r="AF60" s="25"/>
      <c r="AG60" s="18"/>
      <c r="AH60" s="25"/>
      <c r="AI60" s="18"/>
      <c r="AJ60" s="25"/>
      <c r="AK60" s="18"/>
      <c r="AL60" s="68">
        <f t="shared" si="1"/>
        <v>276734.2</v>
      </c>
      <c r="AM60" s="33">
        <v>61</v>
      </c>
      <c r="AN60" s="34">
        <v>670</v>
      </c>
      <c r="AO60" s="18">
        <v>-70905.38</v>
      </c>
      <c r="AP60" s="25"/>
      <c r="AQ60" s="18">
        <v>-3.73</v>
      </c>
      <c r="AR60" s="64">
        <v>1</v>
      </c>
      <c r="AS60" s="32"/>
      <c r="AT60" s="32"/>
      <c r="AU60" s="40"/>
      <c r="AV60" s="40"/>
      <c r="AW60" s="41"/>
      <c r="AX60" s="23"/>
      <c r="AZ60" s="40"/>
      <c r="BA60" s="40"/>
      <c r="BB60" s="41"/>
      <c r="BC60" s="42"/>
      <c r="BD60" s="42"/>
      <c r="BE60" s="42"/>
      <c r="BF60" s="42"/>
      <c r="BG60" s="42"/>
      <c r="BI60" s="38"/>
      <c r="BJ60" s="39"/>
      <c r="BK60" s="38"/>
      <c r="BL60" s="38"/>
      <c r="BM60" s="38"/>
    </row>
    <row r="61" spans="1:65" x14ac:dyDescent="0.25">
      <c r="A61" s="13">
        <v>5490</v>
      </c>
      <c r="B61" s="14" t="s">
        <v>11</v>
      </c>
      <c r="C61" s="16">
        <v>478663.07</v>
      </c>
      <c r="D61" s="15">
        <v>67333.08</v>
      </c>
      <c r="E61" s="16">
        <v>0</v>
      </c>
      <c r="F61" s="15">
        <v>0</v>
      </c>
      <c r="G61" s="16">
        <v>1920.05</v>
      </c>
      <c r="H61" s="15">
        <v>-400.5</v>
      </c>
      <c r="I61" s="16">
        <v>0</v>
      </c>
      <c r="J61" s="15">
        <v>5854.62</v>
      </c>
      <c r="K61" s="17">
        <v>0</v>
      </c>
      <c r="L61" s="16">
        <v>35573.300000000003</v>
      </c>
      <c r="M61" s="3">
        <f t="shared" si="0"/>
        <v>588943.62000000011</v>
      </c>
      <c r="N61" s="15"/>
      <c r="O61" s="16">
        <v>9.6</v>
      </c>
      <c r="P61" s="15">
        <v>26558.7</v>
      </c>
      <c r="Q61" s="16">
        <v>1670.26</v>
      </c>
      <c r="R61" s="15">
        <v>44603.8</v>
      </c>
      <c r="S61" s="16">
        <v>62.5</v>
      </c>
      <c r="T61" s="15">
        <v>0</v>
      </c>
      <c r="U61" s="16">
        <v>1080</v>
      </c>
      <c r="V61" s="15">
        <v>0</v>
      </c>
      <c r="W61" s="16">
        <v>0</v>
      </c>
      <c r="X61" s="2">
        <f t="shared" si="2"/>
        <v>662928.4800000001</v>
      </c>
      <c r="Y61" s="18">
        <v>590</v>
      </c>
      <c r="Z61" s="25"/>
      <c r="AA61" s="18">
        <v>8939</v>
      </c>
      <c r="AB61" s="25"/>
      <c r="AC61" s="18">
        <v>24102</v>
      </c>
      <c r="AD61" s="25">
        <v>2100</v>
      </c>
      <c r="AE61" s="18"/>
      <c r="AF61" s="25"/>
      <c r="AG61" s="18"/>
      <c r="AH61" s="25">
        <v>6614</v>
      </c>
      <c r="AI61" s="18"/>
      <c r="AJ61" s="25"/>
      <c r="AK61" s="18"/>
      <c r="AL61" s="68">
        <f t="shared" si="1"/>
        <v>42345</v>
      </c>
      <c r="AM61" s="33">
        <v>81</v>
      </c>
      <c r="AN61" s="34">
        <v>263</v>
      </c>
      <c r="AO61" s="18">
        <v>-11297.17</v>
      </c>
      <c r="AP61" s="25"/>
      <c r="AQ61" s="18">
        <v>-148.41</v>
      </c>
      <c r="AR61" s="64">
        <v>1</v>
      </c>
      <c r="AS61" s="32"/>
      <c r="AT61" s="32"/>
      <c r="AU61" s="40"/>
      <c r="AV61" s="40"/>
      <c r="AW61" s="41"/>
      <c r="AX61" s="23"/>
      <c r="AZ61" s="40"/>
      <c r="BA61" s="40"/>
      <c r="BB61" s="41"/>
      <c r="BC61" s="42"/>
      <c r="BD61" s="42"/>
      <c r="BE61" s="42"/>
      <c r="BF61" s="42"/>
      <c r="BG61" s="42"/>
      <c r="BI61" s="38"/>
      <c r="BJ61" s="39"/>
      <c r="BK61" s="38"/>
      <c r="BL61" s="38"/>
      <c r="BM61" s="38"/>
    </row>
    <row r="62" spans="1:65" x14ac:dyDescent="0.25">
      <c r="A62" s="13">
        <v>5491</v>
      </c>
      <c r="B62" s="14" t="s">
        <v>200</v>
      </c>
      <c r="C62" s="16">
        <v>543548.22</v>
      </c>
      <c r="D62" s="15">
        <v>75503.83</v>
      </c>
      <c r="E62" s="16">
        <v>0</v>
      </c>
      <c r="F62" s="15">
        <v>1900</v>
      </c>
      <c r="G62" s="16">
        <v>1998.7</v>
      </c>
      <c r="H62" s="15">
        <v>627.45000000000005</v>
      </c>
      <c r="I62" s="16">
        <v>0</v>
      </c>
      <c r="J62" s="15">
        <v>12793.94</v>
      </c>
      <c r="K62" s="17">
        <v>425</v>
      </c>
      <c r="L62" s="16">
        <v>57397.45</v>
      </c>
      <c r="M62" s="3">
        <f t="shared" si="0"/>
        <v>694194.58999999973</v>
      </c>
      <c r="N62" s="15" t="s">
        <v>512</v>
      </c>
      <c r="O62" s="16" t="s">
        <v>512</v>
      </c>
      <c r="P62" s="15">
        <v>83982.15</v>
      </c>
      <c r="Q62" s="16">
        <v>40288.54</v>
      </c>
      <c r="R62" s="15">
        <v>76659.95</v>
      </c>
      <c r="S62" s="16">
        <v>25</v>
      </c>
      <c r="T62" s="15">
        <v>0</v>
      </c>
      <c r="U62" s="16">
        <v>4110</v>
      </c>
      <c r="V62" s="15">
        <v>0</v>
      </c>
      <c r="W62" s="16">
        <v>0</v>
      </c>
      <c r="X62" s="2">
        <f t="shared" si="2"/>
        <v>899260.22999999975</v>
      </c>
      <c r="Y62" s="18"/>
      <c r="Z62" s="25"/>
      <c r="AA62" s="18">
        <v>44113</v>
      </c>
      <c r="AB62" s="25"/>
      <c r="AC62" s="18">
        <v>31600</v>
      </c>
      <c r="AD62" s="25"/>
      <c r="AE62" s="18"/>
      <c r="AF62" s="25"/>
      <c r="AG62" s="18"/>
      <c r="AH62" s="25">
        <v>10935.65</v>
      </c>
      <c r="AI62" s="18"/>
      <c r="AJ62" s="25"/>
      <c r="AK62" s="18"/>
      <c r="AL62" s="68">
        <f t="shared" si="1"/>
        <v>86648.65</v>
      </c>
      <c r="AM62" s="33">
        <v>76</v>
      </c>
      <c r="AN62" s="34">
        <v>372</v>
      </c>
      <c r="AO62" s="18">
        <v>-38471.230000000003</v>
      </c>
      <c r="AP62" s="25"/>
      <c r="AQ62" s="18">
        <v>0</v>
      </c>
      <c r="AR62" s="64">
        <v>1</v>
      </c>
      <c r="AS62" s="32"/>
      <c r="AT62" s="32"/>
      <c r="AU62" s="40"/>
      <c r="AV62" s="40"/>
      <c r="AW62" s="41"/>
      <c r="AX62" s="23"/>
      <c r="AZ62" s="40"/>
      <c r="BA62" s="40"/>
      <c r="BB62" s="41"/>
      <c r="BC62" s="42"/>
      <c r="BD62" s="42"/>
      <c r="BE62" s="42"/>
      <c r="BF62" s="42"/>
      <c r="BG62" s="42"/>
      <c r="BI62" s="38"/>
      <c r="BJ62" s="39"/>
      <c r="BK62" s="38"/>
      <c r="BL62" s="38"/>
      <c r="BM62" s="38"/>
    </row>
    <row r="63" spans="1:65" x14ac:dyDescent="0.25">
      <c r="A63" s="13">
        <v>5492</v>
      </c>
      <c r="B63" s="14" t="s">
        <v>201</v>
      </c>
      <c r="C63" s="16">
        <v>3761952.33</v>
      </c>
      <c r="D63" s="15">
        <v>5587490.8499999996</v>
      </c>
      <c r="E63" s="16">
        <v>0</v>
      </c>
      <c r="F63" s="15">
        <v>0</v>
      </c>
      <c r="G63" s="16">
        <v>86289.7</v>
      </c>
      <c r="H63" s="15">
        <v>1511.15</v>
      </c>
      <c r="I63" s="16">
        <v>37230.75</v>
      </c>
      <c r="J63" s="15">
        <v>50716.66</v>
      </c>
      <c r="K63" s="17">
        <v>1221</v>
      </c>
      <c r="L63" s="16">
        <v>42698.85</v>
      </c>
      <c r="M63" s="3">
        <f t="shared" si="0"/>
        <v>9569111.2899999991</v>
      </c>
      <c r="N63" s="15">
        <v>3795.9</v>
      </c>
      <c r="O63" s="16">
        <v>216870.5</v>
      </c>
      <c r="P63" s="15">
        <v>129309.35</v>
      </c>
      <c r="Q63" s="16">
        <v>-1510.54</v>
      </c>
      <c r="R63" s="15">
        <v>79024.45</v>
      </c>
      <c r="S63" s="16">
        <v>0</v>
      </c>
      <c r="T63" s="15">
        <v>0</v>
      </c>
      <c r="U63" s="16">
        <v>4710</v>
      </c>
      <c r="V63" s="15">
        <v>0</v>
      </c>
      <c r="W63" s="16">
        <v>0</v>
      </c>
      <c r="X63" s="2">
        <f t="shared" si="2"/>
        <v>10001310.949999999</v>
      </c>
      <c r="Y63" s="18">
        <v>2614.9499999999998</v>
      </c>
      <c r="Z63" s="25"/>
      <c r="AA63" s="18">
        <v>19320</v>
      </c>
      <c r="AB63" s="25"/>
      <c r="AC63" s="18">
        <v>29990</v>
      </c>
      <c r="AD63" s="25">
        <v>2614.9499999999998</v>
      </c>
      <c r="AE63" s="18"/>
      <c r="AF63" s="25"/>
      <c r="AG63" s="18"/>
      <c r="AH63" s="25"/>
      <c r="AI63" s="18"/>
      <c r="AJ63" s="25"/>
      <c r="AK63" s="18"/>
      <c r="AL63" s="68">
        <f t="shared" si="1"/>
        <v>54539.899999999994</v>
      </c>
      <c r="AM63" s="33">
        <v>64</v>
      </c>
      <c r="AN63" s="34">
        <v>930</v>
      </c>
      <c r="AO63" s="18">
        <v>-34272.400000000001</v>
      </c>
      <c r="AP63" s="25"/>
      <c r="AQ63" s="18">
        <v>-2597.91</v>
      </c>
      <c r="AR63" s="64">
        <v>0.3</v>
      </c>
      <c r="AS63" s="32"/>
      <c r="AT63" s="32"/>
      <c r="AU63" s="40"/>
      <c r="AV63" s="40"/>
      <c r="AW63" s="41"/>
      <c r="AX63" s="23"/>
      <c r="AZ63" s="40"/>
      <c r="BA63" s="40"/>
      <c r="BB63" s="41"/>
      <c r="BC63" s="42"/>
      <c r="BD63" s="42"/>
      <c r="BE63" s="42"/>
      <c r="BF63" s="42"/>
      <c r="BG63" s="42"/>
      <c r="BI63" s="38"/>
      <c r="BJ63" s="39"/>
      <c r="BK63" s="38"/>
      <c r="BL63" s="38"/>
      <c r="BM63" s="38"/>
    </row>
    <row r="64" spans="1:65" x14ac:dyDescent="0.25">
      <c r="A64" s="13">
        <v>5493</v>
      </c>
      <c r="B64" s="14" t="s">
        <v>202</v>
      </c>
      <c r="C64" s="16">
        <v>553082.76</v>
      </c>
      <c r="D64" s="15">
        <v>64475.02</v>
      </c>
      <c r="E64" s="16">
        <v>0</v>
      </c>
      <c r="F64" s="15">
        <v>0</v>
      </c>
      <c r="G64" s="16">
        <v>6375.3</v>
      </c>
      <c r="H64" s="15">
        <v>216.65</v>
      </c>
      <c r="I64" s="16">
        <v>0</v>
      </c>
      <c r="J64" s="15">
        <v>28584.25</v>
      </c>
      <c r="K64" s="17">
        <v>134.5</v>
      </c>
      <c r="L64" s="16">
        <v>31511.05</v>
      </c>
      <c r="M64" s="3">
        <f t="shared" si="0"/>
        <v>684379.53000000014</v>
      </c>
      <c r="N64" s="15">
        <v>59463</v>
      </c>
      <c r="O64" s="16">
        <v>31250</v>
      </c>
      <c r="P64" s="15">
        <v>14145.15</v>
      </c>
      <c r="Q64" s="16">
        <v>4422.8500000000004</v>
      </c>
      <c r="R64" s="15">
        <v>10118.65</v>
      </c>
      <c r="S64" s="16">
        <v>0</v>
      </c>
      <c r="T64" s="15">
        <v>0</v>
      </c>
      <c r="U64" s="16">
        <v>1625</v>
      </c>
      <c r="V64" s="15">
        <v>0</v>
      </c>
      <c r="W64" s="16">
        <v>0</v>
      </c>
      <c r="X64" s="2">
        <f t="shared" si="2"/>
        <v>805404.18000000017</v>
      </c>
      <c r="Y64" s="18"/>
      <c r="Z64" s="25">
        <v>920</v>
      </c>
      <c r="AA64" s="18">
        <v>53827</v>
      </c>
      <c r="AB64" s="25"/>
      <c r="AC64" s="18">
        <v>16504</v>
      </c>
      <c r="AD64" s="25"/>
      <c r="AE64" s="18"/>
      <c r="AF64" s="25"/>
      <c r="AG64" s="18"/>
      <c r="AH64" s="25"/>
      <c r="AI64" s="18"/>
      <c r="AJ64" s="25"/>
      <c r="AK64" s="18"/>
      <c r="AL64" s="68">
        <f t="shared" si="1"/>
        <v>71251</v>
      </c>
      <c r="AM64" s="33">
        <v>73</v>
      </c>
      <c r="AN64" s="34">
        <v>364</v>
      </c>
      <c r="AO64" s="18">
        <v>-14096.02</v>
      </c>
      <c r="AP64" s="25"/>
      <c r="AQ64" s="18">
        <v>-0.7</v>
      </c>
      <c r="AR64" s="64">
        <v>0.65</v>
      </c>
      <c r="AS64" s="32"/>
      <c r="AT64" s="32"/>
      <c r="AU64" s="40"/>
      <c r="AV64" s="40"/>
      <c r="AW64" s="41"/>
      <c r="AX64" s="23"/>
      <c r="AZ64" s="40"/>
      <c r="BA64" s="40"/>
      <c r="BB64" s="41"/>
      <c r="BC64" s="42"/>
      <c r="BD64" s="42"/>
      <c r="BE64" s="42"/>
      <c r="BF64" s="42"/>
      <c r="BG64" s="42"/>
      <c r="BI64" s="38"/>
      <c r="BJ64" s="39"/>
      <c r="BK64" s="38"/>
      <c r="BL64" s="38"/>
      <c r="BM64" s="38"/>
    </row>
    <row r="65" spans="1:65" x14ac:dyDescent="0.25">
      <c r="A65" s="13">
        <v>5494</v>
      </c>
      <c r="B65" s="14" t="s">
        <v>203</v>
      </c>
      <c r="C65" s="16">
        <v>2104670.63</v>
      </c>
      <c r="D65" s="15">
        <v>222579.21</v>
      </c>
      <c r="E65" s="16">
        <v>0</v>
      </c>
      <c r="F65" s="15">
        <v>0</v>
      </c>
      <c r="G65" s="16">
        <v>22724.65</v>
      </c>
      <c r="H65" s="15">
        <v>-133.75</v>
      </c>
      <c r="I65" s="16">
        <v>0</v>
      </c>
      <c r="J65" s="15">
        <v>90971.64</v>
      </c>
      <c r="K65" s="17">
        <v>1478.7</v>
      </c>
      <c r="L65" s="16">
        <v>200486.75</v>
      </c>
      <c r="M65" s="3">
        <f t="shared" si="0"/>
        <v>2642777.83</v>
      </c>
      <c r="N65" s="15">
        <v>13159.65</v>
      </c>
      <c r="O65" s="16">
        <v>8104.4</v>
      </c>
      <c r="P65" s="15">
        <v>56431.8</v>
      </c>
      <c r="Q65" s="16">
        <v>19903.29</v>
      </c>
      <c r="R65" s="15">
        <v>53709.2</v>
      </c>
      <c r="S65" s="16">
        <v>100</v>
      </c>
      <c r="T65" s="15">
        <v>0</v>
      </c>
      <c r="U65" s="16">
        <v>5640</v>
      </c>
      <c r="V65" s="15">
        <v>10</v>
      </c>
      <c r="W65" s="16">
        <v>0</v>
      </c>
      <c r="X65" s="2">
        <f t="shared" si="2"/>
        <v>2799836.17</v>
      </c>
      <c r="Y65" s="18"/>
      <c r="Z65" s="25">
        <v>41462.04</v>
      </c>
      <c r="AA65" s="18">
        <v>4338</v>
      </c>
      <c r="AB65" s="25">
        <v>143140.57</v>
      </c>
      <c r="AC65" s="18">
        <v>68229.3</v>
      </c>
      <c r="AD65" s="25">
        <v>49992</v>
      </c>
      <c r="AE65" s="18">
        <v>3040</v>
      </c>
      <c r="AF65" s="25">
        <v>0</v>
      </c>
      <c r="AG65" s="18"/>
      <c r="AH65" s="25"/>
      <c r="AI65" s="18"/>
      <c r="AJ65" s="25"/>
      <c r="AK65" s="18"/>
      <c r="AL65" s="68">
        <f t="shared" si="1"/>
        <v>310201.91000000003</v>
      </c>
      <c r="AM65" s="33">
        <v>75</v>
      </c>
      <c r="AN65" s="34">
        <v>1104</v>
      </c>
      <c r="AO65" s="18">
        <v>-34173.910000000003</v>
      </c>
      <c r="AP65" s="25"/>
      <c r="AQ65" s="18">
        <v>-48.58</v>
      </c>
      <c r="AR65" s="64">
        <v>1.05</v>
      </c>
      <c r="AS65" s="32"/>
      <c r="AT65" s="32"/>
      <c r="AU65" s="40"/>
      <c r="AV65" s="40"/>
      <c r="AW65" s="41"/>
      <c r="AX65" s="23"/>
      <c r="AZ65" s="40"/>
      <c r="BA65" s="40"/>
      <c r="BB65" s="41"/>
      <c r="BC65" s="42"/>
      <c r="BD65" s="42"/>
      <c r="BE65" s="42"/>
      <c r="BF65" s="42"/>
      <c r="BG65" s="42"/>
      <c r="BI65" s="38"/>
      <c r="BJ65" s="39"/>
      <c r="BK65" s="38"/>
      <c r="BL65" s="38"/>
      <c r="BM65" s="38"/>
    </row>
    <row r="66" spans="1:65" x14ac:dyDescent="0.25">
      <c r="A66" s="13">
        <v>5495</v>
      </c>
      <c r="B66" s="14" t="s">
        <v>204</v>
      </c>
      <c r="C66" s="16">
        <v>5110996.5199999996</v>
      </c>
      <c r="D66" s="15">
        <v>442972.84</v>
      </c>
      <c r="E66" s="16">
        <v>0</v>
      </c>
      <c r="F66" s="15">
        <v>0</v>
      </c>
      <c r="G66" s="16">
        <v>315803.65000000002</v>
      </c>
      <c r="H66" s="15">
        <v>5408.3</v>
      </c>
      <c r="I66" s="16">
        <v>49923.9</v>
      </c>
      <c r="J66" s="15">
        <v>189821.41</v>
      </c>
      <c r="K66" s="17">
        <v>73261</v>
      </c>
      <c r="L66" s="16">
        <v>489518.5</v>
      </c>
      <c r="M66" s="3">
        <f t="shared" si="0"/>
        <v>6677706.1200000001</v>
      </c>
      <c r="N66" s="15">
        <v>163740.04999999999</v>
      </c>
      <c r="O66" s="16">
        <v>27815.7</v>
      </c>
      <c r="P66" s="15">
        <v>190187.7</v>
      </c>
      <c r="Q66" s="16">
        <v>18927.12</v>
      </c>
      <c r="R66" s="15">
        <v>153727.15</v>
      </c>
      <c r="S66" s="16">
        <v>730</v>
      </c>
      <c r="T66" s="15">
        <v>0</v>
      </c>
      <c r="U66" s="16">
        <v>11700</v>
      </c>
      <c r="V66" s="15">
        <v>0</v>
      </c>
      <c r="W66" s="16">
        <v>0</v>
      </c>
      <c r="X66" s="2">
        <f t="shared" si="2"/>
        <v>7244533.8400000008</v>
      </c>
      <c r="Y66" s="18">
        <v>41289.35</v>
      </c>
      <c r="Z66" s="25"/>
      <c r="AA66" s="18">
        <v>79199</v>
      </c>
      <c r="AB66" s="25">
        <v>291804.40000000002</v>
      </c>
      <c r="AC66" s="18">
        <v>238841.88</v>
      </c>
      <c r="AD66" s="25">
        <v>41289.35</v>
      </c>
      <c r="AE66" s="18"/>
      <c r="AF66" s="25"/>
      <c r="AG66" s="18">
        <v>21515.5</v>
      </c>
      <c r="AH66" s="25">
        <v>122450.85</v>
      </c>
      <c r="AI66" s="18"/>
      <c r="AJ66" s="25"/>
      <c r="AK66" s="18"/>
      <c r="AL66" s="68">
        <f t="shared" si="1"/>
        <v>836390.33</v>
      </c>
      <c r="AM66" s="33">
        <v>74</v>
      </c>
      <c r="AN66" s="34">
        <v>3150</v>
      </c>
      <c r="AO66" s="18">
        <v>-205586.96</v>
      </c>
      <c r="AP66" s="25"/>
      <c r="AQ66" s="18">
        <v>-58.18</v>
      </c>
      <c r="AR66" s="64">
        <v>1</v>
      </c>
      <c r="AS66" s="32"/>
      <c r="AT66" s="32"/>
      <c r="AU66" s="40"/>
      <c r="AV66" s="40"/>
      <c r="AW66" s="41"/>
      <c r="AX66" s="23"/>
      <c r="AZ66" s="40"/>
      <c r="BA66" s="40"/>
      <c r="BB66" s="41"/>
      <c r="BC66" s="42"/>
      <c r="BD66" s="42"/>
      <c r="BE66" s="42"/>
      <c r="BF66" s="42"/>
      <c r="BG66" s="42"/>
      <c r="BI66" s="38"/>
      <c r="BJ66" s="39"/>
      <c r="BK66" s="38"/>
      <c r="BL66" s="38"/>
      <c r="BM66" s="38"/>
    </row>
    <row r="67" spans="1:65" x14ac:dyDescent="0.25">
      <c r="A67" s="13">
        <v>5496</v>
      </c>
      <c r="B67" s="14" t="s">
        <v>205</v>
      </c>
      <c r="C67" s="16">
        <v>2957705.11</v>
      </c>
      <c r="D67" s="15">
        <v>251872.23</v>
      </c>
      <c r="E67" s="16">
        <v>0</v>
      </c>
      <c r="F67" s="15">
        <v>0</v>
      </c>
      <c r="G67" s="16">
        <v>139021.15</v>
      </c>
      <c r="H67" s="15">
        <v>10381.049999999999</v>
      </c>
      <c r="I67" s="16">
        <v>0</v>
      </c>
      <c r="J67" s="15">
        <v>76258.710000000006</v>
      </c>
      <c r="K67" s="17">
        <v>14793</v>
      </c>
      <c r="L67" s="16">
        <v>283908.09999999998</v>
      </c>
      <c r="M67" s="3">
        <f t="shared" si="0"/>
        <v>3733939.3499999996</v>
      </c>
      <c r="N67" s="15">
        <v>83371.55</v>
      </c>
      <c r="O67" s="16">
        <v>3987.5</v>
      </c>
      <c r="P67" s="15">
        <v>135281.9</v>
      </c>
      <c r="Q67" s="16">
        <v>17565.080000000002</v>
      </c>
      <c r="R67" s="15">
        <v>35484.400000000001</v>
      </c>
      <c r="S67" s="16">
        <v>150</v>
      </c>
      <c r="T67" s="15">
        <v>0</v>
      </c>
      <c r="U67" s="16">
        <v>9850</v>
      </c>
      <c r="V67" s="15">
        <v>0</v>
      </c>
      <c r="W67" s="16">
        <v>0</v>
      </c>
      <c r="X67" s="2">
        <f t="shared" si="2"/>
        <v>4019629.7799999993</v>
      </c>
      <c r="Y67" s="18">
        <v>78599.75</v>
      </c>
      <c r="Z67" s="25"/>
      <c r="AA67" s="18">
        <v>147406.5</v>
      </c>
      <c r="AB67" s="25"/>
      <c r="AC67" s="18">
        <v>116640</v>
      </c>
      <c r="AD67" s="25">
        <v>78696.05</v>
      </c>
      <c r="AE67" s="18"/>
      <c r="AF67" s="25"/>
      <c r="AG67" s="18">
        <v>3817.55</v>
      </c>
      <c r="AH67" s="25">
        <v>54297.95</v>
      </c>
      <c r="AI67" s="18"/>
      <c r="AJ67" s="25"/>
      <c r="AK67" s="18"/>
      <c r="AL67" s="68">
        <f t="shared" si="1"/>
        <v>479457.8</v>
      </c>
      <c r="AM67" s="33">
        <v>71</v>
      </c>
      <c r="AN67" s="34">
        <v>1666</v>
      </c>
      <c r="AO67" s="18">
        <v>-90244.6</v>
      </c>
      <c r="AP67" s="25"/>
      <c r="AQ67" s="18">
        <v>-47.78</v>
      </c>
      <c r="AR67" s="64">
        <v>1</v>
      </c>
      <c r="AS67" s="32"/>
      <c r="AT67" s="32"/>
      <c r="AU67" s="40"/>
      <c r="AV67" s="40"/>
      <c r="AW67" s="41"/>
      <c r="AX67" s="23"/>
      <c r="AZ67" s="40"/>
      <c r="BA67" s="40"/>
      <c r="BB67" s="41"/>
      <c r="BC67" s="42"/>
      <c r="BD67" s="42"/>
      <c r="BE67" s="42"/>
      <c r="BF67" s="42"/>
      <c r="BG67" s="42"/>
      <c r="BI67" s="38"/>
      <c r="BJ67" s="39"/>
      <c r="BK67" s="38"/>
      <c r="BL67" s="38"/>
      <c r="BM67" s="38"/>
    </row>
    <row r="68" spans="1:65" x14ac:dyDescent="0.25">
      <c r="A68" s="13">
        <v>5497</v>
      </c>
      <c r="B68" s="14" t="s">
        <v>206</v>
      </c>
      <c r="C68" s="16">
        <v>1049642.05</v>
      </c>
      <c r="D68" s="15">
        <v>98372.76</v>
      </c>
      <c r="E68" s="16">
        <v>0</v>
      </c>
      <c r="F68" s="15">
        <v>0</v>
      </c>
      <c r="G68" s="16">
        <v>11450.15</v>
      </c>
      <c r="H68" s="15">
        <v>314.05</v>
      </c>
      <c r="I68" s="16">
        <v>0</v>
      </c>
      <c r="J68" s="15">
        <v>84794.49</v>
      </c>
      <c r="K68" s="17">
        <v>5872</v>
      </c>
      <c r="L68" s="16">
        <v>113840.7</v>
      </c>
      <c r="M68" s="3">
        <f t="shared" si="0"/>
        <v>1364286.2</v>
      </c>
      <c r="N68" s="15">
        <v>228059.3</v>
      </c>
      <c r="O68" s="16">
        <v>0.2</v>
      </c>
      <c r="P68" s="15">
        <v>18095</v>
      </c>
      <c r="Q68" s="16">
        <v>3233.76</v>
      </c>
      <c r="R68" s="15">
        <v>6275.55</v>
      </c>
      <c r="S68" s="16">
        <v>62.5</v>
      </c>
      <c r="T68" s="15">
        <v>0</v>
      </c>
      <c r="U68" s="16">
        <v>2450</v>
      </c>
      <c r="V68" s="15">
        <v>0</v>
      </c>
      <c r="W68" s="16">
        <v>0</v>
      </c>
      <c r="X68" s="2">
        <f t="shared" si="2"/>
        <v>1622462.51</v>
      </c>
      <c r="Y68" s="18"/>
      <c r="Z68" s="25"/>
      <c r="AA68" s="18">
        <v>99332.7</v>
      </c>
      <c r="AB68" s="25"/>
      <c r="AC68" s="18">
        <v>89221.6</v>
      </c>
      <c r="AD68" s="25"/>
      <c r="AE68" s="18"/>
      <c r="AF68" s="25"/>
      <c r="AG68" s="18">
        <v>200</v>
      </c>
      <c r="AH68" s="25">
        <v>31906.25</v>
      </c>
      <c r="AI68" s="18"/>
      <c r="AJ68" s="25"/>
      <c r="AK68" s="18"/>
      <c r="AL68" s="68">
        <f t="shared" si="1"/>
        <v>220660.55</v>
      </c>
      <c r="AM68" s="33">
        <v>66</v>
      </c>
      <c r="AN68" s="34">
        <v>839</v>
      </c>
      <c r="AO68" s="18">
        <v>-27765.24</v>
      </c>
      <c r="AP68" s="25"/>
      <c r="AQ68" s="18">
        <v>0</v>
      </c>
      <c r="AR68" s="64">
        <v>1</v>
      </c>
      <c r="AS68" s="32"/>
      <c r="AT68" s="32"/>
      <c r="AU68" s="40"/>
      <c r="AV68" s="40"/>
      <c r="AW68" s="41"/>
      <c r="AX68" s="23"/>
      <c r="AZ68" s="40"/>
      <c r="BA68" s="40"/>
      <c r="BB68" s="41"/>
      <c r="BC68" s="42"/>
      <c r="BD68" s="42"/>
      <c r="BE68" s="42"/>
      <c r="BF68" s="42"/>
      <c r="BG68" s="42"/>
      <c r="BI68" s="38"/>
      <c r="BJ68" s="39"/>
      <c r="BK68" s="38"/>
      <c r="BL68" s="38"/>
      <c r="BM68" s="38"/>
    </row>
    <row r="69" spans="1:65" x14ac:dyDescent="0.25">
      <c r="A69" s="13">
        <v>5498</v>
      </c>
      <c r="B69" s="14" t="s">
        <v>207</v>
      </c>
      <c r="C69" s="16">
        <v>3592439.99</v>
      </c>
      <c r="D69" s="15">
        <v>359486.51</v>
      </c>
      <c r="E69" s="16">
        <v>0</v>
      </c>
      <c r="F69" s="15">
        <v>0</v>
      </c>
      <c r="G69" s="16">
        <v>186226</v>
      </c>
      <c r="H69" s="15">
        <v>897.1</v>
      </c>
      <c r="I69" s="16">
        <v>0</v>
      </c>
      <c r="J69" s="15">
        <v>187158.02</v>
      </c>
      <c r="K69" s="17">
        <v>18270</v>
      </c>
      <c r="L69" s="16">
        <v>346674.65</v>
      </c>
      <c r="M69" s="3">
        <f t="shared" si="0"/>
        <v>4691152.2700000005</v>
      </c>
      <c r="N69" s="15">
        <v>63242.7</v>
      </c>
      <c r="O69" s="16">
        <v>96580.1</v>
      </c>
      <c r="P69" s="15">
        <v>82984.100000000006</v>
      </c>
      <c r="Q69" s="16">
        <v>8022.55</v>
      </c>
      <c r="R69" s="15">
        <v>45468.9</v>
      </c>
      <c r="S69" s="16">
        <v>512.5</v>
      </c>
      <c r="T69" s="15">
        <v>0</v>
      </c>
      <c r="U69" s="16">
        <v>13800</v>
      </c>
      <c r="V69" s="15">
        <v>0</v>
      </c>
      <c r="W69" s="16">
        <v>0</v>
      </c>
      <c r="X69" s="2">
        <f t="shared" si="2"/>
        <v>5001763.12</v>
      </c>
      <c r="Y69" s="18">
        <v>6958.05</v>
      </c>
      <c r="Z69" s="25"/>
      <c r="AA69" s="18">
        <v>187060.55</v>
      </c>
      <c r="AB69" s="25"/>
      <c r="AC69" s="18">
        <v>183108.3</v>
      </c>
      <c r="AD69" s="25"/>
      <c r="AE69" s="18"/>
      <c r="AF69" s="25"/>
      <c r="AG69" s="18"/>
      <c r="AH69" s="25"/>
      <c r="AI69" s="18"/>
      <c r="AJ69" s="25"/>
      <c r="AK69" s="18"/>
      <c r="AL69" s="68">
        <f t="shared" si="1"/>
        <v>377126.89999999997</v>
      </c>
      <c r="AM69" s="33">
        <v>64</v>
      </c>
      <c r="AN69" s="34">
        <v>2510</v>
      </c>
      <c r="AO69" s="18">
        <v>-72176.23</v>
      </c>
      <c r="AP69" s="25"/>
      <c r="AQ69" s="18">
        <v>-14.68</v>
      </c>
      <c r="AR69" s="64">
        <v>1</v>
      </c>
      <c r="AS69" s="32"/>
      <c r="AT69" s="32"/>
      <c r="AU69" s="40"/>
      <c r="AV69" s="40"/>
      <c r="AW69" s="41"/>
      <c r="AX69" s="23"/>
      <c r="AZ69" s="40"/>
      <c r="BA69" s="40"/>
      <c r="BB69" s="41"/>
      <c r="BC69" s="42"/>
      <c r="BD69" s="42"/>
      <c r="BE69" s="42"/>
      <c r="BF69" s="42"/>
      <c r="BG69" s="42"/>
      <c r="BI69" s="38"/>
      <c r="BJ69" s="39"/>
      <c r="BK69" s="38"/>
      <c r="BL69" s="38"/>
      <c r="BM69" s="38"/>
    </row>
    <row r="70" spans="1:65" x14ac:dyDescent="0.25">
      <c r="A70" s="13">
        <v>5499</v>
      </c>
      <c r="B70" s="14" t="s">
        <v>208</v>
      </c>
      <c r="C70" s="16">
        <v>939859.26</v>
      </c>
      <c r="D70" s="15">
        <v>157534.42000000001</v>
      </c>
      <c r="E70" s="16">
        <v>0</v>
      </c>
      <c r="F70" s="15">
        <v>0</v>
      </c>
      <c r="G70" s="16">
        <v>-3291.1</v>
      </c>
      <c r="H70" s="15">
        <v>105.1</v>
      </c>
      <c r="I70" s="16">
        <v>0</v>
      </c>
      <c r="J70" s="15">
        <v>20897.740000000002</v>
      </c>
      <c r="K70" s="17">
        <v>0</v>
      </c>
      <c r="L70" s="16">
        <v>84317.1</v>
      </c>
      <c r="M70" s="3">
        <f t="shared" si="0"/>
        <v>1199422.52</v>
      </c>
      <c r="N70" s="15">
        <v>16414.05</v>
      </c>
      <c r="O70" s="16">
        <v>4904.2</v>
      </c>
      <c r="P70" s="15">
        <v>5170</v>
      </c>
      <c r="Q70" s="16">
        <v>0</v>
      </c>
      <c r="R70" s="15">
        <v>5639.3</v>
      </c>
      <c r="S70" s="16">
        <v>250</v>
      </c>
      <c r="T70" s="15">
        <v>0</v>
      </c>
      <c r="U70" s="16">
        <v>1250</v>
      </c>
      <c r="V70" s="15">
        <v>0</v>
      </c>
      <c r="W70" s="16">
        <v>0</v>
      </c>
      <c r="X70" s="2">
        <f t="shared" si="2"/>
        <v>1233050.07</v>
      </c>
      <c r="Y70" s="18">
        <v>32220</v>
      </c>
      <c r="Z70" s="25"/>
      <c r="AA70" s="18">
        <v>32220</v>
      </c>
      <c r="AB70" s="25"/>
      <c r="AC70" s="18">
        <v>32355.85</v>
      </c>
      <c r="AD70" s="25">
        <v>-6426.55</v>
      </c>
      <c r="AE70" s="18"/>
      <c r="AF70" s="25"/>
      <c r="AG70" s="18"/>
      <c r="AH70" s="25"/>
      <c r="AI70" s="18"/>
      <c r="AJ70" s="25"/>
      <c r="AK70" s="18"/>
      <c r="AL70" s="68">
        <f t="shared" si="1"/>
        <v>90369.3</v>
      </c>
      <c r="AM70" s="33">
        <v>68.5</v>
      </c>
      <c r="AN70" s="34">
        <v>435</v>
      </c>
      <c r="AO70" s="18">
        <v>-3005.26</v>
      </c>
      <c r="AP70" s="25"/>
      <c r="AQ70" s="18">
        <v>-471.45</v>
      </c>
      <c r="AR70" s="64">
        <v>1</v>
      </c>
      <c r="AS70" s="32"/>
      <c r="AT70" s="32"/>
      <c r="AU70" s="40"/>
      <c r="AV70" s="40"/>
      <c r="AW70" s="41"/>
      <c r="AX70" s="23"/>
      <c r="AZ70" s="40"/>
      <c r="BA70" s="40"/>
      <c r="BB70" s="41"/>
      <c r="BC70" s="42"/>
      <c r="BD70" s="42"/>
      <c r="BE70" s="42"/>
      <c r="BF70" s="42"/>
      <c r="BG70" s="42"/>
      <c r="BI70" s="38"/>
      <c r="BJ70" s="39"/>
      <c r="BK70" s="38"/>
      <c r="BL70" s="38"/>
      <c r="BM70" s="38"/>
    </row>
    <row r="71" spans="1:65" x14ac:dyDescent="0.25">
      <c r="A71" s="13">
        <v>5500</v>
      </c>
      <c r="B71" s="14" t="s">
        <v>209</v>
      </c>
      <c r="C71" s="16">
        <v>349129.86</v>
      </c>
      <c r="D71" s="15">
        <v>90625.86</v>
      </c>
      <c r="E71" s="16">
        <v>0</v>
      </c>
      <c r="F71" s="15">
        <v>0</v>
      </c>
      <c r="G71" s="16">
        <v>-4223.3500000000004</v>
      </c>
      <c r="H71" s="15">
        <v>139.65</v>
      </c>
      <c r="I71" s="16">
        <v>0</v>
      </c>
      <c r="J71" s="15">
        <v>7451.62</v>
      </c>
      <c r="K71" s="17">
        <v>98</v>
      </c>
      <c r="L71" s="16">
        <v>40284.15</v>
      </c>
      <c r="M71" s="3">
        <f t="shared" si="0"/>
        <v>483505.79000000004</v>
      </c>
      <c r="N71" s="15">
        <v>2675.3</v>
      </c>
      <c r="O71" s="16" t="s">
        <v>512</v>
      </c>
      <c r="P71" s="15">
        <v>1870</v>
      </c>
      <c r="Q71" s="16">
        <v>5406.24</v>
      </c>
      <c r="R71" s="15">
        <v>4375.05</v>
      </c>
      <c r="S71" s="16">
        <v>0</v>
      </c>
      <c r="T71" s="15">
        <v>0</v>
      </c>
      <c r="U71" s="16">
        <v>1450</v>
      </c>
      <c r="V71" s="15">
        <v>0</v>
      </c>
      <c r="W71" s="16">
        <v>0</v>
      </c>
      <c r="X71" s="2">
        <f t="shared" si="2"/>
        <v>499282.38</v>
      </c>
      <c r="Y71" s="18">
        <v>4537.45</v>
      </c>
      <c r="Z71" s="25">
        <v>2354</v>
      </c>
      <c r="AA71" s="18">
        <v>28024.55</v>
      </c>
      <c r="AB71" s="25"/>
      <c r="AC71" s="18">
        <v>17607.150000000001</v>
      </c>
      <c r="AD71" s="25">
        <v>2347.1999999999998</v>
      </c>
      <c r="AE71" s="18">
        <v>1284</v>
      </c>
      <c r="AF71" s="25"/>
      <c r="AG71" s="18"/>
      <c r="AH71" s="25"/>
      <c r="AI71" s="18"/>
      <c r="AJ71" s="25"/>
      <c r="AK71" s="18"/>
      <c r="AL71" s="68">
        <f t="shared" si="1"/>
        <v>56154.35</v>
      </c>
      <c r="AM71" s="33">
        <v>78</v>
      </c>
      <c r="AN71" s="34">
        <v>223</v>
      </c>
      <c r="AO71" s="18">
        <v>-5594.25</v>
      </c>
      <c r="AP71" s="25"/>
      <c r="AQ71" s="18">
        <v>-645.59</v>
      </c>
      <c r="AR71" s="64">
        <v>1.2</v>
      </c>
      <c r="AS71" s="32"/>
      <c r="AT71" s="32"/>
      <c r="AU71" s="40"/>
      <c r="AV71" s="40"/>
      <c r="AW71" s="41"/>
      <c r="AX71" s="23"/>
      <c r="AZ71" s="40"/>
      <c r="BA71" s="40"/>
      <c r="BB71" s="41"/>
      <c r="BC71" s="42"/>
      <c r="BD71" s="42"/>
      <c r="BE71" s="42"/>
      <c r="BF71" s="42"/>
      <c r="BG71" s="42"/>
      <c r="BI71" s="38"/>
      <c r="BJ71" s="39"/>
      <c r="BK71" s="38"/>
      <c r="BL71" s="38"/>
      <c r="BM71" s="38"/>
    </row>
    <row r="72" spans="1:65" x14ac:dyDescent="0.25">
      <c r="A72" s="13">
        <v>5501</v>
      </c>
      <c r="B72" s="14" t="s">
        <v>210</v>
      </c>
      <c r="C72" s="16">
        <v>2128900.67</v>
      </c>
      <c r="D72" s="15">
        <v>263084.59999999998</v>
      </c>
      <c r="E72" s="16">
        <v>0</v>
      </c>
      <c r="F72" s="15">
        <v>0</v>
      </c>
      <c r="G72" s="16">
        <v>91753.15</v>
      </c>
      <c r="H72" s="15">
        <v>314.3</v>
      </c>
      <c r="I72" s="16">
        <v>39573.949999999997</v>
      </c>
      <c r="J72" s="15">
        <v>39468.07</v>
      </c>
      <c r="K72" s="17">
        <v>0</v>
      </c>
      <c r="L72" s="16">
        <v>174011.4</v>
      </c>
      <c r="M72" s="3">
        <f t="shared" ref="M72:M135" si="3">SUM(C72:L72)</f>
        <v>2737106.1399999997</v>
      </c>
      <c r="N72" s="15">
        <v>8170</v>
      </c>
      <c r="O72" s="16">
        <v>191000</v>
      </c>
      <c r="P72" s="15">
        <v>137482.85</v>
      </c>
      <c r="Q72" s="16">
        <v>3120.86</v>
      </c>
      <c r="R72" s="15">
        <v>94033.85</v>
      </c>
      <c r="S72" s="16">
        <v>125</v>
      </c>
      <c r="T72" s="15">
        <v>0</v>
      </c>
      <c r="U72" s="16">
        <v>3150</v>
      </c>
      <c r="V72" s="15">
        <v>0</v>
      </c>
      <c r="W72" s="16">
        <v>0</v>
      </c>
      <c r="X72" s="2">
        <f t="shared" ref="X72:X135" si="4">SUM(M72:W72)</f>
        <v>3174188.6999999997</v>
      </c>
      <c r="Y72" s="18">
        <v>40400</v>
      </c>
      <c r="Z72" s="25">
        <v>1720</v>
      </c>
      <c r="AA72" s="18">
        <v>99113.4</v>
      </c>
      <c r="AB72" s="25"/>
      <c r="AC72" s="18">
        <v>103768.35</v>
      </c>
      <c r="AD72" s="25">
        <v>50500</v>
      </c>
      <c r="AE72" s="18">
        <v>4300</v>
      </c>
      <c r="AF72" s="25"/>
      <c r="AG72" s="18"/>
      <c r="AH72" s="25"/>
      <c r="AI72" s="18"/>
      <c r="AJ72" s="25"/>
      <c r="AK72" s="18"/>
      <c r="AL72" s="68">
        <f t="shared" ref="AL72:AL135" si="5">SUM(Y72:AK72)</f>
        <v>299801.75</v>
      </c>
      <c r="AM72" s="33">
        <v>72</v>
      </c>
      <c r="AN72" s="34">
        <v>902</v>
      </c>
      <c r="AO72" s="18">
        <v>-19387.240000000002</v>
      </c>
      <c r="AP72" s="25"/>
      <c r="AQ72" s="18">
        <v>-111.2</v>
      </c>
      <c r="AR72" s="64">
        <v>1</v>
      </c>
      <c r="AS72" s="32"/>
      <c r="AT72" s="32"/>
      <c r="AU72" s="40"/>
      <c r="AV72" s="40"/>
      <c r="AW72" s="41"/>
      <c r="AX72" s="23"/>
      <c r="AZ72" s="40"/>
      <c r="BA72" s="40"/>
      <c r="BB72" s="41"/>
      <c r="BC72" s="42"/>
      <c r="BD72" s="42"/>
      <c r="BE72" s="42"/>
      <c r="BF72" s="42"/>
      <c r="BG72" s="42"/>
      <c r="BI72" s="38"/>
      <c r="BJ72" s="39"/>
      <c r="BK72" s="38"/>
      <c r="BL72" s="38"/>
      <c r="BM72" s="38"/>
    </row>
    <row r="73" spans="1:65" x14ac:dyDescent="0.25">
      <c r="A73" s="13">
        <v>5503</v>
      </c>
      <c r="B73" s="14" t="s">
        <v>211</v>
      </c>
      <c r="C73" s="16">
        <v>2971749.09</v>
      </c>
      <c r="D73" s="15">
        <v>417208.45</v>
      </c>
      <c r="E73" s="16">
        <v>0</v>
      </c>
      <c r="F73" s="15">
        <v>0</v>
      </c>
      <c r="G73" s="16">
        <v>211119.35</v>
      </c>
      <c r="H73" s="15">
        <v>6544</v>
      </c>
      <c r="I73" s="16">
        <v>0</v>
      </c>
      <c r="J73" s="15">
        <v>43885.02</v>
      </c>
      <c r="K73" s="17">
        <v>4369</v>
      </c>
      <c r="L73" s="16">
        <v>354842.95</v>
      </c>
      <c r="M73" s="3">
        <f t="shared" si="3"/>
        <v>4009717.8600000003</v>
      </c>
      <c r="N73" s="15">
        <v>74771.25</v>
      </c>
      <c r="O73" s="16">
        <v>-68885</v>
      </c>
      <c r="P73" s="15">
        <v>108742.39999999999</v>
      </c>
      <c r="Q73" s="16">
        <v>-3117.8</v>
      </c>
      <c r="R73" s="15">
        <v>74809.2</v>
      </c>
      <c r="S73" s="16">
        <v>0</v>
      </c>
      <c r="T73" s="15">
        <v>0</v>
      </c>
      <c r="U73" s="16">
        <v>5440</v>
      </c>
      <c r="V73" s="15">
        <v>0</v>
      </c>
      <c r="W73" s="16">
        <v>0</v>
      </c>
      <c r="X73" s="2">
        <f t="shared" si="4"/>
        <v>4201477.91</v>
      </c>
      <c r="Y73" s="18">
        <v>43635.6</v>
      </c>
      <c r="Z73" s="25"/>
      <c r="AA73" s="18">
        <v>160812.71</v>
      </c>
      <c r="AB73" s="25"/>
      <c r="AC73" s="18">
        <v>78640</v>
      </c>
      <c r="AD73" s="25">
        <v>178103.07</v>
      </c>
      <c r="AE73" s="18"/>
      <c r="AF73" s="25"/>
      <c r="AG73" s="18"/>
      <c r="AH73" s="25"/>
      <c r="AI73" s="18"/>
      <c r="AJ73" s="25"/>
      <c r="AK73" s="18"/>
      <c r="AL73" s="68">
        <f t="shared" si="5"/>
        <v>461191.38</v>
      </c>
      <c r="AM73" s="33">
        <v>67</v>
      </c>
      <c r="AN73" s="34">
        <v>1226</v>
      </c>
      <c r="AO73" s="18">
        <v>-73772.95</v>
      </c>
      <c r="AP73" s="25"/>
      <c r="AQ73" s="18">
        <v>-216.16</v>
      </c>
      <c r="AR73" s="64">
        <v>1.2</v>
      </c>
      <c r="AS73" s="32"/>
      <c r="AT73" s="32"/>
      <c r="AU73" s="40"/>
      <c r="AV73" s="40"/>
      <c r="AW73" s="41"/>
      <c r="AX73" s="23"/>
      <c r="AZ73" s="40"/>
      <c r="BA73" s="40"/>
      <c r="BB73" s="41"/>
      <c r="BC73" s="42"/>
      <c r="BD73" s="42"/>
      <c r="BE73" s="42"/>
      <c r="BF73" s="42"/>
      <c r="BG73" s="42"/>
      <c r="BI73" s="38"/>
      <c r="BJ73" s="39"/>
      <c r="BK73" s="38"/>
      <c r="BL73" s="38"/>
      <c r="BM73" s="38"/>
    </row>
    <row r="74" spans="1:65" x14ac:dyDescent="0.25">
      <c r="A74" s="13">
        <v>5511</v>
      </c>
      <c r="B74" s="14" t="s">
        <v>212</v>
      </c>
      <c r="C74" s="16">
        <v>2094942.44</v>
      </c>
      <c r="D74" s="15">
        <v>224135.26</v>
      </c>
      <c r="E74" s="16">
        <v>0</v>
      </c>
      <c r="F74" s="15">
        <v>0</v>
      </c>
      <c r="G74" s="16">
        <v>305757.34999999998</v>
      </c>
      <c r="H74" s="15">
        <v>1166.95</v>
      </c>
      <c r="I74" s="16">
        <v>0</v>
      </c>
      <c r="J74" s="15">
        <v>19579.439999999999</v>
      </c>
      <c r="K74" s="17">
        <v>546</v>
      </c>
      <c r="L74" s="16">
        <v>202757.75</v>
      </c>
      <c r="M74" s="3">
        <f t="shared" si="3"/>
        <v>2848885.1900000004</v>
      </c>
      <c r="N74" s="15">
        <v>13088.8</v>
      </c>
      <c r="O74" s="16" t="s">
        <v>512</v>
      </c>
      <c r="P74" s="15">
        <v>62085.3</v>
      </c>
      <c r="Q74" s="16">
        <v>-5531.7</v>
      </c>
      <c r="R74" s="15">
        <v>84076.55</v>
      </c>
      <c r="S74" s="16">
        <v>0</v>
      </c>
      <c r="T74" s="15">
        <v>750</v>
      </c>
      <c r="U74" s="16">
        <v>11250</v>
      </c>
      <c r="V74" s="15">
        <v>0</v>
      </c>
      <c r="W74" s="16">
        <v>0</v>
      </c>
      <c r="X74" s="2">
        <f t="shared" si="4"/>
        <v>3014604.1399999997</v>
      </c>
      <c r="Y74" s="18">
        <v>15582.1</v>
      </c>
      <c r="Z74" s="25"/>
      <c r="AA74" s="18">
        <v>251308.25</v>
      </c>
      <c r="AB74" s="25"/>
      <c r="AC74" s="18">
        <v>110102.6</v>
      </c>
      <c r="AD74" s="25">
        <v>14727.8</v>
      </c>
      <c r="AE74" s="18"/>
      <c r="AF74" s="25"/>
      <c r="AG74" s="18"/>
      <c r="AH74" s="25">
        <v>30905.599999999999</v>
      </c>
      <c r="AI74" s="18"/>
      <c r="AJ74" s="25"/>
      <c r="AK74" s="18"/>
      <c r="AL74" s="68">
        <f t="shared" si="5"/>
        <v>422626.34999999992</v>
      </c>
      <c r="AM74" s="33">
        <v>70</v>
      </c>
      <c r="AN74" s="34">
        <v>1024</v>
      </c>
      <c r="AO74" s="18">
        <v>-58471.59</v>
      </c>
      <c r="AP74" s="25"/>
      <c r="AQ74" s="18">
        <v>-30.35</v>
      </c>
      <c r="AR74" s="64">
        <v>1</v>
      </c>
      <c r="AS74" s="32"/>
      <c r="AT74" s="32"/>
      <c r="AU74" s="40"/>
      <c r="AV74" s="40"/>
      <c r="AW74" s="41"/>
      <c r="AX74" s="23"/>
      <c r="AZ74" s="40"/>
      <c r="BA74" s="40"/>
      <c r="BB74" s="41"/>
      <c r="BC74" s="42"/>
      <c r="BD74" s="42"/>
      <c r="BE74" s="42"/>
      <c r="BF74" s="42"/>
      <c r="BG74" s="42"/>
      <c r="BI74" s="38"/>
      <c r="BJ74" s="39"/>
      <c r="BK74" s="38"/>
      <c r="BL74" s="38"/>
      <c r="BM74" s="38"/>
    </row>
    <row r="75" spans="1:65" x14ac:dyDescent="0.25">
      <c r="A75" s="13">
        <v>5512</v>
      </c>
      <c r="B75" s="14" t="s">
        <v>213</v>
      </c>
      <c r="C75" s="16">
        <v>2235996.06</v>
      </c>
      <c r="D75" s="15">
        <v>286306.45</v>
      </c>
      <c r="E75" s="16">
        <v>0</v>
      </c>
      <c r="F75" s="15">
        <v>0</v>
      </c>
      <c r="G75" s="16">
        <v>55652.3</v>
      </c>
      <c r="H75" s="15">
        <v>515.04999999999995</v>
      </c>
      <c r="I75" s="16">
        <v>0</v>
      </c>
      <c r="J75" s="15">
        <v>61006.65</v>
      </c>
      <c r="K75" s="17">
        <v>9285</v>
      </c>
      <c r="L75" s="16">
        <v>217022.05</v>
      </c>
      <c r="M75" s="3">
        <f t="shared" si="3"/>
        <v>2865783.5599999996</v>
      </c>
      <c r="N75" s="15">
        <v>25180.2</v>
      </c>
      <c r="O75" s="16">
        <v>8492.5</v>
      </c>
      <c r="P75" s="15">
        <v>37806.949999999997</v>
      </c>
      <c r="Q75" s="16">
        <v>67858.2</v>
      </c>
      <c r="R75" s="15">
        <v>37265.599999999999</v>
      </c>
      <c r="S75" s="16">
        <v>3025.2</v>
      </c>
      <c r="T75" s="15">
        <v>0</v>
      </c>
      <c r="U75" s="16">
        <v>8450</v>
      </c>
      <c r="V75" s="15">
        <v>0</v>
      </c>
      <c r="W75" s="16">
        <v>0</v>
      </c>
      <c r="X75" s="2">
        <f t="shared" si="4"/>
        <v>3053862.2100000004</v>
      </c>
      <c r="Y75" s="18"/>
      <c r="Z75" s="25"/>
      <c r="AA75" s="18">
        <v>233882.45</v>
      </c>
      <c r="AB75" s="25"/>
      <c r="AC75" s="18">
        <v>146664</v>
      </c>
      <c r="AD75" s="25"/>
      <c r="AE75" s="18"/>
      <c r="AF75" s="25"/>
      <c r="AG75" s="18"/>
      <c r="AH75" s="25"/>
      <c r="AI75" s="18"/>
      <c r="AJ75" s="25"/>
      <c r="AK75" s="18"/>
      <c r="AL75" s="68">
        <f t="shared" si="5"/>
        <v>380546.45</v>
      </c>
      <c r="AM75" s="33">
        <v>79</v>
      </c>
      <c r="AN75" s="34">
        <v>1143</v>
      </c>
      <c r="AO75" s="18">
        <v>-40446.65</v>
      </c>
      <c r="AP75" s="25"/>
      <c r="AQ75" s="18">
        <v>0</v>
      </c>
      <c r="AR75" s="64">
        <v>1</v>
      </c>
      <c r="AS75" s="32"/>
      <c r="AT75" s="32"/>
      <c r="AU75" s="40"/>
      <c r="AV75" s="40"/>
      <c r="AW75" s="41"/>
      <c r="AX75" s="23"/>
      <c r="AZ75" s="40"/>
      <c r="BA75" s="40"/>
      <c r="BB75" s="41"/>
      <c r="BC75" s="42"/>
      <c r="BD75" s="42"/>
      <c r="BE75" s="42"/>
      <c r="BF75" s="42"/>
      <c r="BG75" s="42"/>
      <c r="BI75" s="38"/>
      <c r="BJ75" s="39"/>
      <c r="BK75" s="38"/>
      <c r="BL75" s="38"/>
      <c r="BM75" s="38"/>
    </row>
    <row r="76" spans="1:65" x14ac:dyDescent="0.25">
      <c r="A76" s="13">
        <v>5513</v>
      </c>
      <c r="B76" s="14" t="s">
        <v>214</v>
      </c>
      <c r="C76" s="16">
        <v>892453.54</v>
      </c>
      <c r="D76" s="15">
        <v>88787.7</v>
      </c>
      <c r="E76" s="16">
        <v>0</v>
      </c>
      <c r="F76" s="15">
        <v>0</v>
      </c>
      <c r="G76" s="16">
        <v>853290.55</v>
      </c>
      <c r="H76" s="15">
        <v>22344.15</v>
      </c>
      <c r="I76" s="16">
        <v>0</v>
      </c>
      <c r="J76" s="15">
        <v>73380.3</v>
      </c>
      <c r="K76" s="17">
        <v>1908.5</v>
      </c>
      <c r="L76" s="16">
        <v>46961.25</v>
      </c>
      <c r="M76" s="3">
        <f t="shared" si="3"/>
        <v>1979125.99</v>
      </c>
      <c r="N76" s="15">
        <v>61512.9</v>
      </c>
      <c r="O76" s="16">
        <v>349585.3</v>
      </c>
      <c r="P76" s="15">
        <v>28527.9</v>
      </c>
      <c r="Q76" s="16">
        <v>13483.26</v>
      </c>
      <c r="R76" s="15">
        <v>12042.7</v>
      </c>
      <c r="S76" s="16">
        <v>0</v>
      </c>
      <c r="T76" s="15">
        <v>724</v>
      </c>
      <c r="U76" s="16">
        <v>0</v>
      </c>
      <c r="V76" s="15">
        <v>0</v>
      </c>
      <c r="W76" s="16">
        <v>0</v>
      </c>
      <c r="X76" s="2">
        <f t="shared" si="4"/>
        <v>2445002.0499999998</v>
      </c>
      <c r="Y76" s="18"/>
      <c r="Z76" s="25">
        <v>1840</v>
      </c>
      <c r="AA76" s="18">
        <v>67495</v>
      </c>
      <c r="AB76" s="25"/>
      <c r="AC76" s="18">
        <v>35062.449999999997</v>
      </c>
      <c r="AD76" s="25">
        <v>14675</v>
      </c>
      <c r="AE76" s="18"/>
      <c r="AF76" s="25"/>
      <c r="AG76" s="18"/>
      <c r="AH76" s="25"/>
      <c r="AI76" s="18"/>
      <c r="AJ76" s="25"/>
      <c r="AK76" s="18"/>
      <c r="AL76" s="68">
        <f t="shared" si="5"/>
        <v>119072.45</v>
      </c>
      <c r="AM76" s="33">
        <v>66</v>
      </c>
      <c r="AN76" s="34">
        <v>460</v>
      </c>
      <c r="AO76" s="18">
        <v>-26171.95</v>
      </c>
      <c r="AP76" s="25"/>
      <c r="AQ76" s="18">
        <v>-0.02</v>
      </c>
      <c r="AR76" s="64">
        <v>0.5</v>
      </c>
      <c r="AS76" s="32"/>
      <c r="AT76" s="32"/>
      <c r="AU76" s="40"/>
      <c r="AV76" s="40"/>
      <c r="AW76" s="41"/>
      <c r="AX76" s="23"/>
      <c r="AZ76" s="40"/>
      <c r="BA76" s="40"/>
      <c r="BB76" s="41"/>
      <c r="BC76" s="42"/>
      <c r="BD76" s="42"/>
      <c r="BE76" s="42"/>
      <c r="BF76" s="42"/>
      <c r="BG76" s="42"/>
      <c r="BI76" s="38"/>
      <c r="BJ76" s="39"/>
      <c r="BK76" s="38"/>
      <c r="BL76" s="38"/>
      <c r="BM76" s="38"/>
    </row>
    <row r="77" spans="1:65" x14ac:dyDescent="0.25">
      <c r="A77" s="13">
        <v>5514</v>
      </c>
      <c r="B77" s="14" t="s">
        <v>215</v>
      </c>
      <c r="C77" s="16">
        <v>2371206</v>
      </c>
      <c r="D77" s="15">
        <v>274900.42</v>
      </c>
      <c r="E77" s="16">
        <v>0</v>
      </c>
      <c r="F77" s="15">
        <v>0</v>
      </c>
      <c r="G77" s="16">
        <v>30270.7</v>
      </c>
      <c r="H77" s="15">
        <v>6117.95</v>
      </c>
      <c r="I77" s="16">
        <v>25573.05</v>
      </c>
      <c r="J77" s="15">
        <v>69704.070000000007</v>
      </c>
      <c r="K77" s="17">
        <v>4847</v>
      </c>
      <c r="L77" s="16">
        <v>138593.1</v>
      </c>
      <c r="M77" s="3">
        <f t="shared" si="3"/>
        <v>2921212.29</v>
      </c>
      <c r="N77" s="15">
        <v>6672.8</v>
      </c>
      <c r="O77" s="16">
        <v>2062.5</v>
      </c>
      <c r="P77" s="15">
        <v>68318.850000000006</v>
      </c>
      <c r="Q77" s="16">
        <v>0</v>
      </c>
      <c r="R77" s="15">
        <v>64064.5</v>
      </c>
      <c r="S77" s="16">
        <v>0</v>
      </c>
      <c r="T77" s="15">
        <v>0</v>
      </c>
      <c r="U77" s="16">
        <v>8760</v>
      </c>
      <c r="V77" s="15">
        <v>0</v>
      </c>
      <c r="W77" s="16">
        <v>0</v>
      </c>
      <c r="X77" s="2">
        <f t="shared" si="4"/>
        <v>3071090.94</v>
      </c>
      <c r="Y77" s="18">
        <v>4020</v>
      </c>
      <c r="Z77" s="25"/>
      <c r="AA77" s="18">
        <v>250608.5</v>
      </c>
      <c r="AB77" s="25"/>
      <c r="AC77" s="18">
        <v>48505</v>
      </c>
      <c r="AD77" s="25">
        <v>1525.5</v>
      </c>
      <c r="AE77" s="18"/>
      <c r="AF77" s="25"/>
      <c r="AG77" s="18"/>
      <c r="AH77" s="25">
        <v>24927.65</v>
      </c>
      <c r="AI77" s="18"/>
      <c r="AJ77" s="25"/>
      <c r="AK77" s="18"/>
      <c r="AL77" s="68">
        <f t="shared" si="5"/>
        <v>329586.65000000002</v>
      </c>
      <c r="AM77" s="33">
        <v>69</v>
      </c>
      <c r="AN77" s="34">
        <v>1281</v>
      </c>
      <c r="AO77" s="18">
        <v>-24146.69</v>
      </c>
      <c r="AP77" s="25"/>
      <c r="AQ77" s="18">
        <v>-85.13</v>
      </c>
      <c r="AR77" s="64">
        <v>0.7</v>
      </c>
      <c r="AS77" s="32"/>
      <c r="AT77" s="32"/>
      <c r="AU77" s="40"/>
      <c r="AV77" s="40"/>
      <c r="AW77" s="41"/>
      <c r="AX77" s="23"/>
      <c r="AZ77" s="40"/>
      <c r="BA77" s="40"/>
      <c r="BB77" s="41"/>
      <c r="BC77" s="42"/>
      <c r="BD77" s="42"/>
      <c r="BE77" s="42"/>
      <c r="BF77" s="42"/>
      <c r="BG77" s="42"/>
      <c r="BI77" s="38"/>
      <c r="BJ77" s="39"/>
      <c r="BK77" s="38"/>
      <c r="BL77" s="38"/>
      <c r="BM77" s="38"/>
    </row>
    <row r="78" spans="1:65" x14ac:dyDescent="0.25">
      <c r="A78" s="13">
        <v>5515</v>
      </c>
      <c r="B78" s="14" t="s">
        <v>216</v>
      </c>
      <c r="C78" s="16">
        <v>1352556.04</v>
      </c>
      <c r="D78" s="15">
        <v>150593.97</v>
      </c>
      <c r="E78" s="16">
        <v>0</v>
      </c>
      <c r="F78" s="15">
        <v>0</v>
      </c>
      <c r="G78" s="16">
        <v>11581.65</v>
      </c>
      <c r="H78" s="15">
        <v>414.2</v>
      </c>
      <c r="I78" s="16">
        <v>0</v>
      </c>
      <c r="J78" s="15">
        <v>37923.279999999999</v>
      </c>
      <c r="K78" s="17">
        <v>3080</v>
      </c>
      <c r="L78" s="16">
        <v>65784.399999999994</v>
      </c>
      <c r="M78" s="3">
        <f t="shared" si="3"/>
        <v>1621933.5399999998</v>
      </c>
      <c r="N78" s="15">
        <v>16844.45</v>
      </c>
      <c r="O78" s="16" t="s">
        <v>512</v>
      </c>
      <c r="P78" s="15">
        <v>86284</v>
      </c>
      <c r="Q78" s="16">
        <v>2726.19</v>
      </c>
      <c r="R78" s="15">
        <v>107882.4</v>
      </c>
      <c r="S78" s="16">
        <v>0</v>
      </c>
      <c r="T78" s="15">
        <v>0</v>
      </c>
      <c r="U78" s="16">
        <v>5400</v>
      </c>
      <c r="V78" s="15">
        <v>0</v>
      </c>
      <c r="W78" s="16">
        <v>0</v>
      </c>
      <c r="X78" s="2">
        <f t="shared" si="4"/>
        <v>1841070.5799999996</v>
      </c>
      <c r="Y78" s="18"/>
      <c r="Z78" s="25"/>
      <c r="AA78" s="18"/>
      <c r="AB78" s="25"/>
      <c r="AC78" s="18"/>
      <c r="AD78" s="25"/>
      <c r="AE78" s="18"/>
      <c r="AF78" s="25"/>
      <c r="AG78" s="18"/>
      <c r="AH78" s="25"/>
      <c r="AI78" s="18"/>
      <c r="AJ78" s="25"/>
      <c r="AK78" s="18"/>
      <c r="AL78" s="68">
        <f t="shared" si="5"/>
        <v>0</v>
      </c>
      <c r="AM78" s="33">
        <v>73</v>
      </c>
      <c r="AN78" s="34">
        <v>785</v>
      </c>
      <c r="AO78" s="18">
        <v>-68110.19</v>
      </c>
      <c r="AP78" s="25"/>
      <c r="AQ78" s="18">
        <v>-6.04</v>
      </c>
      <c r="AR78" s="64">
        <v>0.5</v>
      </c>
      <c r="AS78" s="32"/>
      <c r="AT78" s="32"/>
      <c r="AU78" s="40"/>
      <c r="AV78" s="40"/>
      <c r="AW78" s="41"/>
      <c r="AX78" s="23"/>
      <c r="AZ78" s="40"/>
      <c r="BA78" s="40"/>
      <c r="BB78" s="41"/>
      <c r="BC78" s="42"/>
      <c r="BD78" s="42"/>
      <c r="BE78" s="42"/>
      <c r="BF78" s="42"/>
      <c r="BG78" s="42"/>
      <c r="BI78" s="38"/>
      <c r="BJ78" s="39"/>
      <c r="BK78" s="38"/>
      <c r="BL78" s="38"/>
      <c r="BM78" s="38"/>
    </row>
    <row r="79" spans="1:65" x14ac:dyDescent="0.25">
      <c r="A79" s="13">
        <v>5516</v>
      </c>
      <c r="B79" s="14" t="s">
        <v>217</v>
      </c>
      <c r="C79" s="16">
        <v>6371897.46</v>
      </c>
      <c r="D79" s="15">
        <v>714366.27</v>
      </c>
      <c r="E79" s="16">
        <v>0</v>
      </c>
      <c r="F79" s="15">
        <v>0</v>
      </c>
      <c r="G79" s="16">
        <v>178719.75</v>
      </c>
      <c r="H79" s="15">
        <v>2168.0500000000002</v>
      </c>
      <c r="I79" s="16">
        <v>218.84</v>
      </c>
      <c r="J79" s="15">
        <v>189034.79</v>
      </c>
      <c r="K79" s="17">
        <v>28472.5</v>
      </c>
      <c r="L79" s="16">
        <v>518580.95</v>
      </c>
      <c r="M79" s="3">
        <f t="shared" si="3"/>
        <v>8003458.6100000003</v>
      </c>
      <c r="N79" s="15">
        <v>85519.05</v>
      </c>
      <c r="O79" s="16">
        <v>18121.7</v>
      </c>
      <c r="P79" s="15">
        <v>150692.95000000001</v>
      </c>
      <c r="Q79" s="16">
        <v>9648.5400000000009</v>
      </c>
      <c r="R79" s="15">
        <v>102025.25</v>
      </c>
      <c r="S79" s="16">
        <v>0</v>
      </c>
      <c r="T79" s="15">
        <v>0</v>
      </c>
      <c r="U79" s="16">
        <v>14950</v>
      </c>
      <c r="V79" s="15">
        <v>0</v>
      </c>
      <c r="W79" s="16">
        <v>0</v>
      </c>
      <c r="X79" s="2">
        <f t="shared" si="4"/>
        <v>8384416.1000000006</v>
      </c>
      <c r="Y79" s="18">
        <v>70807</v>
      </c>
      <c r="Z79" s="25"/>
      <c r="AA79" s="18">
        <v>479118</v>
      </c>
      <c r="AB79" s="25"/>
      <c r="AC79" s="18">
        <v>201570.95</v>
      </c>
      <c r="AD79" s="25">
        <v>97508.7</v>
      </c>
      <c r="AE79" s="18"/>
      <c r="AF79" s="25"/>
      <c r="AG79" s="18"/>
      <c r="AH79" s="25">
        <v>74480.649999999994</v>
      </c>
      <c r="AI79" s="18"/>
      <c r="AJ79" s="25"/>
      <c r="AK79" s="18"/>
      <c r="AL79" s="68">
        <f t="shared" si="5"/>
        <v>923485.29999999993</v>
      </c>
      <c r="AM79" s="33">
        <v>67</v>
      </c>
      <c r="AN79" s="34">
        <v>2738</v>
      </c>
      <c r="AO79" s="18">
        <v>-131155.63</v>
      </c>
      <c r="AP79" s="25"/>
      <c r="AQ79" s="18">
        <v>-647.77</v>
      </c>
      <c r="AR79" s="64">
        <v>1</v>
      </c>
      <c r="AS79" s="32"/>
      <c r="AT79" s="32"/>
      <c r="AU79" s="40"/>
      <c r="AV79" s="40"/>
      <c r="AW79" s="41"/>
      <c r="AX79" s="23"/>
      <c r="AZ79" s="40"/>
      <c r="BA79" s="40"/>
      <c r="BB79" s="41"/>
      <c r="BC79" s="42"/>
      <c r="BD79" s="42"/>
      <c r="BE79" s="42"/>
      <c r="BF79" s="42"/>
      <c r="BG79" s="42"/>
      <c r="BI79" s="38"/>
      <c r="BJ79" s="39"/>
      <c r="BK79" s="38"/>
      <c r="BL79" s="38"/>
      <c r="BM79" s="38"/>
    </row>
    <row r="80" spans="1:65" x14ac:dyDescent="0.25">
      <c r="A80" s="13">
        <v>5518</v>
      </c>
      <c r="B80" s="14" t="s">
        <v>218</v>
      </c>
      <c r="C80" s="16">
        <v>9794021.6699999999</v>
      </c>
      <c r="D80" s="15">
        <v>960949.57</v>
      </c>
      <c r="E80" s="16">
        <v>0</v>
      </c>
      <c r="F80" s="15">
        <v>0</v>
      </c>
      <c r="G80" s="16">
        <v>1129744.5</v>
      </c>
      <c r="H80" s="15">
        <v>121800.85</v>
      </c>
      <c r="I80" s="16">
        <v>0</v>
      </c>
      <c r="J80" s="15">
        <v>286693.37</v>
      </c>
      <c r="K80" s="17">
        <v>60894.5</v>
      </c>
      <c r="L80" s="16">
        <v>879513.9</v>
      </c>
      <c r="M80" s="3">
        <f t="shared" si="3"/>
        <v>13233618.359999999</v>
      </c>
      <c r="N80" s="15">
        <v>187321.7</v>
      </c>
      <c r="O80" s="16">
        <v>143553.1</v>
      </c>
      <c r="P80" s="15">
        <v>368202.4</v>
      </c>
      <c r="Q80" s="16">
        <v>105534.09</v>
      </c>
      <c r="R80" s="15">
        <v>417096.55</v>
      </c>
      <c r="S80" s="16">
        <v>1512.5</v>
      </c>
      <c r="T80" s="15">
        <v>3249.5</v>
      </c>
      <c r="U80" s="16">
        <v>17675</v>
      </c>
      <c r="V80" s="15">
        <v>0</v>
      </c>
      <c r="W80" s="16">
        <v>1470.7</v>
      </c>
      <c r="X80" s="2">
        <f t="shared" si="4"/>
        <v>14479233.899999999</v>
      </c>
      <c r="Y80" s="18">
        <v>57751.7</v>
      </c>
      <c r="Z80" s="25"/>
      <c r="AA80" s="18">
        <v>1011130.7</v>
      </c>
      <c r="AB80" s="25"/>
      <c r="AC80" s="18">
        <v>534317.15</v>
      </c>
      <c r="AD80" s="25">
        <v>30740.1</v>
      </c>
      <c r="AE80" s="18"/>
      <c r="AF80" s="25"/>
      <c r="AG80" s="18"/>
      <c r="AH80" s="25"/>
      <c r="AI80" s="18"/>
      <c r="AJ80" s="25"/>
      <c r="AK80" s="18"/>
      <c r="AL80" s="68">
        <f t="shared" si="5"/>
        <v>1633939.65</v>
      </c>
      <c r="AM80" s="33">
        <v>74</v>
      </c>
      <c r="AN80" s="34">
        <v>5485</v>
      </c>
      <c r="AO80" s="18">
        <v>-524726.25</v>
      </c>
      <c r="AP80" s="25"/>
      <c r="AQ80" s="18">
        <v>-864.04</v>
      </c>
      <c r="AR80" s="64">
        <v>1</v>
      </c>
      <c r="AS80" s="32"/>
      <c r="AT80" s="32"/>
      <c r="AU80" s="40"/>
      <c r="AV80" s="40"/>
      <c r="AW80" s="41"/>
      <c r="AX80" s="23"/>
      <c r="AZ80" s="40"/>
      <c r="BA80" s="40"/>
      <c r="BB80" s="41"/>
      <c r="BC80" s="42"/>
      <c r="BD80" s="42"/>
      <c r="BE80" s="42"/>
      <c r="BF80" s="42"/>
      <c r="BG80" s="42"/>
      <c r="BI80" s="38"/>
      <c r="BJ80" s="39"/>
      <c r="BK80" s="38"/>
      <c r="BL80" s="38"/>
      <c r="BM80" s="38"/>
    </row>
    <row r="81" spans="1:65" x14ac:dyDescent="0.25">
      <c r="A81" s="13">
        <v>5520</v>
      </c>
      <c r="B81" s="14" t="s">
        <v>219</v>
      </c>
      <c r="C81" s="16">
        <v>1641161.07</v>
      </c>
      <c r="D81" s="15">
        <v>228623.86</v>
      </c>
      <c r="E81" s="16">
        <v>0</v>
      </c>
      <c r="F81" s="15">
        <v>0</v>
      </c>
      <c r="G81" s="16">
        <v>34051</v>
      </c>
      <c r="H81" s="15">
        <v>1242.4000000000001</v>
      </c>
      <c r="I81" s="16">
        <v>0</v>
      </c>
      <c r="J81" s="15">
        <v>26734.720000000001</v>
      </c>
      <c r="K81" s="17">
        <v>1353</v>
      </c>
      <c r="L81" s="16">
        <v>160714.4</v>
      </c>
      <c r="M81" s="3">
        <f t="shared" si="3"/>
        <v>2093880.45</v>
      </c>
      <c r="N81" s="15">
        <v>10971.6</v>
      </c>
      <c r="O81" s="16" t="s">
        <v>512</v>
      </c>
      <c r="P81" s="15">
        <v>78880.25</v>
      </c>
      <c r="Q81" s="16">
        <v>30544.400000000001</v>
      </c>
      <c r="R81" s="15">
        <v>53074.7</v>
      </c>
      <c r="S81" s="16">
        <v>62.5</v>
      </c>
      <c r="T81" s="15">
        <v>850</v>
      </c>
      <c r="U81" s="16">
        <v>6500</v>
      </c>
      <c r="V81" s="15">
        <v>0</v>
      </c>
      <c r="W81" s="16">
        <v>0</v>
      </c>
      <c r="X81" s="2">
        <f t="shared" si="4"/>
        <v>2274763.9</v>
      </c>
      <c r="Y81" s="18">
        <v>11552.85</v>
      </c>
      <c r="Z81" s="25">
        <v>61169.25</v>
      </c>
      <c r="AA81" s="18">
        <v>86847.85</v>
      </c>
      <c r="AB81" s="25"/>
      <c r="AC81" s="18">
        <v>41849.550000000003</v>
      </c>
      <c r="AD81" s="25">
        <v>8179.55</v>
      </c>
      <c r="AE81" s="18">
        <v>29034.35</v>
      </c>
      <c r="AF81" s="25"/>
      <c r="AG81" s="18"/>
      <c r="AH81" s="25"/>
      <c r="AI81" s="18"/>
      <c r="AJ81" s="25"/>
      <c r="AK81" s="18"/>
      <c r="AL81" s="68">
        <f t="shared" si="5"/>
        <v>238633.4</v>
      </c>
      <c r="AM81" s="33">
        <v>73</v>
      </c>
      <c r="AN81" s="34">
        <v>908</v>
      </c>
      <c r="AO81" s="18">
        <v>-69369.039999999994</v>
      </c>
      <c r="AP81" s="25"/>
      <c r="AQ81" s="18">
        <v>-12276.08</v>
      </c>
      <c r="AR81" s="64">
        <v>1</v>
      </c>
      <c r="AS81" s="32"/>
      <c r="AT81" s="32"/>
      <c r="AU81" s="40"/>
      <c r="AV81" s="40"/>
      <c r="AW81" s="41"/>
      <c r="AX81" s="23"/>
      <c r="AZ81" s="40"/>
      <c r="BA81" s="40"/>
      <c r="BB81" s="41"/>
      <c r="BC81" s="42"/>
      <c r="BD81" s="42"/>
      <c r="BE81" s="42"/>
      <c r="BF81" s="42"/>
      <c r="BG81" s="42"/>
      <c r="BI81" s="38"/>
      <c r="BJ81" s="39"/>
      <c r="BK81" s="38"/>
      <c r="BL81" s="38"/>
      <c r="BM81" s="38"/>
    </row>
    <row r="82" spans="1:65" x14ac:dyDescent="0.25">
      <c r="A82" s="13">
        <v>5521</v>
      </c>
      <c r="B82" s="14" t="s">
        <v>220</v>
      </c>
      <c r="C82" s="16">
        <v>2095220.95</v>
      </c>
      <c r="D82" s="15">
        <v>199911.95</v>
      </c>
      <c r="E82" s="16">
        <v>0</v>
      </c>
      <c r="F82" s="15">
        <v>0</v>
      </c>
      <c r="G82" s="16">
        <v>101039.25</v>
      </c>
      <c r="H82" s="15">
        <v>1562.4</v>
      </c>
      <c r="I82" s="16">
        <v>0</v>
      </c>
      <c r="J82" s="15">
        <v>78317.97</v>
      </c>
      <c r="K82" s="17">
        <v>-4732.5</v>
      </c>
      <c r="L82" s="16">
        <v>217532.5</v>
      </c>
      <c r="M82" s="3">
        <f t="shared" si="3"/>
        <v>2688852.52</v>
      </c>
      <c r="N82" s="15">
        <v>54331.05</v>
      </c>
      <c r="O82" s="16">
        <v>6019.2</v>
      </c>
      <c r="P82" s="15">
        <v>135890.5</v>
      </c>
      <c r="Q82" s="16">
        <v>210</v>
      </c>
      <c r="R82" s="15">
        <v>61308.4</v>
      </c>
      <c r="S82" s="16">
        <v>125</v>
      </c>
      <c r="T82" s="15">
        <v>0</v>
      </c>
      <c r="U82" s="16">
        <v>0</v>
      </c>
      <c r="V82" s="15">
        <v>0</v>
      </c>
      <c r="W82" s="16">
        <v>0</v>
      </c>
      <c r="X82" s="2">
        <f t="shared" si="4"/>
        <v>2946736.67</v>
      </c>
      <c r="Y82" s="18">
        <v>13040</v>
      </c>
      <c r="Z82" s="25"/>
      <c r="AA82" s="18">
        <v>220562.44</v>
      </c>
      <c r="AB82" s="25"/>
      <c r="AC82" s="18">
        <v>182237.63</v>
      </c>
      <c r="AD82" s="25"/>
      <c r="AE82" s="18"/>
      <c r="AF82" s="25"/>
      <c r="AG82" s="18"/>
      <c r="AH82" s="25">
        <v>31663.5</v>
      </c>
      <c r="AI82" s="18"/>
      <c r="AJ82" s="25"/>
      <c r="AK82" s="18"/>
      <c r="AL82" s="68">
        <f t="shared" si="5"/>
        <v>447503.57</v>
      </c>
      <c r="AM82" s="33">
        <v>73</v>
      </c>
      <c r="AN82" s="34">
        <v>1106</v>
      </c>
      <c r="AO82" s="18">
        <v>-39130.019999999997</v>
      </c>
      <c r="AP82" s="25"/>
      <c r="AQ82" s="18">
        <v>-19.440000000000001</v>
      </c>
      <c r="AR82" s="64">
        <v>1</v>
      </c>
      <c r="AS82" s="32"/>
      <c r="AT82" s="32"/>
      <c r="AU82" s="40"/>
      <c r="AV82" s="40"/>
      <c r="AW82" s="41"/>
      <c r="AX82" s="23"/>
      <c r="AZ82" s="40"/>
      <c r="BA82" s="40"/>
      <c r="BB82" s="41"/>
      <c r="BC82" s="42"/>
      <c r="BD82" s="42"/>
      <c r="BE82" s="42"/>
      <c r="BF82" s="42"/>
      <c r="BG82" s="42"/>
      <c r="BI82" s="38"/>
      <c r="BJ82" s="39"/>
      <c r="BK82" s="38"/>
      <c r="BL82" s="38"/>
      <c r="BM82" s="38"/>
    </row>
    <row r="83" spans="1:65" x14ac:dyDescent="0.25">
      <c r="A83" s="13">
        <v>5522</v>
      </c>
      <c r="B83" s="14" t="s">
        <v>221</v>
      </c>
      <c r="C83" s="16">
        <v>1026942.52</v>
      </c>
      <c r="D83" s="15">
        <v>121937.43</v>
      </c>
      <c r="E83" s="16">
        <v>0</v>
      </c>
      <c r="F83" s="15">
        <v>0</v>
      </c>
      <c r="G83" s="16">
        <v>23521.8</v>
      </c>
      <c r="H83" s="15">
        <v>112.25</v>
      </c>
      <c r="I83" s="16">
        <v>0</v>
      </c>
      <c r="J83" s="15">
        <v>15252.26</v>
      </c>
      <c r="K83" s="17">
        <v>916</v>
      </c>
      <c r="L83" s="16">
        <v>103600.7</v>
      </c>
      <c r="M83" s="3">
        <f t="shared" si="3"/>
        <v>1292282.96</v>
      </c>
      <c r="N83" s="15">
        <v>9454.85</v>
      </c>
      <c r="O83" s="16">
        <v>106970.4</v>
      </c>
      <c r="P83" s="15">
        <v>48637.1</v>
      </c>
      <c r="Q83" s="16">
        <v>0</v>
      </c>
      <c r="R83" s="15">
        <v>16298.95</v>
      </c>
      <c r="S83" s="16">
        <v>1206.25</v>
      </c>
      <c r="T83" s="15">
        <v>0</v>
      </c>
      <c r="U83" s="16">
        <v>3562.5</v>
      </c>
      <c r="V83" s="15">
        <v>0</v>
      </c>
      <c r="W83" s="16">
        <v>0</v>
      </c>
      <c r="X83" s="2">
        <f t="shared" si="4"/>
        <v>1478413.01</v>
      </c>
      <c r="Y83" s="18">
        <v>34000</v>
      </c>
      <c r="Z83" s="25"/>
      <c r="AA83" s="18">
        <v>58624.5</v>
      </c>
      <c r="AB83" s="25"/>
      <c r="AC83" s="18"/>
      <c r="AD83" s="25">
        <v>32864.199999999997</v>
      </c>
      <c r="AE83" s="18"/>
      <c r="AF83" s="25"/>
      <c r="AG83" s="18"/>
      <c r="AH83" s="25"/>
      <c r="AI83" s="18"/>
      <c r="AJ83" s="25"/>
      <c r="AK83" s="18"/>
      <c r="AL83" s="68">
        <f t="shared" si="5"/>
        <v>125488.7</v>
      </c>
      <c r="AM83" s="33">
        <v>75</v>
      </c>
      <c r="AN83" s="34">
        <v>620</v>
      </c>
      <c r="AO83" s="18">
        <v>-80329.399999999994</v>
      </c>
      <c r="AP83" s="25"/>
      <c r="AQ83" s="18">
        <v>-0.08</v>
      </c>
      <c r="AR83" s="64">
        <v>1</v>
      </c>
      <c r="AS83" s="32"/>
      <c r="AT83" s="32"/>
      <c r="AU83" s="40"/>
      <c r="AV83" s="40"/>
      <c r="AW83" s="41"/>
      <c r="AX83" s="23"/>
      <c r="AZ83" s="40"/>
      <c r="BA83" s="40"/>
      <c r="BB83" s="41"/>
      <c r="BC83" s="42"/>
      <c r="BD83" s="42"/>
      <c r="BE83" s="42"/>
      <c r="BF83" s="42"/>
      <c r="BG83" s="42"/>
      <c r="BI83" s="38"/>
      <c r="BJ83" s="39"/>
      <c r="BK83" s="38"/>
      <c r="BL83" s="38"/>
      <c r="BM83" s="38"/>
    </row>
    <row r="84" spans="1:65" x14ac:dyDescent="0.25">
      <c r="A84" s="13">
        <v>5523</v>
      </c>
      <c r="B84" s="14" t="s">
        <v>222</v>
      </c>
      <c r="C84" s="16">
        <v>4432160.2</v>
      </c>
      <c r="D84" s="15">
        <v>454326.95</v>
      </c>
      <c r="E84" s="16">
        <v>0</v>
      </c>
      <c r="F84" s="15">
        <v>11740</v>
      </c>
      <c r="G84" s="16">
        <v>143029.04999999999</v>
      </c>
      <c r="H84" s="15">
        <v>2537.35</v>
      </c>
      <c r="I84" s="16">
        <v>48843.45</v>
      </c>
      <c r="J84" s="15">
        <v>100646.58</v>
      </c>
      <c r="K84" s="17">
        <v>2989</v>
      </c>
      <c r="L84" s="16">
        <v>476962.2</v>
      </c>
      <c r="M84" s="3">
        <f t="shared" si="3"/>
        <v>5673234.7800000003</v>
      </c>
      <c r="N84" s="15" t="s">
        <v>512</v>
      </c>
      <c r="O84" s="16">
        <v>1921.35</v>
      </c>
      <c r="P84" s="15">
        <v>324511.90000000002</v>
      </c>
      <c r="Q84" s="16">
        <v>4956.7700000000004</v>
      </c>
      <c r="R84" s="15">
        <v>132278.75</v>
      </c>
      <c r="S84" s="16">
        <v>125</v>
      </c>
      <c r="T84" s="15">
        <v>4158</v>
      </c>
      <c r="U84" s="16">
        <v>11062.5</v>
      </c>
      <c r="V84" s="15">
        <v>0</v>
      </c>
      <c r="W84" s="16">
        <v>0</v>
      </c>
      <c r="X84" s="2">
        <f t="shared" si="4"/>
        <v>6152249.0499999998</v>
      </c>
      <c r="Y84" s="18">
        <v>128692.3</v>
      </c>
      <c r="Z84" s="25">
        <v>4002.65</v>
      </c>
      <c r="AA84" s="18">
        <v>459237.2</v>
      </c>
      <c r="AB84" s="25"/>
      <c r="AC84" s="18">
        <v>141452.29999999999</v>
      </c>
      <c r="AD84" s="25">
        <v>115510.1</v>
      </c>
      <c r="AE84" s="18">
        <v>3578.2</v>
      </c>
      <c r="AF84" s="25"/>
      <c r="AG84" s="18"/>
      <c r="AH84" s="25">
        <v>57373.95</v>
      </c>
      <c r="AI84" s="18"/>
      <c r="AJ84" s="25"/>
      <c r="AK84" s="18"/>
      <c r="AL84" s="68">
        <f t="shared" si="5"/>
        <v>909846.69999999984</v>
      </c>
      <c r="AM84" s="33">
        <v>76</v>
      </c>
      <c r="AN84" s="34">
        <v>2305</v>
      </c>
      <c r="AO84" s="18">
        <v>-92275.33</v>
      </c>
      <c r="AP84" s="25"/>
      <c r="AQ84" s="18">
        <v>-65.2</v>
      </c>
      <c r="AR84" s="64">
        <v>1.25</v>
      </c>
      <c r="AS84" s="32"/>
      <c r="AT84" s="32"/>
      <c r="AU84" s="40"/>
      <c r="AV84" s="40"/>
      <c r="AW84" s="41"/>
      <c r="AX84" s="23"/>
      <c r="AZ84" s="40"/>
      <c r="BA84" s="40"/>
      <c r="BB84" s="41"/>
      <c r="BC84" s="42"/>
      <c r="BD84" s="42"/>
      <c r="BE84" s="42"/>
      <c r="BF84" s="42"/>
      <c r="BG84" s="42"/>
      <c r="BI84" s="38"/>
      <c r="BJ84" s="39"/>
      <c r="BK84" s="38"/>
      <c r="BL84" s="38"/>
      <c r="BM84" s="38"/>
    </row>
    <row r="85" spans="1:65" x14ac:dyDescent="0.25">
      <c r="A85" s="13">
        <v>5527</v>
      </c>
      <c r="B85" s="14" t="s">
        <v>223</v>
      </c>
      <c r="C85" s="16">
        <v>2170482.62</v>
      </c>
      <c r="D85" s="15">
        <v>309079.99</v>
      </c>
      <c r="E85" s="16">
        <v>0</v>
      </c>
      <c r="F85" s="15">
        <v>0</v>
      </c>
      <c r="G85" s="16">
        <v>10310.700000000001</v>
      </c>
      <c r="H85" s="15">
        <v>1577.25</v>
      </c>
      <c r="I85" s="16">
        <v>0</v>
      </c>
      <c r="J85" s="15">
        <v>34547.599999999999</v>
      </c>
      <c r="K85" s="17">
        <v>771.5</v>
      </c>
      <c r="L85" s="16">
        <v>190476.79999999999</v>
      </c>
      <c r="M85" s="3">
        <f t="shared" si="3"/>
        <v>2717246.4600000004</v>
      </c>
      <c r="N85" s="15" t="s">
        <v>512</v>
      </c>
      <c r="O85" s="16" t="s">
        <v>512</v>
      </c>
      <c r="P85" s="15">
        <v>80637.8</v>
      </c>
      <c r="Q85" s="16">
        <v>16404.189999999999</v>
      </c>
      <c r="R85" s="15">
        <v>91142.55</v>
      </c>
      <c r="S85" s="16">
        <v>0</v>
      </c>
      <c r="T85" s="15">
        <v>1225</v>
      </c>
      <c r="U85" s="16">
        <v>11200</v>
      </c>
      <c r="V85" s="15">
        <v>0</v>
      </c>
      <c r="W85" s="16">
        <v>0</v>
      </c>
      <c r="X85" s="2">
        <f t="shared" si="4"/>
        <v>2917856</v>
      </c>
      <c r="Y85" s="18">
        <v>15453.65</v>
      </c>
      <c r="Z85" s="25"/>
      <c r="AA85" s="18">
        <v>99565.94</v>
      </c>
      <c r="AB85" s="25"/>
      <c r="AC85" s="18">
        <v>68917.7</v>
      </c>
      <c r="AD85" s="25">
        <v>5761.85</v>
      </c>
      <c r="AE85" s="18"/>
      <c r="AF85" s="25">
        <v>-60</v>
      </c>
      <c r="AG85" s="18"/>
      <c r="AH85" s="25">
        <v>29914.7</v>
      </c>
      <c r="AI85" s="18"/>
      <c r="AJ85" s="25"/>
      <c r="AK85" s="18"/>
      <c r="AL85" s="68">
        <f t="shared" si="5"/>
        <v>219553.84</v>
      </c>
      <c r="AM85" s="33">
        <v>71</v>
      </c>
      <c r="AN85" s="34">
        <v>1048</v>
      </c>
      <c r="AO85" s="18">
        <v>-45964.09</v>
      </c>
      <c r="AP85" s="25">
        <v>-6748.65</v>
      </c>
      <c r="AQ85" s="18">
        <v>-0.55000000000000004</v>
      </c>
      <c r="AR85" s="64">
        <v>1</v>
      </c>
      <c r="AS85" s="32"/>
      <c r="AT85" s="32"/>
      <c r="AU85" s="40"/>
      <c r="AV85" s="40"/>
      <c r="AW85" s="41"/>
      <c r="AX85" s="23"/>
      <c r="AZ85" s="40"/>
      <c r="BA85" s="40"/>
      <c r="BB85" s="41"/>
      <c r="BC85" s="42"/>
      <c r="BD85" s="42"/>
      <c r="BE85" s="42"/>
      <c r="BF85" s="42"/>
      <c r="BG85" s="42"/>
      <c r="BI85" s="38"/>
      <c r="BJ85" s="39"/>
      <c r="BK85" s="38"/>
      <c r="BL85" s="38"/>
      <c r="BM85" s="38"/>
    </row>
    <row r="86" spans="1:65" x14ac:dyDescent="0.25">
      <c r="A86" s="13">
        <v>5529</v>
      </c>
      <c r="B86" s="14" t="s">
        <v>224</v>
      </c>
      <c r="C86" s="16">
        <v>1147091.47</v>
      </c>
      <c r="D86" s="15">
        <v>127273.34</v>
      </c>
      <c r="E86" s="16">
        <v>0</v>
      </c>
      <c r="F86" s="15">
        <v>0</v>
      </c>
      <c r="G86" s="16">
        <v>48188.95</v>
      </c>
      <c r="H86" s="15">
        <v>608.15</v>
      </c>
      <c r="I86" s="16">
        <v>0</v>
      </c>
      <c r="J86" s="15">
        <v>16878.189999999999</v>
      </c>
      <c r="K86" s="17">
        <v>2535</v>
      </c>
      <c r="L86" s="16">
        <v>98122.4</v>
      </c>
      <c r="M86" s="3">
        <f t="shared" si="3"/>
        <v>1440697.4999999998</v>
      </c>
      <c r="N86" s="15">
        <v>1643.3</v>
      </c>
      <c r="O86" s="16" t="s">
        <v>512</v>
      </c>
      <c r="P86" s="15">
        <v>33110</v>
      </c>
      <c r="Q86" s="16">
        <v>1209.58</v>
      </c>
      <c r="R86" s="15" t="s">
        <v>512</v>
      </c>
      <c r="S86" s="16">
        <v>659.7</v>
      </c>
      <c r="T86" s="15">
        <v>0</v>
      </c>
      <c r="U86" s="16">
        <v>1800</v>
      </c>
      <c r="V86" s="15">
        <v>0</v>
      </c>
      <c r="W86" s="16">
        <v>0</v>
      </c>
      <c r="X86" s="2">
        <f t="shared" si="4"/>
        <v>1479120.0799999998</v>
      </c>
      <c r="Y86" s="18">
        <v>27344</v>
      </c>
      <c r="Z86" s="25"/>
      <c r="AA86" s="18">
        <v>22240</v>
      </c>
      <c r="AB86" s="25"/>
      <c r="AC86" s="18">
        <v>39005.5</v>
      </c>
      <c r="AD86" s="25">
        <v>13672</v>
      </c>
      <c r="AE86" s="18"/>
      <c r="AF86" s="25"/>
      <c r="AG86" s="18"/>
      <c r="AH86" s="25"/>
      <c r="AI86" s="18"/>
      <c r="AJ86" s="25"/>
      <c r="AK86" s="18"/>
      <c r="AL86" s="68">
        <f t="shared" si="5"/>
        <v>102261.5</v>
      </c>
      <c r="AM86" s="33">
        <v>74</v>
      </c>
      <c r="AN86" s="34">
        <v>529</v>
      </c>
      <c r="AO86" s="18">
        <v>-6480.99</v>
      </c>
      <c r="AP86" s="25"/>
      <c r="AQ86" s="18">
        <v>-0.75</v>
      </c>
      <c r="AR86" s="64">
        <v>1</v>
      </c>
      <c r="AS86" s="32"/>
      <c r="AT86" s="32"/>
      <c r="AU86" s="40"/>
      <c r="AV86" s="40"/>
      <c r="AW86" s="41"/>
      <c r="AX86" s="23"/>
      <c r="AZ86" s="40"/>
      <c r="BA86" s="40"/>
      <c r="BB86" s="41"/>
      <c r="BC86" s="42"/>
      <c r="BD86" s="42"/>
      <c r="BE86" s="42"/>
      <c r="BF86" s="42"/>
      <c r="BG86" s="42"/>
      <c r="BI86" s="38"/>
      <c r="BJ86" s="39"/>
      <c r="BK86" s="38"/>
      <c r="BL86" s="38"/>
      <c r="BM86" s="38"/>
    </row>
    <row r="87" spans="1:65" x14ac:dyDescent="0.25">
      <c r="A87" s="13">
        <v>5530</v>
      </c>
      <c r="B87" s="14" t="s">
        <v>225</v>
      </c>
      <c r="C87" s="16">
        <v>877717.7</v>
      </c>
      <c r="D87" s="15">
        <v>106120.77</v>
      </c>
      <c r="E87" s="16">
        <v>0</v>
      </c>
      <c r="F87" s="15">
        <v>0</v>
      </c>
      <c r="G87" s="16">
        <v>8354.4500000000007</v>
      </c>
      <c r="H87" s="15">
        <v>11.95</v>
      </c>
      <c r="I87" s="16">
        <v>0</v>
      </c>
      <c r="J87" s="15">
        <v>10625.31</v>
      </c>
      <c r="K87" s="17">
        <v>37.5</v>
      </c>
      <c r="L87" s="16">
        <v>93002.8</v>
      </c>
      <c r="M87" s="3">
        <f t="shared" si="3"/>
        <v>1095870.48</v>
      </c>
      <c r="N87" s="15">
        <v>2291.5500000000002</v>
      </c>
      <c r="O87" s="16">
        <v>827.7</v>
      </c>
      <c r="P87" s="15">
        <v>38830</v>
      </c>
      <c r="Q87" s="16">
        <v>0</v>
      </c>
      <c r="R87" s="15">
        <v>45302.85</v>
      </c>
      <c r="S87" s="16">
        <v>31.25</v>
      </c>
      <c r="T87" s="15">
        <v>0</v>
      </c>
      <c r="U87" s="16">
        <v>2040</v>
      </c>
      <c r="V87" s="15">
        <v>0</v>
      </c>
      <c r="W87" s="16">
        <v>0</v>
      </c>
      <c r="X87" s="2">
        <f t="shared" si="4"/>
        <v>1185193.83</v>
      </c>
      <c r="Y87" s="18">
        <v>52078.75</v>
      </c>
      <c r="Z87" s="25"/>
      <c r="AA87" s="18">
        <v>152817</v>
      </c>
      <c r="AB87" s="25"/>
      <c r="AC87" s="18">
        <v>39192.550000000003</v>
      </c>
      <c r="AD87" s="25">
        <v>11697.8</v>
      </c>
      <c r="AE87" s="18"/>
      <c r="AF87" s="25"/>
      <c r="AG87" s="18"/>
      <c r="AH87" s="25"/>
      <c r="AI87" s="18"/>
      <c r="AJ87" s="25"/>
      <c r="AK87" s="18"/>
      <c r="AL87" s="68">
        <f t="shared" si="5"/>
        <v>255786.09999999998</v>
      </c>
      <c r="AM87" s="33">
        <v>77.5</v>
      </c>
      <c r="AN87" s="34">
        <v>524</v>
      </c>
      <c r="AO87" s="18">
        <v>-2613</v>
      </c>
      <c r="AP87" s="25"/>
      <c r="AQ87" s="18">
        <v>-4.6100000000000003</v>
      </c>
      <c r="AR87" s="64">
        <v>1.2</v>
      </c>
      <c r="AS87" s="32"/>
      <c r="AT87" s="32"/>
      <c r="AU87" s="40"/>
      <c r="AV87" s="40"/>
      <c r="AW87" s="41"/>
      <c r="AX87" s="23"/>
      <c r="AZ87" s="40"/>
      <c r="BA87" s="40"/>
      <c r="BB87" s="41"/>
      <c r="BC87" s="42"/>
      <c r="BD87" s="42"/>
      <c r="BE87" s="42"/>
      <c r="BF87" s="42"/>
      <c r="BG87" s="42"/>
      <c r="BI87" s="38"/>
      <c r="BJ87" s="39"/>
      <c r="BK87" s="38"/>
      <c r="BL87" s="38"/>
      <c r="BM87" s="38"/>
    </row>
    <row r="88" spans="1:65" x14ac:dyDescent="0.25">
      <c r="A88" s="13">
        <v>5531</v>
      </c>
      <c r="B88" s="14" t="s">
        <v>226</v>
      </c>
      <c r="C88" s="16">
        <v>795529.38</v>
      </c>
      <c r="D88" s="15">
        <v>158304.20000000001</v>
      </c>
      <c r="E88" s="16">
        <v>0</v>
      </c>
      <c r="F88" s="15">
        <v>0</v>
      </c>
      <c r="G88" s="16">
        <v>20272.7</v>
      </c>
      <c r="H88" s="15">
        <v>310</v>
      </c>
      <c r="I88" s="16">
        <v>0</v>
      </c>
      <c r="J88" s="15">
        <v>8465.3700000000008</v>
      </c>
      <c r="K88" s="17">
        <v>974.5</v>
      </c>
      <c r="L88" s="16">
        <v>63746.85</v>
      </c>
      <c r="M88" s="3">
        <f t="shared" si="3"/>
        <v>1047603</v>
      </c>
      <c r="N88" s="15" t="s">
        <v>512</v>
      </c>
      <c r="O88" s="16" t="s">
        <v>512</v>
      </c>
      <c r="P88" s="15">
        <v>0</v>
      </c>
      <c r="Q88" s="16">
        <v>6366.42</v>
      </c>
      <c r="R88" s="15" t="s">
        <v>512</v>
      </c>
      <c r="S88" s="16">
        <v>0</v>
      </c>
      <c r="T88" s="15">
        <v>0</v>
      </c>
      <c r="U88" s="16">
        <v>3650</v>
      </c>
      <c r="V88" s="15">
        <v>0</v>
      </c>
      <c r="W88" s="16">
        <v>0</v>
      </c>
      <c r="X88" s="2">
        <f t="shared" si="4"/>
        <v>1057619.42</v>
      </c>
      <c r="Y88" s="18">
        <v>29600</v>
      </c>
      <c r="Z88" s="25"/>
      <c r="AA88" s="18">
        <v>82238.850000000006</v>
      </c>
      <c r="AB88" s="25"/>
      <c r="AC88" s="18">
        <v>27012.5</v>
      </c>
      <c r="AD88" s="25">
        <v>9398.2000000000007</v>
      </c>
      <c r="AE88" s="18"/>
      <c r="AF88" s="25"/>
      <c r="AG88" s="18"/>
      <c r="AH88" s="25"/>
      <c r="AI88" s="18"/>
      <c r="AJ88" s="25"/>
      <c r="AK88" s="18"/>
      <c r="AL88" s="68">
        <f t="shared" si="5"/>
        <v>148249.55000000002</v>
      </c>
      <c r="AM88" s="33">
        <v>78</v>
      </c>
      <c r="AN88" s="34">
        <v>387</v>
      </c>
      <c r="AO88" s="18">
        <v>-25261.78</v>
      </c>
      <c r="AP88" s="25"/>
      <c r="AQ88" s="18">
        <v>-3.79</v>
      </c>
      <c r="AR88" s="64">
        <v>1</v>
      </c>
      <c r="AS88" s="32"/>
      <c r="AT88" s="32"/>
      <c r="AU88" s="40"/>
      <c r="AV88" s="40"/>
      <c r="AW88" s="41"/>
      <c r="AX88" s="23"/>
      <c r="AZ88" s="40"/>
      <c r="BA88" s="40"/>
      <c r="BB88" s="41"/>
      <c r="BC88" s="42"/>
      <c r="BD88" s="42"/>
      <c r="BE88" s="42"/>
      <c r="BF88" s="42"/>
      <c r="BG88" s="42"/>
      <c r="BI88" s="38"/>
      <c r="BJ88" s="39"/>
      <c r="BK88" s="38"/>
      <c r="BL88" s="38"/>
      <c r="BM88" s="38"/>
    </row>
    <row r="89" spans="1:65" x14ac:dyDescent="0.25">
      <c r="A89" s="13">
        <v>5533</v>
      </c>
      <c r="B89" s="14" t="s">
        <v>227</v>
      </c>
      <c r="C89" s="16">
        <v>1249821.5</v>
      </c>
      <c r="D89" s="15">
        <v>117552.27</v>
      </c>
      <c r="E89" s="16">
        <v>0</v>
      </c>
      <c r="F89" s="15">
        <v>0</v>
      </c>
      <c r="G89" s="16">
        <v>166601.65</v>
      </c>
      <c r="H89" s="15">
        <v>175.3</v>
      </c>
      <c r="I89" s="16">
        <v>0</v>
      </c>
      <c r="J89" s="15">
        <v>21993.11</v>
      </c>
      <c r="K89" s="17">
        <v>3965</v>
      </c>
      <c r="L89" s="16">
        <v>71316.850000000006</v>
      </c>
      <c r="M89" s="3">
        <f t="shared" si="3"/>
        <v>1631425.6800000002</v>
      </c>
      <c r="N89" s="15">
        <v>10060.25</v>
      </c>
      <c r="O89" s="16" t="s">
        <v>512</v>
      </c>
      <c r="P89" s="15">
        <v>21900.45</v>
      </c>
      <c r="Q89" s="16">
        <v>9660</v>
      </c>
      <c r="R89" s="15">
        <v>27714.5</v>
      </c>
      <c r="S89" s="16">
        <v>1761.1</v>
      </c>
      <c r="T89" s="15">
        <v>0</v>
      </c>
      <c r="U89" s="16">
        <v>5100</v>
      </c>
      <c r="V89" s="15">
        <v>0</v>
      </c>
      <c r="W89" s="16">
        <v>0</v>
      </c>
      <c r="X89" s="2">
        <f t="shared" si="4"/>
        <v>1707621.9800000002</v>
      </c>
      <c r="Y89" s="18">
        <v>36939</v>
      </c>
      <c r="Z89" s="25"/>
      <c r="AA89" s="18">
        <v>99662.5</v>
      </c>
      <c r="AB89" s="25"/>
      <c r="AC89" s="18"/>
      <c r="AD89" s="25">
        <v>36788.32</v>
      </c>
      <c r="AE89" s="18"/>
      <c r="AF89" s="25"/>
      <c r="AG89" s="18"/>
      <c r="AH89" s="25"/>
      <c r="AI89" s="18"/>
      <c r="AJ89" s="25"/>
      <c r="AK89" s="18"/>
      <c r="AL89" s="68">
        <f t="shared" si="5"/>
        <v>173389.82</v>
      </c>
      <c r="AM89" s="33">
        <v>71</v>
      </c>
      <c r="AN89" s="34">
        <v>802</v>
      </c>
      <c r="AO89" s="18">
        <v>-35871.86</v>
      </c>
      <c r="AP89" s="25"/>
      <c r="AQ89" s="18">
        <v>-6.6</v>
      </c>
      <c r="AR89" s="64">
        <v>0.6</v>
      </c>
      <c r="AS89" s="32"/>
      <c r="AT89" s="32"/>
      <c r="AU89" s="40"/>
      <c r="AV89" s="40"/>
      <c r="AW89" s="41"/>
      <c r="AX89" s="23"/>
      <c r="AZ89" s="40"/>
      <c r="BA89" s="40"/>
      <c r="BB89" s="41"/>
      <c r="BC89" s="42"/>
      <c r="BD89" s="42"/>
      <c r="BE89" s="42"/>
      <c r="BF89" s="42"/>
      <c r="BG89" s="42"/>
      <c r="BI89" s="38"/>
      <c r="BJ89" s="39"/>
      <c r="BK89" s="38"/>
      <c r="BL89" s="38"/>
      <c r="BM89" s="38"/>
    </row>
    <row r="90" spans="1:65" x14ac:dyDescent="0.25">
      <c r="A90" s="13">
        <v>5534</v>
      </c>
      <c r="B90" s="14" t="s">
        <v>228</v>
      </c>
      <c r="C90" s="16">
        <v>364655.07</v>
      </c>
      <c r="D90" s="15">
        <v>60435.6</v>
      </c>
      <c r="E90" s="16">
        <v>0</v>
      </c>
      <c r="F90" s="15">
        <v>0</v>
      </c>
      <c r="G90" s="16">
        <v>57132.55</v>
      </c>
      <c r="H90" s="15">
        <v>1104.95</v>
      </c>
      <c r="I90" s="16">
        <v>0</v>
      </c>
      <c r="J90" s="15">
        <v>9040.74</v>
      </c>
      <c r="K90" s="17">
        <v>1598.5</v>
      </c>
      <c r="L90" s="16">
        <v>66960.7</v>
      </c>
      <c r="M90" s="3">
        <f t="shared" si="3"/>
        <v>560928.11</v>
      </c>
      <c r="N90" s="15">
        <v>25113.5</v>
      </c>
      <c r="O90" s="16" t="s">
        <v>512</v>
      </c>
      <c r="P90" s="15">
        <v>666.6</v>
      </c>
      <c r="Q90" s="16">
        <v>0</v>
      </c>
      <c r="R90" s="15">
        <v>1753.1</v>
      </c>
      <c r="S90" s="16">
        <v>0</v>
      </c>
      <c r="T90" s="15">
        <v>224</v>
      </c>
      <c r="U90" s="16">
        <v>750</v>
      </c>
      <c r="V90" s="15">
        <v>0</v>
      </c>
      <c r="W90" s="16">
        <v>0</v>
      </c>
      <c r="X90" s="2">
        <f t="shared" si="4"/>
        <v>589435.30999999994</v>
      </c>
      <c r="Y90" s="18">
        <v>20500</v>
      </c>
      <c r="Z90" s="25"/>
      <c r="AA90" s="18">
        <v>12497.85</v>
      </c>
      <c r="AB90" s="25"/>
      <c r="AC90" s="18">
        <v>11521.65</v>
      </c>
      <c r="AD90" s="25">
        <v>20500</v>
      </c>
      <c r="AE90" s="18"/>
      <c r="AF90" s="25"/>
      <c r="AG90" s="18"/>
      <c r="AH90" s="25"/>
      <c r="AI90" s="18"/>
      <c r="AJ90" s="25"/>
      <c r="AK90" s="18"/>
      <c r="AL90" s="68">
        <f t="shared" si="5"/>
        <v>65019.5</v>
      </c>
      <c r="AM90" s="33">
        <v>73</v>
      </c>
      <c r="AN90" s="34">
        <v>261</v>
      </c>
      <c r="AO90" s="18">
        <v>-14017.11</v>
      </c>
      <c r="AP90" s="25"/>
      <c r="AQ90" s="18">
        <v>-6.22</v>
      </c>
      <c r="AR90" s="64">
        <v>1</v>
      </c>
      <c r="AS90" s="32"/>
      <c r="AT90" s="32"/>
      <c r="AU90" s="40"/>
      <c r="AV90" s="40"/>
      <c r="AW90" s="41"/>
      <c r="AX90" s="23"/>
      <c r="AZ90" s="40"/>
      <c r="BA90" s="40"/>
      <c r="BB90" s="41"/>
      <c r="BC90" s="42"/>
      <c r="BD90" s="42"/>
      <c r="BE90" s="42"/>
      <c r="BF90" s="42"/>
      <c r="BG90" s="42"/>
      <c r="BI90" s="38"/>
      <c r="BJ90" s="39"/>
      <c r="BK90" s="38"/>
      <c r="BL90" s="38"/>
      <c r="BM90" s="38"/>
    </row>
    <row r="91" spans="1:65" x14ac:dyDescent="0.25">
      <c r="A91" s="13">
        <v>5535</v>
      </c>
      <c r="B91" s="14" t="s">
        <v>37</v>
      </c>
      <c r="C91" s="16">
        <v>1293330.01</v>
      </c>
      <c r="D91" s="15">
        <v>143001.98000000001</v>
      </c>
      <c r="E91" s="16">
        <v>0</v>
      </c>
      <c r="F91" s="15">
        <v>0</v>
      </c>
      <c r="G91" s="16">
        <v>4921.7</v>
      </c>
      <c r="H91" s="15">
        <v>1414.15</v>
      </c>
      <c r="I91" s="16">
        <v>0</v>
      </c>
      <c r="J91" s="15">
        <v>10509.9</v>
      </c>
      <c r="K91" s="17">
        <v>1218</v>
      </c>
      <c r="L91" s="16">
        <v>127079.7</v>
      </c>
      <c r="M91" s="3">
        <f t="shared" si="3"/>
        <v>1581475.4399999997</v>
      </c>
      <c r="N91" s="15">
        <v>14016.4</v>
      </c>
      <c r="O91" s="16">
        <v>8503.7999999999993</v>
      </c>
      <c r="P91" s="15">
        <v>36515.4</v>
      </c>
      <c r="Q91" s="16">
        <v>584.46</v>
      </c>
      <c r="R91" s="15">
        <v>20029.2</v>
      </c>
      <c r="S91" s="16">
        <v>0</v>
      </c>
      <c r="T91" s="15">
        <v>692.5</v>
      </c>
      <c r="U91" s="16">
        <v>5850</v>
      </c>
      <c r="V91" s="15">
        <v>0</v>
      </c>
      <c r="W91" s="16">
        <v>0</v>
      </c>
      <c r="X91" s="2">
        <f t="shared" si="4"/>
        <v>1667667.1999999995</v>
      </c>
      <c r="Y91" s="18">
        <v>12000</v>
      </c>
      <c r="Z91" s="25"/>
      <c r="AA91" s="18">
        <v>79946</v>
      </c>
      <c r="AB91" s="25"/>
      <c r="AC91" s="18">
        <v>42515.55</v>
      </c>
      <c r="AD91" s="25">
        <v>15125</v>
      </c>
      <c r="AE91" s="18"/>
      <c r="AF91" s="25"/>
      <c r="AG91" s="18"/>
      <c r="AH91" s="25"/>
      <c r="AI91" s="18"/>
      <c r="AJ91" s="25"/>
      <c r="AK91" s="18"/>
      <c r="AL91" s="68">
        <f t="shared" si="5"/>
        <v>149586.54999999999</v>
      </c>
      <c r="AM91" s="33">
        <v>77</v>
      </c>
      <c r="AN91" s="34">
        <v>776</v>
      </c>
      <c r="AO91" s="18">
        <v>-16073.8</v>
      </c>
      <c r="AP91" s="25"/>
      <c r="AQ91" s="18">
        <v>-2.84</v>
      </c>
      <c r="AR91" s="64">
        <v>1</v>
      </c>
      <c r="AS91" s="32"/>
      <c r="AT91" s="32"/>
      <c r="AU91" s="40"/>
      <c r="AV91" s="40"/>
      <c r="AW91" s="41"/>
      <c r="AX91" s="23"/>
      <c r="AZ91" s="40"/>
      <c r="BA91" s="40"/>
      <c r="BB91" s="41"/>
      <c r="BC91" s="42"/>
      <c r="BD91" s="42"/>
      <c r="BE91" s="42"/>
      <c r="BF91" s="42"/>
      <c r="BG91" s="42"/>
      <c r="BI91" s="38"/>
      <c r="BJ91" s="39"/>
      <c r="BK91" s="38"/>
      <c r="BL91" s="38"/>
      <c r="BM91" s="38"/>
    </row>
    <row r="92" spans="1:65" x14ac:dyDescent="0.25">
      <c r="A92" s="13">
        <v>5537</v>
      </c>
      <c r="B92" s="14" t="s">
        <v>38</v>
      </c>
      <c r="C92" s="16">
        <v>1665624.95</v>
      </c>
      <c r="D92" s="15">
        <v>291175.73</v>
      </c>
      <c r="E92" s="16">
        <v>0</v>
      </c>
      <c r="F92" s="15">
        <v>5027.25</v>
      </c>
      <c r="G92" s="16">
        <v>31969.599999999999</v>
      </c>
      <c r="H92" s="15">
        <v>176.65</v>
      </c>
      <c r="I92" s="16">
        <v>0</v>
      </c>
      <c r="J92" s="15">
        <v>-19443.5</v>
      </c>
      <c r="K92" s="17">
        <v>351</v>
      </c>
      <c r="L92" s="16">
        <v>124597.7</v>
      </c>
      <c r="M92" s="3">
        <f t="shared" si="3"/>
        <v>2099479.38</v>
      </c>
      <c r="N92" s="15" t="s">
        <v>512</v>
      </c>
      <c r="O92" s="16">
        <v>74786.7</v>
      </c>
      <c r="P92" s="15">
        <v>68895.899999999994</v>
      </c>
      <c r="Q92" s="16">
        <v>338.43</v>
      </c>
      <c r="R92" s="15">
        <v>94360.65</v>
      </c>
      <c r="S92" s="16">
        <v>1262.5</v>
      </c>
      <c r="T92" s="15">
        <v>0</v>
      </c>
      <c r="U92" s="16">
        <v>3750</v>
      </c>
      <c r="V92" s="15">
        <v>784.45</v>
      </c>
      <c r="W92" s="16">
        <v>0</v>
      </c>
      <c r="X92" s="2">
        <f t="shared" si="4"/>
        <v>2343658.0100000002</v>
      </c>
      <c r="Y92" s="18">
        <v>130227.35</v>
      </c>
      <c r="Z92" s="25"/>
      <c r="AA92" s="18">
        <v>98555.15</v>
      </c>
      <c r="AB92" s="25"/>
      <c r="AC92" s="18">
        <v>109686.25</v>
      </c>
      <c r="AD92" s="25">
        <v>42344.24</v>
      </c>
      <c r="AE92" s="18"/>
      <c r="AF92" s="25"/>
      <c r="AG92" s="18"/>
      <c r="AH92" s="25"/>
      <c r="AI92" s="18"/>
      <c r="AJ92" s="25"/>
      <c r="AK92" s="18"/>
      <c r="AL92" s="68">
        <f t="shared" si="5"/>
        <v>380812.99</v>
      </c>
      <c r="AM92" s="33">
        <v>73</v>
      </c>
      <c r="AN92" s="34">
        <v>944</v>
      </c>
      <c r="AO92" s="18">
        <v>-58315.22</v>
      </c>
      <c r="AP92" s="25"/>
      <c r="AQ92" s="18">
        <v>-36</v>
      </c>
      <c r="AR92" s="64">
        <v>0.8</v>
      </c>
      <c r="AS92" s="32"/>
      <c r="AT92" s="32"/>
      <c r="AU92" s="40"/>
      <c r="AV92" s="40"/>
      <c r="AW92" s="41"/>
      <c r="AX92" s="23"/>
      <c r="AZ92" s="40"/>
      <c r="BA92" s="40"/>
      <c r="BB92" s="41"/>
      <c r="BC92" s="42"/>
      <c r="BD92" s="42"/>
      <c r="BE92" s="42"/>
      <c r="BF92" s="42"/>
      <c r="BG92" s="42"/>
      <c r="BI92" s="38"/>
      <c r="BJ92" s="39"/>
      <c r="BK92" s="38"/>
      <c r="BL92" s="38"/>
      <c r="BM92" s="38"/>
    </row>
    <row r="93" spans="1:65" x14ac:dyDescent="0.25">
      <c r="A93" s="13">
        <v>5539</v>
      </c>
      <c r="B93" s="14" t="s">
        <v>39</v>
      </c>
      <c r="C93" s="16">
        <v>1371881.96</v>
      </c>
      <c r="D93" s="15">
        <v>148422.04999999999</v>
      </c>
      <c r="E93" s="16">
        <v>0</v>
      </c>
      <c r="F93" s="15">
        <v>0</v>
      </c>
      <c r="G93" s="16">
        <v>22427.599999999999</v>
      </c>
      <c r="H93" s="15">
        <v>508.7</v>
      </c>
      <c r="I93" s="16">
        <v>0</v>
      </c>
      <c r="J93" s="15">
        <v>12389.44</v>
      </c>
      <c r="K93" s="17">
        <v>4684.5</v>
      </c>
      <c r="L93" s="16">
        <v>119062.39999999999</v>
      </c>
      <c r="M93" s="3">
        <f t="shared" si="3"/>
        <v>1679376.65</v>
      </c>
      <c r="N93" s="15">
        <v>13217.85</v>
      </c>
      <c r="O93" s="16">
        <v>52482.9</v>
      </c>
      <c r="P93" s="15">
        <v>112236.5</v>
      </c>
      <c r="Q93" s="16">
        <v>19822.41</v>
      </c>
      <c r="R93" s="15">
        <v>82595.850000000006</v>
      </c>
      <c r="S93" s="16">
        <v>62.5</v>
      </c>
      <c r="T93" s="15">
        <v>0</v>
      </c>
      <c r="U93" s="16">
        <v>6100</v>
      </c>
      <c r="V93" s="15">
        <v>0</v>
      </c>
      <c r="W93" s="16">
        <v>0</v>
      </c>
      <c r="X93" s="2">
        <f t="shared" si="4"/>
        <v>1965894.66</v>
      </c>
      <c r="Y93" s="18">
        <v>9294.6</v>
      </c>
      <c r="Z93" s="25"/>
      <c r="AA93" s="18">
        <v>288243.59999999998</v>
      </c>
      <c r="AB93" s="25"/>
      <c r="AC93" s="18">
        <v>57320</v>
      </c>
      <c r="AD93" s="25">
        <v>6565.35</v>
      </c>
      <c r="AE93" s="18"/>
      <c r="AF93" s="25"/>
      <c r="AG93" s="18"/>
      <c r="AH93" s="25">
        <v>22206.9</v>
      </c>
      <c r="AI93" s="18"/>
      <c r="AJ93" s="25"/>
      <c r="AK93" s="18"/>
      <c r="AL93" s="68">
        <f t="shared" si="5"/>
        <v>383630.44999999995</v>
      </c>
      <c r="AM93" s="33">
        <v>75</v>
      </c>
      <c r="AN93" s="34">
        <v>930</v>
      </c>
      <c r="AO93" s="18">
        <v>-25273.94</v>
      </c>
      <c r="AP93" s="25"/>
      <c r="AQ93" s="18">
        <v>-4.59</v>
      </c>
      <c r="AR93" s="64">
        <v>0.8</v>
      </c>
      <c r="AS93" s="32"/>
      <c r="AT93" s="32"/>
      <c r="AU93" s="40"/>
      <c r="AV93" s="40"/>
      <c r="AW93" s="41"/>
      <c r="AX93" s="23"/>
      <c r="AZ93" s="40"/>
      <c r="BA93" s="40"/>
      <c r="BB93" s="41"/>
      <c r="BC93" s="42"/>
      <c r="BD93" s="42"/>
      <c r="BE93" s="42"/>
      <c r="BF93" s="42"/>
      <c r="BG93" s="42"/>
      <c r="BI93" s="38"/>
      <c r="BJ93" s="39"/>
      <c r="BK93" s="38"/>
      <c r="BL93" s="38"/>
      <c r="BM93" s="38"/>
    </row>
    <row r="94" spans="1:65" x14ac:dyDescent="0.25">
      <c r="A94" s="13">
        <v>5540</v>
      </c>
      <c r="B94" s="14" t="s">
        <v>498</v>
      </c>
      <c r="C94" s="16">
        <v>2991505.62</v>
      </c>
      <c r="D94" s="15">
        <v>346123.91</v>
      </c>
      <c r="E94" s="16">
        <v>0</v>
      </c>
      <c r="F94" s="15">
        <v>0</v>
      </c>
      <c r="G94" s="16">
        <v>37086.400000000001</v>
      </c>
      <c r="H94" s="15">
        <v>819.45</v>
      </c>
      <c r="I94" s="16">
        <v>0</v>
      </c>
      <c r="J94" s="15">
        <v>37148.89</v>
      </c>
      <c r="K94" s="17">
        <v>3948</v>
      </c>
      <c r="L94" s="16">
        <v>212257.45</v>
      </c>
      <c r="M94" s="3">
        <f t="shared" si="3"/>
        <v>3628889.7200000007</v>
      </c>
      <c r="N94" s="15">
        <v>4565.3</v>
      </c>
      <c r="O94" s="16">
        <v>9084.9</v>
      </c>
      <c r="P94" s="15">
        <v>126546.2</v>
      </c>
      <c r="Q94" s="16">
        <v>2693.24</v>
      </c>
      <c r="R94" s="15">
        <v>120688.2</v>
      </c>
      <c r="S94" s="16">
        <v>889.5</v>
      </c>
      <c r="T94" s="15">
        <v>0</v>
      </c>
      <c r="U94" s="16">
        <v>11950</v>
      </c>
      <c r="V94" s="15">
        <v>0</v>
      </c>
      <c r="W94" s="16">
        <v>0</v>
      </c>
      <c r="X94" s="2">
        <f t="shared" si="4"/>
        <v>3905307.060000001</v>
      </c>
      <c r="Y94" s="18">
        <v>144538.4</v>
      </c>
      <c r="Z94" s="25"/>
      <c r="AA94" s="18">
        <v>133398.6</v>
      </c>
      <c r="AB94" s="25"/>
      <c r="AC94" s="18">
        <v>107853.9</v>
      </c>
      <c r="AD94" s="25">
        <v>86115.8</v>
      </c>
      <c r="AE94" s="18"/>
      <c r="AF94" s="25"/>
      <c r="AG94" s="18"/>
      <c r="AH94" s="25">
        <v>256.10000000000002</v>
      </c>
      <c r="AI94" s="18"/>
      <c r="AJ94" s="25"/>
      <c r="AK94" s="18"/>
      <c r="AL94" s="68">
        <f t="shared" si="5"/>
        <v>472162.8</v>
      </c>
      <c r="AM94" s="33">
        <v>74</v>
      </c>
      <c r="AN94" s="34">
        <v>1635</v>
      </c>
      <c r="AO94" s="18">
        <v>-30909.67</v>
      </c>
      <c r="AP94" s="25">
        <v>-10757.05</v>
      </c>
      <c r="AQ94" s="18">
        <v>-27.92</v>
      </c>
      <c r="AR94" s="64">
        <v>0.8</v>
      </c>
      <c r="AS94" s="32"/>
      <c r="AT94" s="32"/>
      <c r="AU94" s="40"/>
      <c r="AV94" s="40"/>
      <c r="AW94" s="41"/>
      <c r="AX94" s="23"/>
      <c r="AZ94" s="40"/>
      <c r="BA94" s="40"/>
      <c r="BB94" s="41"/>
      <c r="BC94" s="42"/>
      <c r="BD94" s="42"/>
      <c r="BE94" s="42"/>
      <c r="BF94" s="42"/>
      <c r="BG94" s="42"/>
      <c r="BI94" s="38"/>
      <c r="BJ94" s="39"/>
      <c r="BK94" s="38"/>
      <c r="BL94" s="38"/>
      <c r="BM94" s="38"/>
    </row>
    <row r="95" spans="1:65" x14ac:dyDescent="0.25">
      <c r="A95" s="13">
        <v>5541</v>
      </c>
      <c r="B95" s="14" t="s">
        <v>497</v>
      </c>
      <c r="C95" s="16">
        <v>1897484.27</v>
      </c>
      <c r="D95" s="15">
        <v>235335.63</v>
      </c>
      <c r="E95" s="16">
        <v>0</v>
      </c>
      <c r="F95" s="15">
        <v>0</v>
      </c>
      <c r="G95" s="16">
        <v>63977</v>
      </c>
      <c r="H95" s="15">
        <v>292.60000000000002</v>
      </c>
      <c r="I95" s="16">
        <v>0</v>
      </c>
      <c r="J95" s="15">
        <v>12257.76</v>
      </c>
      <c r="K95" s="17">
        <v>1991.5</v>
      </c>
      <c r="L95" s="16">
        <v>160109.29999999999</v>
      </c>
      <c r="M95" s="3">
        <f t="shared" si="3"/>
        <v>2371448.0599999996</v>
      </c>
      <c r="N95" s="15" t="s">
        <v>512</v>
      </c>
      <c r="O95" s="16">
        <v>79921</v>
      </c>
      <c r="P95" s="15">
        <v>42906.5</v>
      </c>
      <c r="Q95" s="16">
        <v>0</v>
      </c>
      <c r="R95" s="15">
        <v>40640.449999999997</v>
      </c>
      <c r="S95" s="16">
        <v>0</v>
      </c>
      <c r="T95" s="15">
        <v>0</v>
      </c>
      <c r="U95" s="16">
        <v>7350</v>
      </c>
      <c r="V95" s="15">
        <v>0</v>
      </c>
      <c r="W95" s="16">
        <v>0</v>
      </c>
      <c r="X95" s="2">
        <f t="shared" si="4"/>
        <v>2542266.0099999998</v>
      </c>
      <c r="Y95" s="18">
        <v>29374.1</v>
      </c>
      <c r="Z95" s="25"/>
      <c r="AA95" s="18">
        <v>46726.2</v>
      </c>
      <c r="AB95" s="25"/>
      <c r="AC95" s="18">
        <v>67790</v>
      </c>
      <c r="AD95" s="25">
        <v>18108.05</v>
      </c>
      <c r="AE95" s="18"/>
      <c r="AF95" s="25"/>
      <c r="AG95" s="18"/>
      <c r="AH95" s="25"/>
      <c r="AI95" s="18"/>
      <c r="AJ95" s="25"/>
      <c r="AK95" s="18"/>
      <c r="AL95" s="68">
        <f t="shared" si="5"/>
        <v>161998.34999999998</v>
      </c>
      <c r="AM95" s="33">
        <v>77</v>
      </c>
      <c r="AN95" s="34">
        <v>962</v>
      </c>
      <c r="AO95" s="18">
        <v>-175054.18</v>
      </c>
      <c r="AP95" s="25">
        <v>-8107.25</v>
      </c>
      <c r="AQ95" s="18">
        <v>-4.3099999999999996</v>
      </c>
      <c r="AR95" s="64">
        <v>1</v>
      </c>
      <c r="AS95" s="32"/>
      <c r="AT95" s="32"/>
      <c r="AU95" s="40"/>
      <c r="AV95" s="40"/>
      <c r="AW95" s="41"/>
      <c r="AX95" s="23"/>
      <c r="AZ95" s="40"/>
      <c r="BA95" s="40"/>
      <c r="BB95" s="41"/>
      <c r="BC95" s="42"/>
      <c r="BD95" s="42"/>
      <c r="BE95" s="42"/>
      <c r="BF95" s="42"/>
      <c r="BG95" s="42"/>
      <c r="BI95" s="38"/>
      <c r="BJ95" s="39"/>
      <c r="BK95" s="38"/>
      <c r="BL95" s="38"/>
      <c r="BM95" s="38"/>
    </row>
    <row r="96" spans="1:65" x14ac:dyDescent="0.25">
      <c r="A96" s="13">
        <v>5551</v>
      </c>
      <c r="B96" s="14" t="s">
        <v>40</v>
      </c>
      <c r="C96" s="16">
        <v>685240.35</v>
      </c>
      <c r="D96" s="15">
        <v>100139.28</v>
      </c>
      <c r="E96" s="16">
        <v>0</v>
      </c>
      <c r="F96" s="15">
        <v>0</v>
      </c>
      <c r="G96" s="16">
        <v>245250.6</v>
      </c>
      <c r="H96" s="15">
        <v>173.45</v>
      </c>
      <c r="I96" s="16">
        <v>0</v>
      </c>
      <c r="J96" s="15">
        <v>12545.74</v>
      </c>
      <c r="K96" s="17">
        <v>934.8</v>
      </c>
      <c r="L96" s="16">
        <v>46028.85</v>
      </c>
      <c r="M96" s="3">
        <f t="shared" si="3"/>
        <v>1090313.07</v>
      </c>
      <c r="N96" s="15">
        <v>6810.8</v>
      </c>
      <c r="O96" s="16">
        <v>14137.1</v>
      </c>
      <c r="P96" s="15">
        <v>135526.79999999999</v>
      </c>
      <c r="Q96" s="16">
        <v>0</v>
      </c>
      <c r="R96" s="15">
        <v>18840.650000000001</v>
      </c>
      <c r="S96" s="16">
        <v>0</v>
      </c>
      <c r="T96" s="15">
        <v>0</v>
      </c>
      <c r="U96" s="16">
        <v>1800</v>
      </c>
      <c r="V96" s="15">
        <v>0</v>
      </c>
      <c r="W96" s="16">
        <v>0</v>
      </c>
      <c r="X96" s="2">
        <f t="shared" si="4"/>
        <v>1267428.4200000002</v>
      </c>
      <c r="Y96" s="18">
        <v>3780</v>
      </c>
      <c r="Z96" s="25"/>
      <c r="AA96" s="18">
        <v>86929.5</v>
      </c>
      <c r="AB96" s="25"/>
      <c r="AC96" s="18">
        <v>25247.05</v>
      </c>
      <c r="AD96" s="25">
        <v>4277</v>
      </c>
      <c r="AE96" s="18"/>
      <c r="AF96" s="25"/>
      <c r="AG96" s="18">
        <v>1566.7</v>
      </c>
      <c r="AH96" s="25">
        <v>34503</v>
      </c>
      <c r="AI96" s="18"/>
      <c r="AJ96" s="25"/>
      <c r="AK96" s="18"/>
      <c r="AL96" s="68">
        <f t="shared" si="5"/>
        <v>156303.25</v>
      </c>
      <c r="AM96" s="33">
        <v>55</v>
      </c>
      <c r="AN96" s="34">
        <v>514</v>
      </c>
      <c r="AO96" s="18">
        <v>-137.32</v>
      </c>
      <c r="AP96" s="25"/>
      <c r="AQ96" s="18">
        <v>-21.94</v>
      </c>
      <c r="AR96" s="64">
        <v>0.5</v>
      </c>
      <c r="AS96" s="32"/>
      <c r="AT96" s="32"/>
      <c r="AU96" s="40"/>
      <c r="AV96" s="40"/>
      <c r="AW96" s="41"/>
      <c r="AX96" s="23"/>
      <c r="AZ96" s="40"/>
      <c r="BA96" s="40"/>
      <c r="BB96" s="41"/>
      <c r="BC96" s="42"/>
      <c r="BD96" s="42"/>
      <c r="BE96" s="42"/>
      <c r="BF96" s="42"/>
      <c r="BG96" s="42"/>
      <c r="BI96" s="38"/>
      <c r="BJ96" s="39"/>
      <c r="BK96" s="38"/>
      <c r="BL96" s="38"/>
      <c r="BM96" s="38"/>
    </row>
    <row r="97" spans="1:65" x14ac:dyDescent="0.25">
      <c r="A97" s="13">
        <v>5552</v>
      </c>
      <c r="B97" s="14" t="s">
        <v>41</v>
      </c>
      <c r="C97" s="16">
        <v>801224.4</v>
      </c>
      <c r="D97" s="15">
        <v>123137.95</v>
      </c>
      <c r="E97" s="16">
        <v>0</v>
      </c>
      <c r="F97" s="15">
        <v>0</v>
      </c>
      <c r="G97" s="16">
        <v>9194.2999999999993</v>
      </c>
      <c r="H97" s="15">
        <v>2107.4499999999998</v>
      </c>
      <c r="I97" s="16">
        <v>18937.95</v>
      </c>
      <c r="J97" s="15">
        <v>21762.52</v>
      </c>
      <c r="K97" s="17">
        <v>1440</v>
      </c>
      <c r="L97" s="16">
        <v>101639.8</v>
      </c>
      <c r="M97" s="3">
        <f t="shared" si="3"/>
        <v>1079444.3699999999</v>
      </c>
      <c r="N97" s="15">
        <v>41725.199999999997</v>
      </c>
      <c r="O97" s="16">
        <v>3425.4</v>
      </c>
      <c r="P97" s="15">
        <v>78390.350000000006</v>
      </c>
      <c r="Q97" s="16">
        <v>124.22</v>
      </c>
      <c r="R97" s="15">
        <v>70872.7</v>
      </c>
      <c r="S97" s="16">
        <v>1110</v>
      </c>
      <c r="T97" s="15">
        <v>0</v>
      </c>
      <c r="U97" s="16">
        <v>5650</v>
      </c>
      <c r="V97" s="15">
        <v>0</v>
      </c>
      <c r="W97" s="16">
        <v>0</v>
      </c>
      <c r="X97" s="2">
        <f t="shared" si="4"/>
        <v>1280742.2399999998</v>
      </c>
      <c r="Y97" s="18">
        <v>19500</v>
      </c>
      <c r="Z97" s="25"/>
      <c r="AA97" s="18">
        <v>97192</v>
      </c>
      <c r="AB97" s="25"/>
      <c r="AC97" s="18">
        <v>62867.15</v>
      </c>
      <c r="AD97" s="25">
        <v>20975.599999999999</v>
      </c>
      <c r="AE97" s="18"/>
      <c r="AF97" s="25"/>
      <c r="AG97" s="18">
        <v>71568.800000000003</v>
      </c>
      <c r="AH97" s="25">
        <v>27156.35</v>
      </c>
      <c r="AI97" s="18"/>
      <c r="AJ97" s="25"/>
      <c r="AK97" s="18"/>
      <c r="AL97" s="68">
        <f t="shared" si="5"/>
        <v>299259.89999999997</v>
      </c>
      <c r="AM97" s="33">
        <v>70</v>
      </c>
      <c r="AN97" s="34">
        <v>596</v>
      </c>
      <c r="AO97" s="18">
        <v>-5485.41</v>
      </c>
      <c r="AP97" s="25"/>
      <c r="AQ97" s="18">
        <v>-0.38</v>
      </c>
      <c r="AR97" s="64">
        <v>1</v>
      </c>
      <c r="AS97" s="32"/>
      <c r="AT97" s="32"/>
      <c r="AU97" s="40"/>
      <c r="AV97" s="40"/>
      <c r="AW97" s="41"/>
      <c r="AX97" s="23"/>
      <c r="AZ97" s="40"/>
      <c r="BA97" s="40"/>
      <c r="BB97" s="41"/>
      <c r="BC97" s="42"/>
      <c r="BD97" s="42"/>
      <c r="BE97" s="42"/>
      <c r="BF97" s="42"/>
      <c r="BG97" s="42"/>
      <c r="BI97" s="38"/>
      <c r="BJ97" s="39"/>
      <c r="BK97" s="38"/>
      <c r="BL97" s="38"/>
      <c r="BM97" s="38"/>
    </row>
    <row r="98" spans="1:65" x14ac:dyDescent="0.25">
      <c r="A98" s="13">
        <v>5553</v>
      </c>
      <c r="B98" s="14" t="s">
        <v>42</v>
      </c>
      <c r="C98" s="16">
        <v>1554871.77</v>
      </c>
      <c r="D98" s="15">
        <v>257899.85</v>
      </c>
      <c r="E98" s="16">
        <v>0</v>
      </c>
      <c r="F98" s="15">
        <v>0</v>
      </c>
      <c r="G98" s="16">
        <v>168750.8</v>
      </c>
      <c r="H98" s="15">
        <v>7397.75</v>
      </c>
      <c r="I98" s="16">
        <v>0</v>
      </c>
      <c r="J98" s="15">
        <v>29637.09</v>
      </c>
      <c r="K98" s="17">
        <v>13505.5</v>
      </c>
      <c r="L98" s="16">
        <v>174226.75</v>
      </c>
      <c r="M98" s="3">
        <f t="shared" si="3"/>
        <v>2206289.5100000002</v>
      </c>
      <c r="N98" s="15">
        <v>91348.55</v>
      </c>
      <c r="O98" s="16">
        <v>3795.4</v>
      </c>
      <c r="P98" s="15">
        <v>36456.85</v>
      </c>
      <c r="Q98" s="16">
        <v>1526.32</v>
      </c>
      <c r="R98" s="15">
        <v>50257.95</v>
      </c>
      <c r="S98" s="16">
        <v>37.5</v>
      </c>
      <c r="T98" s="15">
        <v>0</v>
      </c>
      <c r="U98" s="16">
        <v>4000</v>
      </c>
      <c r="V98" s="15">
        <v>1363.45</v>
      </c>
      <c r="W98" s="16">
        <v>0</v>
      </c>
      <c r="X98" s="2">
        <f t="shared" si="4"/>
        <v>2395075.5300000003</v>
      </c>
      <c r="Y98" s="18">
        <v>5896</v>
      </c>
      <c r="Z98" s="25"/>
      <c r="AA98" s="18">
        <v>47021.25</v>
      </c>
      <c r="AB98" s="25"/>
      <c r="AC98" s="18">
        <v>46282.6</v>
      </c>
      <c r="AD98" s="25">
        <v>8174</v>
      </c>
      <c r="AE98" s="18"/>
      <c r="AF98" s="25"/>
      <c r="AG98" s="18"/>
      <c r="AH98" s="25"/>
      <c r="AI98" s="18"/>
      <c r="AJ98" s="25"/>
      <c r="AK98" s="18"/>
      <c r="AL98" s="68">
        <f t="shared" si="5"/>
        <v>107373.85</v>
      </c>
      <c r="AM98" s="33">
        <v>63</v>
      </c>
      <c r="AN98" s="34">
        <v>1005</v>
      </c>
      <c r="AO98" s="18">
        <v>-30408.12</v>
      </c>
      <c r="AP98" s="25"/>
      <c r="AQ98" s="18">
        <v>-4.29</v>
      </c>
      <c r="AR98" s="64">
        <v>1</v>
      </c>
      <c r="AS98" s="32"/>
      <c r="AT98" s="32"/>
      <c r="AU98" s="40"/>
      <c r="AV98" s="40"/>
      <c r="AW98" s="41"/>
      <c r="AX98" s="23"/>
      <c r="AZ98" s="40"/>
      <c r="BA98" s="40"/>
      <c r="BB98" s="41"/>
      <c r="BC98" s="42"/>
      <c r="BD98" s="42"/>
      <c r="BE98" s="42"/>
      <c r="BF98" s="42"/>
      <c r="BG98" s="42"/>
      <c r="BI98" s="38"/>
      <c r="BJ98" s="39"/>
      <c r="BK98" s="38"/>
      <c r="BL98" s="38"/>
      <c r="BM98" s="38"/>
    </row>
    <row r="99" spans="1:65" x14ac:dyDescent="0.25">
      <c r="A99" s="13">
        <v>5554</v>
      </c>
      <c r="B99" s="14" t="s">
        <v>43</v>
      </c>
      <c r="C99" s="16">
        <v>1613036.79</v>
      </c>
      <c r="D99" s="15">
        <v>315687.03999999998</v>
      </c>
      <c r="E99" s="16">
        <v>0</v>
      </c>
      <c r="F99" s="15">
        <v>9420</v>
      </c>
      <c r="G99" s="16">
        <v>61538.7</v>
      </c>
      <c r="H99" s="15">
        <v>472.1</v>
      </c>
      <c r="I99" s="16">
        <v>0</v>
      </c>
      <c r="J99" s="15">
        <v>38487.449999999997</v>
      </c>
      <c r="K99" s="17">
        <v>6236</v>
      </c>
      <c r="L99" s="16">
        <v>137374.04999999999</v>
      </c>
      <c r="M99" s="3">
        <f t="shared" si="3"/>
        <v>2182252.13</v>
      </c>
      <c r="N99" s="15">
        <v>5049.8</v>
      </c>
      <c r="O99" s="16">
        <v>8161.3</v>
      </c>
      <c r="P99" s="15">
        <v>44550.6</v>
      </c>
      <c r="Q99" s="16">
        <v>-309.66000000000003</v>
      </c>
      <c r="R99" s="15">
        <v>94869.8</v>
      </c>
      <c r="S99" s="16">
        <v>39</v>
      </c>
      <c r="T99" s="15">
        <v>1370</v>
      </c>
      <c r="U99" s="16">
        <v>6200</v>
      </c>
      <c r="V99" s="15">
        <v>578</v>
      </c>
      <c r="W99" s="16">
        <v>0</v>
      </c>
      <c r="X99" s="2">
        <f t="shared" si="4"/>
        <v>2342760.9699999993</v>
      </c>
      <c r="Y99" s="18">
        <v>2505</v>
      </c>
      <c r="Z99" s="25">
        <v>1028.25</v>
      </c>
      <c r="AA99" s="18">
        <v>79374.600000000006</v>
      </c>
      <c r="AB99" s="25">
        <v>0</v>
      </c>
      <c r="AC99" s="18">
        <v>53135.7</v>
      </c>
      <c r="AD99" s="25">
        <v>7079.95</v>
      </c>
      <c r="AE99" s="18">
        <v>1013.7</v>
      </c>
      <c r="AF99" s="25">
        <v>0</v>
      </c>
      <c r="AG99" s="18">
        <v>24489</v>
      </c>
      <c r="AH99" s="25">
        <v>31406.45</v>
      </c>
      <c r="AI99" s="18">
        <v>0</v>
      </c>
      <c r="AJ99" s="25">
        <v>0</v>
      </c>
      <c r="AK99" s="18">
        <v>0</v>
      </c>
      <c r="AL99" s="68">
        <f t="shared" si="5"/>
        <v>200032.65000000002</v>
      </c>
      <c r="AM99" s="33">
        <v>75</v>
      </c>
      <c r="AN99" s="34">
        <v>932</v>
      </c>
      <c r="AO99" s="18">
        <v>-12314.08</v>
      </c>
      <c r="AP99" s="25"/>
      <c r="AQ99" s="18">
        <v>-44.4</v>
      </c>
      <c r="AR99" s="64">
        <v>1</v>
      </c>
      <c r="AS99" s="32"/>
      <c r="AT99" s="32"/>
      <c r="AU99" s="40"/>
      <c r="AV99" s="40"/>
      <c r="AW99" s="41"/>
      <c r="AX99" s="23"/>
      <c r="AZ99" s="40"/>
      <c r="BA99" s="40"/>
      <c r="BB99" s="41"/>
      <c r="BC99" s="42"/>
      <c r="BD99" s="42"/>
      <c r="BE99" s="42"/>
      <c r="BF99" s="42"/>
      <c r="BG99" s="42"/>
      <c r="BI99" s="38"/>
      <c r="BJ99" s="39"/>
      <c r="BK99" s="38"/>
      <c r="BL99" s="38"/>
      <c r="BM99" s="38"/>
    </row>
    <row r="100" spans="1:65" x14ac:dyDescent="0.25">
      <c r="A100" s="13">
        <v>5555</v>
      </c>
      <c r="B100" s="14" t="s">
        <v>44</v>
      </c>
      <c r="C100" s="16">
        <v>523570.97</v>
      </c>
      <c r="D100" s="15">
        <v>103806.32</v>
      </c>
      <c r="E100" s="16">
        <v>0</v>
      </c>
      <c r="F100" s="15">
        <v>0</v>
      </c>
      <c r="G100" s="16">
        <v>995.35</v>
      </c>
      <c r="H100" s="15">
        <v>1989.75</v>
      </c>
      <c r="I100" s="16">
        <v>0</v>
      </c>
      <c r="J100" s="15">
        <v>-303.54000000000002</v>
      </c>
      <c r="K100" s="17">
        <v>1433.7</v>
      </c>
      <c r="L100" s="16">
        <v>65371.1</v>
      </c>
      <c r="M100" s="3">
        <f t="shared" si="3"/>
        <v>696863.64999999991</v>
      </c>
      <c r="N100" s="15">
        <v>8405.7999999999993</v>
      </c>
      <c r="O100" s="16">
        <v>-5352.8</v>
      </c>
      <c r="P100" s="15">
        <v>21678.45</v>
      </c>
      <c r="Q100" s="16">
        <v>1897.61</v>
      </c>
      <c r="R100" s="15">
        <v>70006.899999999994</v>
      </c>
      <c r="S100" s="16">
        <v>0</v>
      </c>
      <c r="T100" s="15">
        <v>0</v>
      </c>
      <c r="U100" s="16">
        <v>1320</v>
      </c>
      <c r="V100" s="15">
        <v>0</v>
      </c>
      <c r="W100" s="16">
        <v>0</v>
      </c>
      <c r="X100" s="2">
        <f t="shared" si="4"/>
        <v>794819.60999999987</v>
      </c>
      <c r="Y100" s="18"/>
      <c r="Z100" s="25"/>
      <c r="AA100" s="18">
        <v>91327.9</v>
      </c>
      <c r="AB100" s="25"/>
      <c r="AC100" s="18">
        <v>18471.650000000001</v>
      </c>
      <c r="AD100" s="25"/>
      <c r="AE100" s="18"/>
      <c r="AF100" s="25"/>
      <c r="AG100" s="18">
        <v>20145.599999999999</v>
      </c>
      <c r="AH100" s="25">
        <v>9689.35</v>
      </c>
      <c r="AI100" s="18"/>
      <c r="AJ100" s="25"/>
      <c r="AK100" s="18"/>
      <c r="AL100" s="68">
        <f t="shared" si="5"/>
        <v>139634.5</v>
      </c>
      <c r="AM100" s="33">
        <v>71</v>
      </c>
      <c r="AN100" s="34">
        <v>331</v>
      </c>
      <c r="AO100" s="18">
        <v>-20429.52</v>
      </c>
      <c r="AP100" s="25"/>
      <c r="AQ100" s="18">
        <v>0</v>
      </c>
      <c r="AR100" s="64">
        <v>1</v>
      </c>
      <c r="AS100" s="32"/>
      <c r="AT100" s="32"/>
      <c r="AU100" s="40"/>
      <c r="AV100" s="40"/>
      <c r="AW100" s="41"/>
      <c r="AX100" s="23"/>
      <c r="AZ100" s="40"/>
      <c r="BA100" s="40"/>
      <c r="BB100" s="41"/>
      <c r="BC100" s="42"/>
      <c r="BD100" s="42"/>
      <c r="BE100" s="42"/>
      <c r="BF100" s="42"/>
      <c r="BG100" s="42"/>
      <c r="BI100" s="38"/>
      <c r="BJ100" s="39"/>
      <c r="BK100" s="38"/>
      <c r="BL100" s="38"/>
      <c r="BM100" s="38"/>
    </row>
    <row r="101" spans="1:65" x14ac:dyDescent="0.25">
      <c r="A101" s="13">
        <v>5556</v>
      </c>
      <c r="B101" s="14" t="s">
        <v>45</v>
      </c>
      <c r="C101" s="16">
        <v>623899.82999999996</v>
      </c>
      <c r="D101" s="15">
        <v>64708.34</v>
      </c>
      <c r="E101" s="16">
        <v>0</v>
      </c>
      <c r="F101" s="15">
        <v>2210</v>
      </c>
      <c r="G101" s="16">
        <v>3504.95</v>
      </c>
      <c r="H101" s="15">
        <v>87.85</v>
      </c>
      <c r="I101" s="16">
        <v>0</v>
      </c>
      <c r="J101" s="15">
        <v>3095.31</v>
      </c>
      <c r="K101" s="17">
        <v>196.5</v>
      </c>
      <c r="L101" s="16">
        <v>68913.350000000006</v>
      </c>
      <c r="M101" s="3">
        <f t="shared" si="3"/>
        <v>766616.12999999989</v>
      </c>
      <c r="N101" s="15">
        <v>11623.35</v>
      </c>
      <c r="O101" s="16">
        <v>63058.2</v>
      </c>
      <c r="P101" s="15">
        <v>6908</v>
      </c>
      <c r="Q101" s="16">
        <v>652.5</v>
      </c>
      <c r="R101" s="15">
        <v>10710.5</v>
      </c>
      <c r="S101" s="16">
        <v>0</v>
      </c>
      <c r="T101" s="15">
        <v>100</v>
      </c>
      <c r="U101" s="16">
        <v>3060</v>
      </c>
      <c r="V101" s="15">
        <v>0</v>
      </c>
      <c r="W101" s="16">
        <v>0</v>
      </c>
      <c r="X101" s="2">
        <f t="shared" si="4"/>
        <v>862728.67999999982</v>
      </c>
      <c r="Y101" s="18"/>
      <c r="Z101" s="25"/>
      <c r="AA101" s="18">
        <v>62644.1</v>
      </c>
      <c r="AB101" s="25"/>
      <c r="AC101" s="18">
        <v>23512.85</v>
      </c>
      <c r="AD101" s="25">
        <v>585</v>
      </c>
      <c r="AE101" s="18"/>
      <c r="AF101" s="25"/>
      <c r="AG101" s="18">
        <v>480</v>
      </c>
      <c r="AH101" s="25"/>
      <c r="AI101" s="18"/>
      <c r="AJ101" s="25"/>
      <c r="AK101" s="18"/>
      <c r="AL101" s="68">
        <f t="shared" si="5"/>
        <v>87221.95</v>
      </c>
      <c r="AM101" s="33">
        <v>69</v>
      </c>
      <c r="AN101" s="34">
        <v>411</v>
      </c>
      <c r="AO101" s="18">
        <v>-1577.23</v>
      </c>
      <c r="AP101" s="25"/>
      <c r="AQ101" s="16">
        <v>-8.58</v>
      </c>
      <c r="AR101" s="64">
        <v>1.2</v>
      </c>
      <c r="AS101" s="35"/>
      <c r="AT101" s="35"/>
      <c r="AU101" s="40"/>
      <c r="AV101" s="40"/>
      <c r="AW101" s="41"/>
      <c r="AX101" s="23"/>
      <c r="AZ101" s="40"/>
      <c r="BA101" s="40"/>
      <c r="BB101" s="41"/>
      <c r="BC101" s="42"/>
      <c r="BD101" s="42"/>
      <c r="BE101" s="42"/>
      <c r="BF101" s="42"/>
      <c r="BG101" s="42"/>
      <c r="BI101" s="38"/>
      <c r="BJ101" s="39"/>
      <c r="BK101" s="38"/>
      <c r="BL101" s="38"/>
      <c r="BM101" s="38"/>
    </row>
    <row r="102" spans="1:65" x14ac:dyDescent="0.25">
      <c r="A102" s="13">
        <v>5557</v>
      </c>
      <c r="B102" s="14" t="s">
        <v>46</v>
      </c>
      <c r="C102" s="16">
        <v>264147.75</v>
      </c>
      <c r="D102" s="15">
        <v>20693.59</v>
      </c>
      <c r="E102" s="16">
        <v>0</v>
      </c>
      <c r="F102" s="15">
        <v>890</v>
      </c>
      <c r="G102" s="16">
        <v>10911.05</v>
      </c>
      <c r="H102" s="15">
        <v>5.05</v>
      </c>
      <c r="I102" s="16">
        <v>0</v>
      </c>
      <c r="J102" s="15">
        <v>750.9</v>
      </c>
      <c r="K102" s="17">
        <v>270.5</v>
      </c>
      <c r="L102" s="16">
        <v>21519.599999999999</v>
      </c>
      <c r="M102" s="3">
        <f t="shared" si="3"/>
        <v>319188.44</v>
      </c>
      <c r="N102" s="15" t="s">
        <v>512</v>
      </c>
      <c r="O102" s="16">
        <v>50000</v>
      </c>
      <c r="P102" s="15">
        <v>0</v>
      </c>
      <c r="Q102" s="16">
        <v>0</v>
      </c>
      <c r="R102" s="15">
        <v>23679.55</v>
      </c>
      <c r="S102" s="16">
        <v>0</v>
      </c>
      <c r="T102" s="15">
        <v>0</v>
      </c>
      <c r="U102" s="16">
        <v>510</v>
      </c>
      <c r="V102" s="15">
        <v>0</v>
      </c>
      <c r="W102" s="16">
        <v>0</v>
      </c>
      <c r="X102" s="2">
        <f t="shared" si="4"/>
        <v>393377.99</v>
      </c>
      <c r="Y102" s="18">
        <v>9000</v>
      </c>
      <c r="Z102" s="25"/>
      <c r="AA102" s="18">
        <v>21600</v>
      </c>
      <c r="AB102" s="25"/>
      <c r="AC102" s="18">
        <v>18759.75</v>
      </c>
      <c r="AD102" s="25">
        <v>4500</v>
      </c>
      <c r="AE102" s="18"/>
      <c r="AF102" s="25"/>
      <c r="AG102" s="18"/>
      <c r="AH102" s="25"/>
      <c r="AI102" s="18"/>
      <c r="AJ102" s="25"/>
      <c r="AK102" s="18"/>
      <c r="AL102" s="68">
        <f t="shared" si="5"/>
        <v>53859.75</v>
      </c>
      <c r="AM102" s="33">
        <v>69</v>
      </c>
      <c r="AN102" s="34">
        <v>183</v>
      </c>
      <c r="AO102" s="18">
        <v>-2144.98</v>
      </c>
      <c r="AP102" s="25"/>
      <c r="AQ102" s="18">
        <v>-0.08</v>
      </c>
      <c r="AR102" s="64">
        <v>1</v>
      </c>
      <c r="AS102" s="32"/>
      <c r="AT102" s="32"/>
      <c r="AU102" s="40"/>
      <c r="AV102" s="40"/>
      <c r="AW102" s="41"/>
      <c r="AX102" s="23"/>
      <c r="AZ102" s="40"/>
      <c r="BA102" s="40"/>
      <c r="BB102" s="41"/>
      <c r="BC102" s="42"/>
      <c r="BD102" s="42"/>
      <c r="BE102" s="42"/>
      <c r="BF102" s="42"/>
      <c r="BG102" s="42"/>
      <c r="BI102" s="38"/>
      <c r="BJ102" s="39"/>
      <c r="BK102" s="38"/>
      <c r="BL102" s="38"/>
      <c r="BM102" s="38"/>
    </row>
    <row r="103" spans="1:65" x14ac:dyDescent="0.25">
      <c r="A103" s="13">
        <v>5559</v>
      </c>
      <c r="B103" s="14" t="s">
        <v>47</v>
      </c>
      <c r="C103" s="16">
        <v>640688.59</v>
      </c>
      <c r="D103" s="15">
        <v>185439.97</v>
      </c>
      <c r="E103" s="16">
        <v>0</v>
      </c>
      <c r="F103" s="15">
        <v>0</v>
      </c>
      <c r="G103" s="16">
        <v>63805.65</v>
      </c>
      <c r="H103" s="15">
        <v>-87.6</v>
      </c>
      <c r="I103" s="16">
        <v>0</v>
      </c>
      <c r="J103" s="15">
        <v>18561.12</v>
      </c>
      <c r="K103" s="17">
        <v>2965.5</v>
      </c>
      <c r="L103" s="16">
        <v>74798.899999999994</v>
      </c>
      <c r="M103" s="3">
        <f t="shared" si="3"/>
        <v>986172.13</v>
      </c>
      <c r="N103" s="15">
        <v>20125.150000000001</v>
      </c>
      <c r="O103" s="16">
        <v>92904.1</v>
      </c>
      <c r="P103" s="15">
        <v>36113.9</v>
      </c>
      <c r="Q103" s="16">
        <v>0</v>
      </c>
      <c r="R103" s="15">
        <v>133581.75</v>
      </c>
      <c r="S103" s="16">
        <v>0</v>
      </c>
      <c r="T103" s="15">
        <v>250</v>
      </c>
      <c r="U103" s="16">
        <v>900</v>
      </c>
      <c r="V103" s="15">
        <v>265.8</v>
      </c>
      <c r="W103" s="16">
        <v>0</v>
      </c>
      <c r="X103" s="2">
        <f t="shared" si="4"/>
        <v>1270312.83</v>
      </c>
      <c r="Y103" s="18"/>
      <c r="Z103" s="25"/>
      <c r="AA103" s="18">
        <v>80977.649999999994</v>
      </c>
      <c r="AB103" s="25"/>
      <c r="AC103" s="18">
        <v>24552.799999999999</v>
      </c>
      <c r="AD103" s="25"/>
      <c r="AE103" s="18"/>
      <c r="AF103" s="25"/>
      <c r="AG103" s="18">
        <v>4620.2</v>
      </c>
      <c r="AH103" s="25"/>
      <c r="AI103" s="18"/>
      <c r="AJ103" s="25"/>
      <c r="AK103" s="18"/>
      <c r="AL103" s="68">
        <f t="shared" si="5"/>
        <v>110150.65</v>
      </c>
      <c r="AM103" s="33">
        <v>66</v>
      </c>
      <c r="AN103" s="34">
        <v>384</v>
      </c>
      <c r="AO103" s="18">
        <v>-12452.28</v>
      </c>
      <c r="AP103" s="25"/>
      <c r="AQ103" s="18">
        <v>-298.44</v>
      </c>
      <c r="AR103" s="64">
        <v>1</v>
      </c>
      <c r="AS103" s="32"/>
      <c r="AT103" s="32"/>
      <c r="AU103" s="40"/>
      <c r="AV103" s="40"/>
      <c r="AW103" s="41"/>
      <c r="AX103" s="23"/>
      <c r="AZ103" s="40"/>
      <c r="BA103" s="40"/>
      <c r="BB103" s="41"/>
      <c r="BC103" s="42"/>
      <c r="BD103" s="42"/>
      <c r="BE103" s="42"/>
      <c r="BF103" s="42"/>
      <c r="BG103" s="42"/>
      <c r="BI103" s="38"/>
      <c r="BJ103" s="39"/>
      <c r="BK103" s="38"/>
      <c r="BL103" s="38"/>
      <c r="BM103" s="38"/>
    </row>
    <row r="104" spans="1:65" x14ac:dyDescent="0.25">
      <c r="A104" s="13">
        <v>5560</v>
      </c>
      <c r="B104" s="14" t="s">
        <v>48</v>
      </c>
      <c r="C104" s="16">
        <v>337910.82</v>
      </c>
      <c r="D104" s="15">
        <v>27411.119999999999</v>
      </c>
      <c r="E104" s="16">
        <v>0</v>
      </c>
      <c r="F104" s="15">
        <v>0</v>
      </c>
      <c r="G104" s="16">
        <v>881.8</v>
      </c>
      <c r="H104" s="15">
        <v>7</v>
      </c>
      <c r="I104" s="16">
        <v>0</v>
      </c>
      <c r="J104" s="15">
        <v>4358.21</v>
      </c>
      <c r="K104" s="17">
        <v>248</v>
      </c>
      <c r="L104" s="16">
        <v>33459.75</v>
      </c>
      <c r="M104" s="3">
        <f t="shared" si="3"/>
        <v>404276.7</v>
      </c>
      <c r="N104" s="15" t="s">
        <v>512</v>
      </c>
      <c r="O104" s="16" t="s">
        <v>512</v>
      </c>
      <c r="P104" s="15">
        <v>29814.400000000001</v>
      </c>
      <c r="Q104" s="16">
        <v>82.14</v>
      </c>
      <c r="R104" s="15">
        <v>62537.95</v>
      </c>
      <c r="S104" s="16">
        <v>0</v>
      </c>
      <c r="T104" s="15">
        <v>0</v>
      </c>
      <c r="U104" s="16">
        <v>1500</v>
      </c>
      <c r="V104" s="15">
        <v>0</v>
      </c>
      <c r="W104" s="16">
        <v>0</v>
      </c>
      <c r="X104" s="2">
        <f t="shared" si="4"/>
        <v>498211.19000000006</v>
      </c>
      <c r="Y104" s="18"/>
      <c r="Z104" s="25"/>
      <c r="AA104" s="18">
        <v>31614.400000000001</v>
      </c>
      <c r="AB104" s="25"/>
      <c r="AC104" s="18">
        <v>13153.2</v>
      </c>
      <c r="AD104" s="25"/>
      <c r="AE104" s="18"/>
      <c r="AF104" s="25"/>
      <c r="AG104" s="18"/>
      <c r="AH104" s="25"/>
      <c r="AI104" s="18"/>
      <c r="AJ104" s="25"/>
      <c r="AK104" s="18"/>
      <c r="AL104" s="68">
        <f t="shared" si="5"/>
        <v>44767.600000000006</v>
      </c>
      <c r="AM104" s="33">
        <v>66</v>
      </c>
      <c r="AN104" s="34">
        <v>226</v>
      </c>
      <c r="AO104" s="18">
        <v>-626.13</v>
      </c>
      <c r="AP104" s="25"/>
      <c r="AQ104" s="18">
        <v>0</v>
      </c>
      <c r="AR104" s="64">
        <v>1</v>
      </c>
      <c r="AS104" s="32"/>
      <c r="AT104" s="32"/>
      <c r="AU104" s="40"/>
      <c r="AV104" s="40"/>
      <c r="AW104" s="41"/>
      <c r="AX104" s="23"/>
      <c r="AZ104" s="40"/>
      <c r="BA104" s="40"/>
      <c r="BB104" s="41"/>
      <c r="BC104" s="42"/>
      <c r="BD104" s="42"/>
      <c r="BE104" s="42"/>
      <c r="BF104" s="42"/>
      <c r="BG104" s="42"/>
      <c r="BI104" s="38"/>
      <c r="BJ104" s="39"/>
      <c r="BK104" s="38"/>
      <c r="BL104" s="38"/>
      <c r="BM104" s="38"/>
    </row>
    <row r="105" spans="1:65" x14ac:dyDescent="0.25">
      <c r="A105" s="13">
        <v>5561</v>
      </c>
      <c r="B105" s="14" t="s">
        <v>49</v>
      </c>
      <c r="C105" s="16">
        <v>5849402.5</v>
      </c>
      <c r="D105" s="15">
        <v>717560.39</v>
      </c>
      <c r="E105" s="16">
        <v>0</v>
      </c>
      <c r="F105" s="15">
        <v>0</v>
      </c>
      <c r="G105" s="16">
        <v>352419.85</v>
      </c>
      <c r="H105" s="15">
        <v>8267.4</v>
      </c>
      <c r="I105" s="16">
        <v>28562.65</v>
      </c>
      <c r="J105" s="15">
        <v>95589.15</v>
      </c>
      <c r="K105" s="17">
        <v>19056.5</v>
      </c>
      <c r="L105" s="16">
        <v>517106.4</v>
      </c>
      <c r="M105" s="3">
        <f t="shared" si="3"/>
        <v>7587964.8400000008</v>
      </c>
      <c r="N105" s="15">
        <v>291563.84999999998</v>
      </c>
      <c r="O105" s="16">
        <v>151822.29999999999</v>
      </c>
      <c r="P105" s="15">
        <v>200210.4</v>
      </c>
      <c r="Q105" s="16">
        <v>11439.79</v>
      </c>
      <c r="R105" s="15">
        <v>182851.5</v>
      </c>
      <c r="S105" s="16">
        <v>0</v>
      </c>
      <c r="T105" s="15">
        <v>7868</v>
      </c>
      <c r="U105" s="16">
        <v>10038.35</v>
      </c>
      <c r="V105" s="15">
        <v>0</v>
      </c>
      <c r="W105" s="16">
        <v>0</v>
      </c>
      <c r="X105" s="2">
        <f t="shared" si="4"/>
        <v>8443759.0299999993</v>
      </c>
      <c r="Y105" s="18">
        <v>32277.85</v>
      </c>
      <c r="Z105" s="25"/>
      <c r="AA105" s="18">
        <v>481303.5</v>
      </c>
      <c r="AB105" s="25"/>
      <c r="AC105" s="18">
        <v>285358.90000000002</v>
      </c>
      <c r="AD105" s="25">
        <v>118705.65</v>
      </c>
      <c r="AE105" s="18"/>
      <c r="AF105" s="25"/>
      <c r="AG105" s="18">
        <v>63510.1</v>
      </c>
      <c r="AH105" s="25">
        <v>49000</v>
      </c>
      <c r="AI105" s="18"/>
      <c r="AJ105" s="25"/>
      <c r="AK105" s="18"/>
      <c r="AL105" s="68">
        <f t="shared" si="5"/>
        <v>1030156</v>
      </c>
      <c r="AM105" s="33">
        <v>69</v>
      </c>
      <c r="AN105" s="34">
        <v>3244</v>
      </c>
      <c r="AO105" s="18">
        <v>-83930.67</v>
      </c>
      <c r="AP105" s="25">
        <v>-25778.45</v>
      </c>
      <c r="AQ105" s="18">
        <v>-765.92</v>
      </c>
      <c r="AR105" s="64">
        <v>1</v>
      </c>
      <c r="AS105" s="32"/>
      <c r="AT105" s="32"/>
      <c r="AU105" s="40"/>
      <c r="AV105" s="40"/>
      <c r="AW105" s="41"/>
      <c r="AX105" s="23"/>
      <c r="AZ105" s="40"/>
      <c r="BA105" s="40"/>
      <c r="BB105" s="41"/>
      <c r="BC105" s="42"/>
      <c r="BD105" s="42"/>
      <c r="BE105" s="42"/>
      <c r="BF105" s="42"/>
      <c r="BG105" s="42"/>
      <c r="BI105" s="38"/>
      <c r="BJ105" s="39"/>
      <c r="BK105" s="38"/>
      <c r="BL105" s="38"/>
      <c r="BM105" s="38"/>
    </row>
    <row r="106" spans="1:65" x14ac:dyDescent="0.25">
      <c r="A106" s="13">
        <v>5562</v>
      </c>
      <c r="B106" s="14" t="s">
        <v>50</v>
      </c>
      <c r="C106" s="16">
        <v>145526.65</v>
      </c>
      <c r="D106" s="15">
        <v>59185.440000000002</v>
      </c>
      <c r="E106" s="16">
        <v>0</v>
      </c>
      <c r="F106" s="15">
        <v>690</v>
      </c>
      <c r="G106" s="16">
        <v>2158.6</v>
      </c>
      <c r="H106" s="15">
        <v>55.5</v>
      </c>
      <c r="I106" s="16">
        <v>0</v>
      </c>
      <c r="J106" s="15">
        <v>4164.83</v>
      </c>
      <c r="K106" s="17">
        <v>1155.5</v>
      </c>
      <c r="L106" s="16">
        <v>30550</v>
      </c>
      <c r="M106" s="3">
        <f t="shared" si="3"/>
        <v>243486.52</v>
      </c>
      <c r="N106" s="15" t="s">
        <v>512</v>
      </c>
      <c r="O106" s="16" t="s">
        <v>512</v>
      </c>
      <c r="P106" s="15">
        <v>25881.95</v>
      </c>
      <c r="Q106" s="16">
        <v>0</v>
      </c>
      <c r="R106" s="15">
        <v>29574.65</v>
      </c>
      <c r="S106" s="16">
        <v>0</v>
      </c>
      <c r="T106" s="15">
        <v>225</v>
      </c>
      <c r="U106" s="16">
        <v>550</v>
      </c>
      <c r="V106" s="15">
        <v>0</v>
      </c>
      <c r="W106" s="16">
        <v>0</v>
      </c>
      <c r="X106" s="2">
        <f t="shared" si="4"/>
        <v>299718.12</v>
      </c>
      <c r="Y106" s="18">
        <v>7200</v>
      </c>
      <c r="Z106" s="25"/>
      <c r="AA106" s="18">
        <v>39161.5</v>
      </c>
      <c r="AB106" s="25"/>
      <c r="AC106" s="18">
        <v>17599.5</v>
      </c>
      <c r="AD106" s="25">
        <v>2700</v>
      </c>
      <c r="AE106" s="18"/>
      <c r="AF106" s="25"/>
      <c r="AG106" s="18">
        <v>7074.1</v>
      </c>
      <c r="AH106" s="25"/>
      <c r="AI106" s="18"/>
      <c r="AJ106" s="25"/>
      <c r="AK106" s="18"/>
      <c r="AL106" s="68">
        <f t="shared" si="5"/>
        <v>73735.100000000006</v>
      </c>
      <c r="AM106" s="33">
        <v>70</v>
      </c>
      <c r="AN106" s="34">
        <v>110</v>
      </c>
      <c r="AO106" s="18">
        <v>-1934.76</v>
      </c>
      <c r="AP106" s="25"/>
      <c r="AQ106" s="18">
        <v>-0.03</v>
      </c>
      <c r="AR106" s="64">
        <v>1.2</v>
      </c>
      <c r="AS106" s="32"/>
      <c r="AT106" s="32"/>
      <c r="AU106" s="40"/>
      <c r="AV106" s="40"/>
      <c r="AW106" s="41"/>
      <c r="AX106" s="23"/>
      <c r="AZ106" s="40"/>
      <c r="BA106" s="40"/>
      <c r="BB106" s="41"/>
      <c r="BC106" s="42"/>
      <c r="BD106" s="42"/>
      <c r="BE106" s="42"/>
      <c r="BF106" s="42"/>
      <c r="BG106" s="42"/>
      <c r="BI106" s="38"/>
      <c r="BJ106" s="39"/>
      <c r="BK106" s="38"/>
      <c r="BL106" s="38"/>
      <c r="BM106" s="38"/>
    </row>
    <row r="107" spans="1:65" x14ac:dyDescent="0.25">
      <c r="A107" s="13">
        <v>5563</v>
      </c>
      <c r="B107" s="14" t="s">
        <v>330</v>
      </c>
      <c r="C107" s="16">
        <v>232824.4</v>
      </c>
      <c r="D107" s="15">
        <v>38342.47</v>
      </c>
      <c r="E107" s="16">
        <v>0</v>
      </c>
      <c r="F107" s="15">
        <v>492</v>
      </c>
      <c r="G107" s="16">
        <v>960.8</v>
      </c>
      <c r="H107" s="15">
        <v>7.15</v>
      </c>
      <c r="I107" s="16">
        <v>0</v>
      </c>
      <c r="J107" s="15">
        <v>4888.6899999999996</v>
      </c>
      <c r="K107" s="17">
        <v>0</v>
      </c>
      <c r="L107" s="16">
        <v>15643.5</v>
      </c>
      <c r="M107" s="3">
        <f t="shared" si="3"/>
        <v>293159.01</v>
      </c>
      <c r="N107" s="15" t="s">
        <v>512</v>
      </c>
      <c r="O107" s="16">
        <v>7200</v>
      </c>
      <c r="P107" s="15">
        <v>10998</v>
      </c>
      <c r="Q107" s="16">
        <v>0</v>
      </c>
      <c r="R107" s="15">
        <v>187.25</v>
      </c>
      <c r="S107" s="16">
        <v>0</v>
      </c>
      <c r="T107" s="15">
        <v>200</v>
      </c>
      <c r="U107" s="16">
        <v>700</v>
      </c>
      <c r="V107" s="15">
        <v>0</v>
      </c>
      <c r="W107" s="16">
        <v>0</v>
      </c>
      <c r="X107" s="2">
        <f t="shared" si="4"/>
        <v>312444.26</v>
      </c>
      <c r="Y107" s="18"/>
      <c r="Z107" s="25"/>
      <c r="AA107" s="18">
        <v>29140.5</v>
      </c>
      <c r="AB107" s="25"/>
      <c r="AC107" s="18">
        <v>9465</v>
      </c>
      <c r="AD107" s="25"/>
      <c r="AE107" s="18"/>
      <c r="AF107" s="25"/>
      <c r="AG107" s="18"/>
      <c r="AH107" s="25"/>
      <c r="AI107" s="18"/>
      <c r="AJ107" s="25"/>
      <c r="AK107" s="18"/>
      <c r="AL107" s="68">
        <f t="shared" si="5"/>
        <v>38605.5</v>
      </c>
      <c r="AM107" s="33">
        <v>78.5</v>
      </c>
      <c r="AN107" s="34">
        <v>149</v>
      </c>
      <c r="AO107" s="18">
        <v>-67.069999999999993</v>
      </c>
      <c r="AP107" s="25"/>
      <c r="AQ107" s="18">
        <v>0</v>
      </c>
      <c r="AR107" s="64">
        <v>1</v>
      </c>
      <c r="AS107" s="32"/>
      <c r="AT107" s="32"/>
      <c r="AU107" s="40"/>
      <c r="AV107" s="40"/>
      <c r="AW107" s="41"/>
      <c r="AX107" s="23"/>
      <c r="AZ107" s="40"/>
      <c r="BA107" s="40"/>
      <c r="BB107" s="41"/>
      <c r="BC107" s="42"/>
      <c r="BD107" s="42"/>
      <c r="BE107" s="42"/>
      <c r="BF107" s="42"/>
      <c r="BG107" s="42"/>
      <c r="BI107" s="38"/>
      <c r="BJ107" s="39"/>
      <c r="BK107" s="38"/>
      <c r="BL107" s="38"/>
      <c r="BM107" s="38"/>
    </row>
    <row r="108" spans="1:65" x14ac:dyDescent="0.25">
      <c r="A108" s="13">
        <v>5564</v>
      </c>
      <c r="B108" s="14" t="s">
        <v>331</v>
      </c>
      <c r="C108" s="16">
        <v>157368.95999999999</v>
      </c>
      <c r="D108" s="15">
        <v>11667.69</v>
      </c>
      <c r="E108" s="16">
        <v>0</v>
      </c>
      <c r="F108" s="15">
        <v>0</v>
      </c>
      <c r="G108" s="16">
        <v>152.15</v>
      </c>
      <c r="H108" s="15">
        <v>4.95</v>
      </c>
      <c r="I108" s="16">
        <v>0</v>
      </c>
      <c r="J108" s="15">
        <v>1535.14</v>
      </c>
      <c r="K108" s="17">
        <v>0</v>
      </c>
      <c r="L108" s="16">
        <v>9336.75</v>
      </c>
      <c r="M108" s="3">
        <f t="shared" si="3"/>
        <v>180065.64</v>
      </c>
      <c r="N108" s="15" t="s">
        <v>512</v>
      </c>
      <c r="O108" s="16" t="s">
        <v>512</v>
      </c>
      <c r="P108" s="15">
        <v>7150</v>
      </c>
      <c r="Q108" s="16">
        <v>0</v>
      </c>
      <c r="R108" s="15">
        <v>9715.4</v>
      </c>
      <c r="S108" s="16">
        <v>0</v>
      </c>
      <c r="T108" s="15">
        <v>100</v>
      </c>
      <c r="U108" s="16">
        <v>350</v>
      </c>
      <c r="V108" s="15">
        <v>0</v>
      </c>
      <c r="W108" s="16">
        <v>0</v>
      </c>
      <c r="X108" s="2">
        <f t="shared" si="4"/>
        <v>197381.04</v>
      </c>
      <c r="Y108" s="18"/>
      <c r="Z108" s="25"/>
      <c r="AA108" s="18">
        <v>25460</v>
      </c>
      <c r="AB108" s="25"/>
      <c r="AC108" s="18">
        <v>8789.7999999999993</v>
      </c>
      <c r="AD108" s="25"/>
      <c r="AE108" s="18"/>
      <c r="AF108" s="25"/>
      <c r="AG108" s="18"/>
      <c r="AH108" s="25"/>
      <c r="AI108" s="18"/>
      <c r="AJ108" s="25"/>
      <c r="AK108" s="18"/>
      <c r="AL108" s="68">
        <f t="shared" si="5"/>
        <v>34249.800000000003</v>
      </c>
      <c r="AM108" s="33">
        <v>76</v>
      </c>
      <c r="AN108" s="34">
        <v>102</v>
      </c>
      <c r="AO108" s="18">
        <v>-23.16</v>
      </c>
      <c r="AP108" s="25"/>
      <c r="AQ108" s="18">
        <v>-8.81</v>
      </c>
      <c r="AR108" s="64">
        <v>0.8</v>
      </c>
      <c r="AS108" s="32"/>
      <c r="AT108" s="32"/>
      <c r="AU108" s="40"/>
      <c r="AV108" s="40"/>
      <c r="AW108" s="41"/>
      <c r="AX108" s="23"/>
      <c r="AZ108" s="40"/>
      <c r="BA108" s="40"/>
      <c r="BB108" s="41"/>
      <c r="BC108" s="42"/>
      <c r="BD108" s="42"/>
      <c r="BE108" s="42"/>
      <c r="BF108" s="42"/>
      <c r="BG108" s="42"/>
      <c r="BI108" s="38"/>
      <c r="BJ108" s="39"/>
      <c r="BK108" s="38"/>
      <c r="BL108" s="38"/>
      <c r="BM108" s="38"/>
    </row>
    <row r="109" spans="1:65" x14ac:dyDescent="0.25">
      <c r="A109" s="13">
        <v>5565</v>
      </c>
      <c r="B109" s="14" t="s">
        <v>332</v>
      </c>
      <c r="C109" s="16">
        <v>888524.11</v>
      </c>
      <c r="D109" s="15">
        <v>85197.97</v>
      </c>
      <c r="E109" s="16">
        <v>0</v>
      </c>
      <c r="F109" s="15">
        <v>0</v>
      </c>
      <c r="G109" s="16">
        <v>50644.800000000003</v>
      </c>
      <c r="H109" s="15">
        <v>72455</v>
      </c>
      <c r="I109" s="16">
        <v>0</v>
      </c>
      <c r="J109" s="15">
        <v>-37478.6</v>
      </c>
      <c r="K109" s="17">
        <v>2026</v>
      </c>
      <c r="L109" s="16">
        <v>62669.35</v>
      </c>
      <c r="M109" s="3">
        <f t="shared" si="3"/>
        <v>1124038.6299999999</v>
      </c>
      <c r="N109" s="15">
        <v>38236.699999999997</v>
      </c>
      <c r="O109" s="16">
        <v>102600</v>
      </c>
      <c r="P109" s="15">
        <v>452337.25</v>
      </c>
      <c r="Q109" s="16">
        <v>0</v>
      </c>
      <c r="R109" s="15">
        <v>21232.2</v>
      </c>
      <c r="S109" s="16">
        <v>0</v>
      </c>
      <c r="T109" s="15">
        <v>2609.9</v>
      </c>
      <c r="U109" s="16">
        <v>2280</v>
      </c>
      <c r="V109" s="15">
        <v>452.2</v>
      </c>
      <c r="W109" s="16">
        <v>0</v>
      </c>
      <c r="X109" s="2">
        <f t="shared" si="4"/>
        <v>1743786.8799999997</v>
      </c>
      <c r="Y109" s="18">
        <v>4021.6</v>
      </c>
      <c r="Z109" s="25"/>
      <c r="AA109" s="18">
        <v>77275.399999999994</v>
      </c>
      <c r="AB109" s="25"/>
      <c r="AC109" s="18">
        <v>26354.45</v>
      </c>
      <c r="AD109" s="25"/>
      <c r="AE109" s="18"/>
      <c r="AF109" s="25"/>
      <c r="AG109" s="18">
        <v>4252.3</v>
      </c>
      <c r="AH109" s="25">
        <v>39885.550000000003</v>
      </c>
      <c r="AI109" s="18"/>
      <c r="AJ109" s="25"/>
      <c r="AK109" s="18"/>
      <c r="AL109" s="68">
        <f t="shared" si="5"/>
        <v>151789.29999999999</v>
      </c>
      <c r="AM109" s="33">
        <v>65</v>
      </c>
      <c r="AN109" s="34">
        <v>500</v>
      </c>
      <c r="AO109" s="18">
        <v>-14882.31</v>
      </c>
      <c r="AP109" s="25"/>
      <c r="AQ109" s="18">
        <v>-3.03</v>
      </c>
      <c r="AR109" s="64">
        <v>0.5</v>
      </c>
      <c r="AS109" s="32"/>
      <c r="AT109" s="32"/>
      <c r="AU109" s="40"/>
      <c r="AV109" s="40"/>
      <c r="AW109" s="41"/>
      <c r="AX109" s="23"/>
      <c r="AZ109" s="40"/>
      <c r="BA109" s="40"/>
      <c r="BB109" s="41"/>
      <c r="BC109" s="42"/>
      <c r="BD109" s="42"/>
      <c r="BE109" s="42"/>
      <c r="BF109" s="42"/>
      <c r="BG109" s="42"/>
      <c r="BI109" s="38"/>
      <c r="BJ109" s="39"/>
      <c r="BK109" s="38"/>
      <c r="BL109" s="38"/>
      <c r="BM109" s="38"/>
    </row>
    <row r="110" spans="1:65" x14ac:dyDescent="0.25">
      <c r="A110" s="13">
        <v>5566</v>
      </c>
      <c r="B110" s="14" t="s">
        <v>333</v>
      </c>
      <c r="C110" s="16">
        <v>452679.39</v>
      </c>
      <c r="D110" s="15">
        <v>38228.42</v>
      </c>
      <c r="E110" s="16">
        <v>0</v>
      </c>
      <c r="F110" s="15">
        <v>2390</v>
      </c>
      <c r="G110" s="16">
        <v>6645.7</v>
      </c>
      <c r="H110" s="15">
        <v>1439.1</v>
      </c>
      <c r="I110" s="16">
        <v>0</v>
      </c>
      <c r="J110" s="15">
        <v>19410.66</v>
      </c>
      <c r="K110" s="17">
        <v>2138</v>
      </c>
      <c r="L110" s="16">
        <v>66667.350000000006</v>
      </c>
      <c r="M110" s="3">
        <f t="shared" si="3"/>
        <v>589598.62</v>
      </c>
      <c r="N110" s="15">
        <v>26218.05</v>
      </c>
      <c r="O110" s="16">
        <v>11757.7</v>
      </c>
      <c r="P110" s="15">
        <v>8461.5</v>
      </c>
      <c r="Q110" s="16">
        <v>1363.5</v>
      </c>
      <c r="R110" s="15">
        <v>8796.35</v>
      </c>
      <c r="S110" s="16">
        <v>156.25</v>
      </c>
      <c r="T110" s="15">
        <v>1305</v>
      </c>
      <c r="U110" s="16">
        <v>1570</v>
      </c>
      <c r="V110" s="15">
        <v>0</v>
      </c>
      <c r="W110" s="16">
        <v>0</v>
      </c>
      <c r="X110" s="2">
        <f t="shared" si="4"/>
        <v>649226.97</v>
      </c>
      <c r="Y110" s="18"/>
      <c r="Z110" s="25"/>
      <c r="AA110" s="18">
        <v>22198.35</v>
      </c>
      <c r="AB110" s="25"/>
      <c r="AC110" s="18">
        <v>34771.35</v>
      </c>
      <c r="AD110" s="25"/>
      <c r="AE110" s="18"/>
      <c r="AF110" s="25"/>
      <c r="AG110" s="18"/>
      <c r="AH110" s="25"/>
      <c r="AI110" s="18"/>
      <c r="AJ110" s="25"/>
      <c r="AK110" s="18"/>
      <c r="AL110" s="68">
        <f t="shared" si="5"/>
        <v>56969.7</v>
      </c>
      <c r="AM110" s="33">
        <v>81</v>
      </c>
      <c r="AN110" s="34">
        <v>373</v>
      </c>
      <c r="AO110" s="18">
        <v>-5504.07</v>
      </c>
      <c r="AP110" s="25"/>
      <c r="AQ110" s="18">
        <v>0</v>
      </c>
      <c r="AR110" s="64">
        <v>1.5</v>
      </c>
      <c r="AS110" s="32"/>
      <c r="AT110" s="32"/>
      <c r="AU110" s="40"/>
      <c r="AV110" s="40"/>
      <c r="AW110" s="41"/>
      <c r="AX110" s="23"/>
      <c r="AZ110" s="40"/>
      <c r="BA110" s="40"/>
      <c r="BB110" s="41"/>
      <c r="BC110" s="42"/>
      <c r="BD110" s="42"/>
      <c r="BE110" s="42"/>
      <c r="BF110" s="42"/>
      <c r="BG110" s="42"/>
      <c r="BI110" s="38"/>
      <c r="BJ110" s="39"/>
      <c r="BK110" s="38"/>
      <c r="BL110" s="38"/>
      <c r="BM110" s="38"/>
    </row>
    <row r="111" spans="1:65" x14ac:dyDescent="0.25">
      <c r="A111" s="13">
        <v>5568</v>
      </c>
      <c r="B111" s="14" t="s">
        <v>155</v>
      </c>
      <c r="C111" s="16">
        <v>4987976.45</v>
      </c>
      <c r="D111" s="15">
        <v>605006.14</v>
      </c>
      <c r="E111" s="16">
        <v>0</v>
      </c>
      <c r="F111" s="15">
        <v>0</v>
      </c>
      <c r="G111" s="16">
        <v>431824.05</v>
      </c>
      <c r="H111" s="15">
        <v>41402.9</v>
      </c>
      <c r="I111" s="16">
        <v>16196.85</v>
      </c>
      <c r="J111" s="15">
        <v>196625.32</v>
      </c>
      <c r="K111" s="17">
        <v>32960.5</v>
      </c>
      <c r="L111" s="16">
        <v>527150.15</v>
      </c>
      <c r="M111" s="3">
        <f t="shared" si="3"/>
        <v>6839142.3600000003</v>
      </c>
      <c r="N111" s="15">
        <v>1929513.95</v>
      </c>
      <c r="O111" s="16">
        <v>491795.8</v>
      </c>
      <c r="P111" s="15">
        <v>196741.1</v>
      </c>
      <c r="Q111" s="16">
        <v>31441.8</v>
      </c>
      <c r="R111" s="15">
        <v>221061.5</v>
      </c>
      <c r="S111" s="16">
        <v>16953.349999999999</v>
      </c>
      <c r="T111" s="15">
        <v>0</v>
      </c>
      <c r="U111" s="16">
        <v>18262.5</v>
      </c>
      <c r="V111" s="15">
        <v>0</v>
      </c>
      <c r="W111" s="16">
        <v>1237.5999999999999</v>
      </c>
      <c r="X111" s="2">
        <f t="shared" si="4"/>
        <v>9746149.9600000009</v>
      </c>
      <c r="Y111" s="18">
        <v>61428.35</v>
      </c>
      <c r="Z111" s="25"/>
      <c r="AA111" s="18">
        <v>1376231.9</v>
      </c>
      <c r="AB111" s="25"/>
      <c r="AC111" s="18">
        <v>567471.97</v>
      </c>
      <c r="AD111" s="25">
        <v>85155</v>
      </c>
      <c r="AE111" s="18"/>
      <c r="AF111" s="25"/>
      <c r="AG111" s="18">
        <v>56179.95</v>
      </c>
      <c r="AH111" s="25"/>
      <c r="AI111" s="18"/>
      <c r="AJ111" s="25">
        <v>88598.5</v>
      </c>
      <c r="AK111" s="18"/>
      <c r="AL111" s="68">
        <f t="shared" si="5"/>
        <v>2235065.67</v>
      </c>
      <c r="AM111" s="33">
        <v>70</v>
      </c>
      <c r="AN111" s="34">
        <v>4732</v>
      </c>
      <c r="AO111" s="18">
        <v>-174267.35</v>
      </c>
      <c r="AP111" s="25">
        <v>-5593.35</v>
      </c>
      <c r="AQ111" s="18">
        <v>-283.77999999999997</v>
      </c>
      <c r="AR111" s="64">
        <v>1</v>
      </c>
      <c r="AS111" s="32"/>
      <c r="AT111" s="32"/>
      <c r="AU111" s="40"/>
      <c r="AV111" s="40"/>
      <c r="AW111" s="41"/>
      <c r="AX111" s="23"/>
      <c r="AZ111" s="40"/>
      <c r="BA111" s="40"/>
      <c r="BB111" s="41"/>
      <c r="BC111" s="42"/>
      <c r="BD111" s="42"/>
      <c r="BE111" s="42"/>
      <c r="BF111" s="42"/>
      <c r="BG111" s="42"/>
      <c r="BI111" s="38"/>
      <c r="BJ111" s="39"/>
      <c r="BK111" s="38"/>
      <c r="BL111" s="38"/>
      <c r="BM111" s="38"/>
    </row>
    <row r="112" spans="1:65" x14ac:dyDescent="0.25">
      <c r="A112" s="13">
        <v>5571</v>
      </c>
      <c r="B112" s="14" t="s">
        <v>495</v>
      </c>
      <c r="C112" s="16">
        <v>1179526.48</v>
      </c>
      <c r="D112" s="15">
        <v>99202.01</v>
      </c>
      <c r="E112" s="16">
        <v>0</v>
      </c>
      <c r="F112" s="15">
        <v>0</v>
      </c>
      <c r="G112" s="16">
        <v>33278.199999999997</v>
      </c>
      <c r="H112" s="15">
        <v>16.350000000000001</v>
      </c>
      <c r="I112" s="16">
        <v>0</v>
      </c>
      <c r="J112" s="15">
        <v>7178.63</v>
      </c>
      <c r="K112" s="17">
        <v>2771</v>
      </c>
      <c r="L112" s="16">
        <v>144886.70000000001</v>
      </c>
      <c r="M112" s="3">
        <f t="shared" si="3"/>
        <v>1466859.3699999999</v>
      </c>
      <c r="N112" s="15">
        <v>53770.7</v>
      </c>
      <c r="O112" s="16">
        <v>4549.8</v>
      </c>
      <c r="P112" s="15">
        <v>68108.149999999994</v>
      </c>
      <c r="Q112" s="16">
        <v>0</v>
      </c>
      <c r="R112" s="15">
        <v>43299.85</v>
      </c>
      <c r="S112" s="16">
        <v>280</v>
      </c>
      <c r="T112" s="15">
        <v>0</v>
      </c>
      <c r="U112" s="16">
        <v>9650</v>
      </c>
      <c r="V112" s="15">
        <v>0</v>
      </c>
      <c r="W112" s="16">
        <v>0</v>
      </c>
      <c r="X112" s="2">
        <f t="shared" si="4"/>
        <v>1646517.8699999999</v>
      </c>
      <c r="Y112" s="18">
        <v>21935</v>
      </c>
      <c r="Z112" s="25"/>
      <c r="AA112" s="18">
        <v>99270.2</v>
      </c>
      <c r="AB112" s="25"/>
      <c r="AC112" s="18">
        <v>21727.4</v>
      </c>
      <c r="AD112" s="25">
        <v>39389</v>
      </c>
      <c r="AE112" s="18"/>
      <c r="AF112" s="25"/>
      <c r="AG112" s="18">
        <v>14923.1</v>
      </c>
      <c r="AH112" s="25">
        <v>25846</v>
      </c>
      <c r="AI112" s="18"/>
      <c r="AJ112" s="25"/>
      <c r="AK112" s="18"/>
      <c r="AL112" s="68">
        <f t="shared" si="5"/>
        <v>223090.7</v>
      </c>
      <c r="AM112" s="33">
        <v>73</v>
      </c>
      <c r="AN112" s="34">
        <v>760</v>
      </c>
      <c r="AO112" s="18">
        <v>-1216.73</v>
      </c>
      <c r="AP112" s="25"/>
      <c r="AQ112" s="18">
        <v>-3.23</v>
      </c>
      <c r="AR112" s="64">
        <v>1.2</v>
      </c>
      <c r="AS112" s="32"/>
      <c r="AT112" s="32"/>
      <c r="AU112" s="40"/>
      <c r="AV112" s="40"/>
      <c r="AW112" s="41"/>
      <c r="AX112" s="23"/>
      <c r="AZ112" s="40"/>
      <c r="BA112" s="40"/>
      <c r="BB112" s="41"/>
      <c r="BC112" s="42"/>
      <c r="BD112" s="42"/>
      <c r="BE112" s="42"/>
      <c r="BF112" s="42"/>
      <c r="BG112" s="42"/>
      <c r="BI112" s="38"/>
      <c r="BJ112" s="39"/>
      <c r="BK112" s="38"/>
      <c r="BL112" s="38"/>
      <c r="BM112" s="38"/>
    </row>
    <row r="113" spans="1:65" x14ac:dyDescent="0.25">
      <c r="A113" s="13">
        <v>5581</v>
      </c>
      <c r="B113" s="14" t="s">
        <v>441</v>
      </c>
      <c r="C113" s="16">
        <v>9930145.5199999996</v>
      </c>
      <c r="D113" s="15">
        <v>1402757.06</v>
      </c>
      <c r="E113" s="16">
        <v>0</v>
      </c>
      <c r="F113" s="15">
        <v>0</v>
      </c>
      <c r="G113" s="16">
        <v>245917.7</v>
      </c>
      <c r="H113" s="15">
        <v>2871.9</v>
      </c>
      <c r="I113" s="16">
        <v>29027</v>
      </c>
      <c r="J113" s="15">
        <v>226687.05</v>
      </c>
      <c r="K113" s="17">
        <v>19871.5</v>
      </c>
      <c r="L113" s="16">
        <v>1152544</v>
      </c>
      <c r="M113" s="3">
        <f t="shared" si="3"/>
        <v>13009821.73</v>
      </c>
      <c r="N113" s="15">
        <v>416.35</v>
      </c>
      <c r="O113" s="16">
        <v>249427.8</v>
      </c>
      <c r="P113" s="15">
        <v>537502.85</v>
      </c>
      <c r="Q113" s="16">
        <v>8718.5</v>
      </c>
      <c r="R113" s="15">
        <v>332776.55</v>
      </c>
      <c r="S113" s="16">
        <v>281.25</v>
      </c>
      <c r="T113" s="15">
        <v>0</v>
      </c>
      <c r="U113" s="16">
        <v>13890</v>
      </c>
      <c r="V113" s="15">
        <v>374.9</v>
      </c>
      <c r="W113" s="16">
        <v>0</v>
      </c>
      <c r="X113" s="2">
        <f t="shared" si="4"/>
        <v>14153209.930000002</v>
      </c>
      <c r="Y113" s="18">
        <v>35170.25</v>
      </c>
      <c r="Z113" s="25"/>
      <c r="AA113" s="18">
        <v>629103.05000000005</v>
      </c>
      <c r="AB113" s="25"/>
      <c r="AC113" s="18">
        <v>516537.25</v>
      </c>
      <c r="AD113" s="25">
        <v>54256.25</v>
      </c>
      <c r="AE113" s="18"/>
      <c r="AF113" s="25"/>
      <c r="AG113" s="18">
        <v>10783.4</v>
      </c>
      <c r="AH113" s="25"/>
      <c r="AI113" s="18">
        <v>71843.45</v>
      </c>
      <c r="AJ113" s="25"/>
      <c r="AK113" s="18"/>
      <c r="AL113" s="68">
        <f t="shared" si="5"/>
        <v>1317693.6499999999</v>
      </c>
      <c r="AM113" s="33">
        <v>69.5</v>
      </c>
      <c r="AN113" s="34">
        <v>3554</v>
      </c>
      <c r="AO113" s="18">
        <v>-106170.32</v>
      </c>
      <c r="AP113" s="25"/>
      <c r="AQ113" s="18">
        <v>-2861.52</v>
      </c>
      <c r="AR113" s="64">
        <v>1.5</v>
      </c>
      <c r="AS113" s="32"/>
      <c r="AT113" s="32"/>
      <c r="AU113" s="40"/>
      <c r="AV113" s="40"/>
      <c r="AW113" s="41"/>
      <c r="AX113" s="23"/>
      <c r="AZ113" s="40"/>
      <c r="BA113" s="40"/>
      <c r="BB113" s="41"/>
      <c r="BC113" s="42"/>
      <c r="BD113" s="42"/>
      <c r="BE113" s="42"/>
      <c r="BF113" s="42"/>
      <c r="BG113" s="42"/>
      <c r="BI113" s="38"/>
      <c r="BJ113" s="39"/>
      <c r="BK113" s="38"/>
      <c r="BL113" s="38"/>
      <c r="BM113" s="38"/>
    </row>
    <row r="114" spans="1:65" x14ac:dyDescent="0.25">
      <c r="A114" s="13">
        <v>5582</v>
      </c>
      <c r="B114" s="14" t="s">
        <v>442</v>
      </c>
      <c r="C114" s="16">
        <v>7698253.1500000004</v>
      </c>
      <c r="D114" s="15">
        <v>697465.34</v>
      </c>
      <c r="E114" s="16">
        <v>0</v>
      </c>
      <c r="F114" s="15">
        <v>0</v>
      </c>
      <c r="G114" s="16">
        <v>930109.74</v>
      </c>
      <c r="H114" s="15">
        <v>513160.85</v>
      </c>
      <c r="I114" s="16">
        <v>29636.35</v>
      </c>
      <c r="J114" s="15">
        <v>379517.92</v>
      </c>
      <c r="K114" s="17">
        <v>39314</v>
      </c>
      <c r="L114" s="16">
        <v>732901.9</v>
      </c>
      <c r="M114" s="3">
        <f t="shared" si="3"/>
        <v>11020359.25</v>
      </c>
      <c r="N114" s="15">
        <v>603155.1</v>
      </c>
      <c r="O114" s="16">
        <v>29855.599999999999</v>
      </c>
      <c r="P114" s="15">
        <v>154958.6</v>
      </c>
      <c r="Q114" s="16">
        <v>25862.44</v>
      </c>
      <c r="R114" s="15">
        <v>98617.55</v>
      </c>
      <c r="S114" s="16">
        <v>200</v>
      </c>
      <c r="T114" s="15">
        <v>1054</v>
      </c>
      <c r="U114" s="16">
        <v>16000</v>
      </c>
      <c r="V114" s="15">
        <v>0</v>
      </c>
      <c r="W114" s="16">
        <v>0</v>
      </c>
      <c r="X114" s="2">
        <f t="shared" si="4"/>
        <v>11950062.539999999</v>
      </c>
      <c r="Y114" s="18">
        <v>366187.8</v>
      </c>
      <c r="Z114" s="25">
        <v>80116.45</v>
      </c>
      <c r="AA114" s="18">
        <v>408206.3</v>
      </c>
      <c r="AB114" s="25">
        <v>205593.8</v>
      </c>
      <c r="AC114" s="18">
        <v>425728.95</v>
      </c>
      <c r="AD114" s="25"/>
      <c r="AE114" s="18"/>
      <c r="AF114" s="25"/>
      <c r="AG114" s="18"/>
      <c r="AH114" s="25">
        <v>195238.55</v>
      </c>
      <c r="AI114" s="18"/>
      <c r="AJ114" s="25"/>
      <c r="AK114" s="18"/>
      <c r="AL114" s="68">
        <f t="shared" si="5"/>
        <v>1681071.85</v>
      </c>
      <c r="AM114" s="33">
        <v>74.5</v>
      </c>
      <c r="AN114" s="34">
        <v>4080</v>
      </c>
      <c r="AO114" s="18">
        <v>-152387.74</v>
      </c>
      <c r="AP114" s="25"/>
      <c r="AQ114" s="18">
        <v>-62398.67</v>
      </c>
      <c r="AR114" s="64">
        <v>1</v>
      </c>
      <c r="AS114" s="32"/>
      <c r="AT114" s="32"/>
      <c r="AU114" s="40"/>
      <c r="AV114" s="40"/>
      <c r="AW114" s="41"/>
      <c r="AX114" s="23"/>
      <c r="AZ114" s="40"/>
      <c r="BA114" s="40"/>
      <c r="BB114" s="41"/>
      <c r="BC114" s="42"/>
      <c r="BD114" s="42"/>
      <c r="BE114" s="42"/>
      <c r="BF114" s="42"/>
      <c r="BG114" s="42"/>
      <c r="BI114" s="38"/>
      <c r="BJ114" s="39"/>
      <c r="BK114" s="38"/>
      <c r="BL114" s="38"/>
      <c r="BM114" s="38"/>
    </row>
    <row r="115" spans="1:65" x14ac:dyDescent="0.25">
      <c r="A115" s="13">
        <v>5583</v>
      </c>
      <c r="B115" s="14" t="s">
        <v>443</v>
      </c>
      <c r="C115" s="16">
        <v>10817099.41</v>
      </c>
      <c r="D115" s="15">
        <v>1335345.05</v>
      </c>
      <c r="E115" s="16">
        <v>0</v>
      </c>
      <c r="F115" s="15">
        <v>0</v>
      </c>
      <c r="G115" s="16">
        <v>4397247</v>
      </c>
      <c r="H115" s="15">
        <v>351829.6</v>
      </c>
      <c r="I115" s="16">
        <v>-23493.19</v>
      </c>
      <c r="J115" s="15">
        <v>750916.92</v>
      </c>
      <c r="K115" s="17">
        <v>236085</v>
      </c>
      <c r="L115" s="16">
        <v>1990962.65</v>
      </c>
      <c r="M115" s="3">
        <f t="shared" si="3"/>
        <v>19855992.440000001</v>
      </c>
      <c r="N115" s="15">
        <v>1202082.8500000001</v>
      </c>
      <c r="O115" s="16">
        <v>96135.7</v>
      </c>
      <c r="P115" s="15">
        <v>619170.30000000005</v>
      </c>
      <c r="Q115" s="16">
        <v>101142.17</v>
      </c>
      <c r="R115" s="15">
        <v>870793.9</v>
      </c>
      <c r="S115" s="16">
        <v>550</v>
      </c>
      <c r="T115" s="15">
        <v>0</v>
      </c>
      <c r="U115" s="16">
        <v>45600</v>
      </c>
      <c r="V115" s="15">
        <v>3492.1</v>
      </c>
      <c r="W115" s="16">
        <v>147313.15</v>
      </c>
      <c r="X115" s="2">
        <f t="shared" si="4"/>
        <v>22942272.610000003</v>
      </c>
      <c r="Y115" s="18">
        <v>209479</v>
      </c>
      <c r="Z115" s="25">
        <v>19788.2</v>
      </c>
      <c r="AA115" s="18">
        <v>356438.8</v>
      </c>
      <c r="AB115" s="25"/>
      <c r="AC115" s="18">
        <v>919099.6</v>
      </c>
      <c r="AD115" s="25">
        <v>285365.01</v>
      </c>
      <c r="AE115" s="18">
        <v>258939.39</v>
      </c>
      <c r="AF115" s="25"/>
      <c r="AG115" s="18">
        <v>150509.5</v>
      </c>
      <c r="AH115" s="25">
        <v>541208.9</v>
      </c>
      <c r="AI115" s="18"/>
      <c r="AJ115" s="25">
        <v>37872.199999999997</v>
      </c>
      <c r="AK115" s="18">
        <v>722061.85</v>
      </c>
      <c r="AL115" s="68">
        <f t="shared" si="5"/>
        <v>3500762.45</v>
      </c>
      <c r="AM115" s="33">
        <v>65</v>
      </c>
      <c r="AN115" s="34">
        <v>7407</v>
      </c>
      <c r="AO115" s="16">
        <v>-415769.77</v>
      </c>
      <c r="AP115" s="25"/>
      <c r="AQ115" s="16">
        <v>-1679.21</v>
      </c>
      <c r="AR115" s="64">
        <v>1</v>
      </c>
      <c r="AS115" s="35"/>
      <c r="AT115" s="35"/>
      <c r="AU115" s="40"/>
      <c r="AV115" s="40"/>
      <c r="AW115" s="41"/>
      <c r="AX115" s="23"/>
      <c r="AZ115" s="40"/>
      <c r="BA115" s="40"/>
      <c r="BB115" s="41"/>
      <c r="BC115" s="42"/>
      <c r="BD115" s="42"/>
      <c r="BE115" s="42"/>
      <c r="BF115" s="42"/>
      <c r="BG115" s="42"/>
      <c r="BI115" s="38"/>
      <c r="BJ115" s="39"/>
      <c r="BK115" s="38"/>
      <c r="BL115" s="38"/>
      <c r="BM115" s="38"/>
    </row>
    <row r="116" spans="1:65" x14ac:dyDescent="0.25">
      <c r="A116" s="13">
        <v>5584</v>
      </c>
      <c r="B116" s="14" t="s">
        <v>444</v>
      </c>
      <c r="C116" s="16">
        <v>22037764</v>
      </c>
      <c r="D116" s="15">
        <v>4296303.87</v>
      </c>
      <c r="E116" s="16">
        <v>0</v>
      </c>
      <c r="F116" s="15">
        <v>0</v>
      </c>
      <c r="G116" s="16">
        <v>718865.6</v>
      </c>
      <c r="H116" s="15">
        <v>156440.1</v>
      </c>
      <c r="I116" s="16">
        <v>565475.63</v>
      </c>
      <c r="J116" s="15">
        <v>842802.72</v>
      </c>
      <c r="K116" s="17">
        <v>169451.5</v>
      </c>
      <c r="L116" s="16">
        <v>1857503.6</v>
      </c>
      <c r="M116" s="3">
        <f t="shared" si="3"/>
        <v>30644607.020000003</v>
      </c>
      <c r="N116" s="15">
        <v>149168.79999999999</v>
      </c>
      <c r="O116" s="16">
        <v>291951.8</v>
      </c>
      <c r="P116" s="15">
        <v>810901.95</v>
      </c>
      <c r="Q116" s="16">
        <v>52077.760000000002</v>
      </c>
      <c r="R116" s="15">
        <v>827912.25</v>
      </c>
      <c r="S116" s="16">
        <v>418.75</v>
      </c>
      <c r="T116" s="15">
        <v>28819</v>
      </c>
      <c r="U116" s="16">
        <v>34560</v>
      </c>
      <c r="V116" s="15">
        <v>0</v>
      </c>
      <c r="W116" s="16">
        <v>0</v>
      </c>
      <c r="X116" s="2">
        <f t="shared" si="4"/>
        <v>32840417.330000006</v>
      </c>
      <c r="Y116" s="18">
        <v>484168.4</v>
      </c>
      <c r="Z116" s="25"/>
      <c r="AA116" s="18">
        <v>456518.34</v>
      </c>
      <c r="AB116" s="25"/>
      <c r="AC116" s="18">
        <v>680909.15</v>
      </c>
      <c r="AD116" s="25"/>
      <c r="AE116" s="18"/>
      <c r="AF116" s="25"/>
      <c r="AG116" s="18"/>
      <c r="AH116" s="25">
        <v>275444.38</v>
      </c>
      <c r="AI116" s="18"/>
      <c r="AJ116" s="25"/>
      <c r="AK116" s="18"/>
      <c r="AL116" s="68">
        <f t="shared" si="5"/>
        <v>1897040.27</v>
      </c>
      <c r="AM116" s="33">
        <v>66</v>
      </c>
      <c r="AN116" s="34">
        <v>8912</v>
      </c>
      <c r="AO116" s="16">
        <v>-227700.12</v>
      </c>
      <c r="AP116" s="25"/>
      <c r="AQ116" s="16">
        <v>-9546.69</v>
      </c>
      <c r="AR116" s="64">
        <v>1</v>
      </c>
      <c r="AS116" s="35"/>
      <c r="AT116" s="35"/>
      <c r="AU116" s="40"/>
      <c r="AV116" s="40"/>
      <c r="AW116" s="41"/>
      <c r="AX116" s="23"/>
      <c r="AZ116" s="40"/>
      <c r="BA116" s="40"/>
      <c r="BB116" s="41"/>
      <c r="BC116" s="42"/>
      <c r="BD116" s="42"/>
      <c r="BE116" s="42"/>
      <c r="BF116" s="42"/>
      <c r="BG116" s="42"/>
      <c r="BI116" s="38"/>
      <c r="BJ116" s="39"/>
      <c r="BK116" s="38"/>
      <c r="BL116" s="38"/>
      <c r="BM116" s="38"/>
    </row>
    <row r="117" spans="1:65" x14ac:dyDescent="0.25">
      <c r="A117" s="13">
        <v>5585</v>
      </c>
      <c r="B117" s="14" t="s">
        <v>445</v>
      </c>
      <c r="C117" s="16">
        <v>5310105.7699999996</v>
      </c>
      <c r="D117" s="15">
        <v>4091565.22</v>
      </c>
      <c r="E117" s="16">
        <v>0</v>
      </c>
      <c r="F117" s="15">
        <v>0</v>
      </c>
      <c r="G117" s="16">
        <v>-3262.05</v>
      </c>
      <c r="H117" s="15">
        <v>1231.3499999999999</v>
      </c>
      <c r="I117" s="16">
        <v>519968.55</v>
      </c>
      <c r="J117" s="15">
        <v>193998.56</v>
      </c>
      <c r="K117" s="17">
        <v>5098</v>
      </c>
      <c r="L117" s="16">
        <v>268750.40000000002</v>
      </c>
      <c r="M117" s="3">
        <f t="shared" si="3"/>
        <v>10387455.800000001</v>
      </c>
      <c r="N117" s="15">
        <v>1223.3499999999999</v>
      </c>
      <c r="O117" s="16">
        <v>1287</v>
      </c>
      <c r="P117" s="15">
        <v>442028.79999999999</v>
      </c>
      <c r="Q117" s="16">
        <v>2030.2</v>
      </c>
      <c r="R117" s="15">
        <v>336633.1</v>
      </c>
      <c r="S117" s="16">
        <v>0</v>
      </c>
      <c r="T117" s="15">
        <v>0</v>
      </c>
      <c r="U117" s="16">
        <v>6570</v>
      </c>
      <c r="V117" s="15">
        <v>0</v>
      </c>
      <c r="W117" s="16">
        <v>0</v>
      </c>
      <c r="X117" s="2">
        <f t="shared" si="4"/>
        <v>11177228.25</v>
      </c>
      <c r="Y117" s="18">
        <v>142351.35</v>
      </c>
      <c r="Z117" s="25"/>
      <c r="AA117" s="18">
        <v>230157.3</v>
      </c>
      <c r="AB117" s="25"/>
      <c r="AC117" s="18">
        <v>141337.79999999999</v>
      </c>
      <c r="AD117" s="25"/>
      <c r="AE117" s="18"/>
      <c r="AF117" s="25"/>
      <c r="AG117" s="18"/>
      <c r="AH117" s="25"/>
      <c r="AI117" s="18"/>
      <c r="AJ117" s="25"/>
      <c r="AK117" s="18"/>
      <c r="AL117" s="68">
        <f t="shared" si="5"/>
        <v>513846.45</v>
      </c>
      <c r="AM117" s="33">
        <v>55</v>
      </c>
      <c r="AN117" s="34">
        <v>1398</v>
      </c>
      <c r="AO117" s="16">
        <v>-28655.47</v>
      </c>
      <c r="AP117" s="25"/>
      <c r="AQ117" s="16">
        <v>-3901.83</v>
      </c>
      <c r="AR117" s="64">
        <v>0.6</v>
      </c>
      <c r="AS117" s="35"/>
      <c r="AT117" s="35"/>
      <c r="AU117" s="40"/>
      <c r="AV117" s="40"/>
      <c r="AW117" s="41"/>
      <c r="AX117" s="23"/>
      <c r="AZ117" s="40"/>
      <c r="BA117" s="40"/>
      <c r="BB117" s="41"/>
      <c r="BC117" s="42"/>
      <c r="BD117" s="42"/>
      <c r="BE117" s="42"/>
      <c r="BF117" s="42"/>
      <c r="BG117" s="42"/>
      <c r="BI117" s="38"/>
      <c r="BJ117" s="39"/>
      <c r="BK117" s="38"/>
      <c r="BL117" s="38"/>
      <c r="BM117" s="38"/>
    </row>
    <row r="118" spans="1:65" x14ac:dyDescent="0.25">
      <c r="A118" s="13">
        <v>5586</v>
      </c>
      <c r="B118" s="14" t="s">
        <v>156</v>
      </c>
      <c r="C118" s="16">
        <v>277905262.58999997</v>
      </c>
      <c r="D118" s="15">
        <v>31047939.82</v>
      </c>
      <c r="E118" s="16">
        <v>0</v>
      </c>
      <c r="F118" s="15">
        <v>0</v>
      </c>
      <c r="G118" s="16">
        <v>106363447.34999999</v>
      </c>
      <c r="H118" s="15">
        <v>6070482.3499999996</v>
      </c>
      <c r="I118" s="16">
        <v>5762907.4100000001</v>
      </c>
      <c r="J118" s="15">
        <v>32764285.02</v>
      </c>
      <c r="K118" s="17">
        <v>4220222</v>
      </c>
      <c r="L118" s="16">
        <v>32860038.399999999</v>
      </c>
      <c r="M118" s="3">
        <f t="shared" si="3"/>
        <v>496994584.94</v>
      </c>
      <c r="N118" s="15">
        <v>8728359.1500000004</v>
      </c>
      <c r="O118" s="16">
        <v>13880149.800000001</v>
      </c>
      <c r="P118" s="15">
        <v>8428370.4499999993</v>
      </c>
      <c r="Q118" s="16">
        <v>2650193.5099999998</v>
      </c>
      <c r="R118" s="15">
        <v>7772322.0499999998</v>
      </c>
      <c r="S118" s="16">
        <v>0</v>
      </c>
      <c r="T118" s="15">
        <v>0</v>
      </c>
      <c r="U118" s="16">
        <v>346290</v>
      </c>
      <c r="V118" s="15">
        <v>5488810.5999999996</v>
      </c>
      <c r="W118" s="16">
        <v>0</v>
      </c>
      <c r="X118" s="2">
        <f t="shared" si="4"/>
        <v>544289080.5</v>
      </c>
      <c r="Y118" s="18">
        <v>2543029.5</v>
      </c>
      <c r="Z118" s="25"/>
      <c r="AA118" s="18">
        <v>13614793.42</v>
      </c>
      <c r="AB118" s="25"/>
      <c r="AC118" s="18">
        <v>21353517.84</v>
      </c>
      <c r="AD118" s="25">
        <v>6169056.6500000004</v>
      </c>
      <c r="AE118" s="18"/>
      <c r="AF118" s="25"/>
      <c r="AG118" s="18">
        <v>3195823.41</v>
      </c>
      <c r="AH118" s="25">
        <v>7911627.8399999999</v>
      </c>
      <c r="AI118" s="18">
        <v>6071394.1399999997</v>
      </c>
      <c r="AJ118" s="25">
        <v>1664154.95</v>
      </c>
      <c r="AK118" s="18">
        <v>1664154.41</v>
      </c>
      <c r="AL118" s="68">
        <f t="shared" si="5"/>
        <v>64187552.159999996</v>
      </c>
      <c r="AM118" s="33">
        <v>79</v>
      </c>
      <c r="AN118" s="34">
        <v>133521</v>
      </c>
      <c r="AO118" s="16">
        <v>-8539950.0099999998</v>
      </c>
      <c r="AP118" s="25"/>
      <c r="AQ118" s="16">
        <v>-3319063.82</v>
      </c>
      <c r="AR118" s="64">
        <v>1.5</v>
      </c>
      <c r="AS118" s="35"/>
      <c r="AT118" s="35"/>
      <c r="AU118" s="40"/>
      <c r="AV118" s="40"/>
      <c r="AW118" s="41"/>
      <c r="AX118" s="23"/>
      <c r="AZ118" s="40"/>
      <c r="BA118" s="40"/>
      <c r="BB118" s="41"/>
      <c r="BC118" s="42"/>
      <c r="BD118" s="42"/>
      <c r="BE118" s="42"/>
      <c r="BF118" s="42"/>
      <c r="BG118" s="42"/>
      <c r="BI118" s="38"/>
      <c r="BJ118" s="39"/>
      <c r="BK118" s="38"/>
      <c r="BL118" s="38"/>
      <c r="BM118" s="38"/>
    </row>
    <row r="119" spans="1:65" x14ac:dyDescent="0.25">
      <c r="A119" s="13">
        <v>5587</v>
      </c>
      <c r="B119" s="14" t="s">
        <v>157</v>
      </c>
      <c r="C119" s="16">
        <v>19258919.710000001</v>
      </c>
      <c r="D119" s="15">
        <v>2654268.9500000002</v>
      </c>
      <c r="E119" s="16">
        <v>0</v>
      </c>
      <c r="F119" s="15">
        <v>0</v>
      </c>
      <c r="G119" s="16">
        <v>1916874.7</v>
      </c>
      <c r="H119" s="15">
        <v>163345.85</v>
      </c>
      <c r="I119" s="16">
        <v>142654.39999999999</v>
      </c>
      <c r="J119" s="15">
        <v>387850.74</v>
      </c>
      <c r="K119" s="17">
        <v>169651.5</v>
      </c>
      <c r="L119" s="16">
        <v>1989102.8</v>
      </c>
      <c r="M119" s="3">
        <f t="shared" si="3"/>
        <v>26682668.649999999</v>
      </c>
      <c r="N119" s="15">
        <v>392235.1</v>
      </c>
      <c r="O119" s="16">
        <v>320791.5</v>
      </c>
      <c r="P119" s="15">
        <v>1024280.05</v>
      </c>
      <c r="Q119" s="16">
        <v>27971.85</v>
      </c>
      <c r="R119" s="15">
        <v>717228.6</v>
      </c>
      <c r="S119" s="16">
        <v>62.5</v>
      </c>
      <c r="T119" s="15">
        <v>2240</v>
      </c>
      <c r="U119" s="16">
        <v>32750</v>
      </c>
      <c r="V119" s="15">
        <v>0</v>
      </c>
      <c r="W119" s="16">
        <v>0</v>
      </c>
      <c r="X119" s="2">
        <f t="shared" si="4"/>
        <v>29200228.250000004</v>
      </c>
      <c r="Y119" s="18">
        <v>530236</v>
      </c>
      <c r="Z119" s="25"/>
      <c r="AA119" s="18">
        <v>1244564.7</v>
      </c>
      <c r="AB119" s="25"/>
      <c r="AC119" s="18">
        <v>587122.22</v>
      </c>
      <c r="AD119" s="25"/>
      <c r="AE119" s="18"/>
      <c r="AF119" s="25"/>
      <c r="AG119" s="18"/>
      <c r="AH119" s="25">
        <v>290835.48</v>
      </c>
      <c r="AI119" s="18"/>
      <c r="AJ119" s="25"/>
      <c r="AK119" s="18"/>
      <c r="AL119" s="68">
        <f t="shared" si="5"/>
        <v>2652758.4</v>
      </c>
      <c r="AM119" s="33">
        <v>75</v>
      </c>
      <c r="AN119" s="34">
        <v>6937</v>
      </c>
      <c r="AO119" s="16">
        <v>-192448.73</v>
      </c>
      <c r="AP119" s="25"/>
      <c r="AQ119" s="16">
        <v>-7820.76</v>
      </c>
      <c r="AR119" s="64">
        <v>1.2</v>
      </c>
      <c r="AS119" s="35"/>
      <c r="AT119" s="35"/>
      <c r="AU119" s="40"/>
      <c r="AV119" s="40"/>
      <c r="AW119" s="41"/>
      <c r="AX119" s="23"/>
      <c r="AZ119" s="40"/>
      <c r="BA119" s="40"/>
      <c r="BB119" s="41"/>
      <c r="BC119" s="42"/>
      <c r="BD119" s="42"/>
      <c r="BE119" s="42"/>
      <c r="BF119" s="42"/>
      <c r="BG119" s="42"/>
      <c r="BI119" s="38"/>
      <c r="BJ119" s="39"/>
      <c r="BK119" s="38"/>
      <c r="BL119" s="38"/>
      <c r="BM119" s="38"/>
    </row>
    <row r="120" spans="1:65" x14ac:dyDescent="0.25">
      <c r="A120" s="13">
        <v>5588</v>
      </c>
      <c r="B120" s="14" t="s">
        <v>158</v>
      </c>
      <c r="C120" s="16">
        <v>5887709.8399999999</v>
      </c>
      <c r="D120" s="15">
        <v>1526512.11</v>
      </c>
      <c r="E120" s="16">
        <v>0</v>
      </c>
      <c r="F120" s="15">
        <v>0</v>
      </c>
      <c r="G120" s="16">
        <v>516855.1</v>
      </c>
      <c r="H120" s="15">
        <v>199523.9</v>
      </c>
      <c r="I120" s="16">
        <v>625320.78</v>
      </c>
      <c r="J120" s="15">
        <v>232875.13</v>
      </c>
      <c r="K120" s="17">
        <v>36739.5</v>
      </c>
      <c r="L120" s="16">
        <v>329745.75</v>
      </c>
      <c r="M120" s="3">
        <f t="shared" si="3"/>
        <v>9355282.1100000013</v>
      </c>
      <c r="N120" s="15">
        <v>16776.75</v>
      </c>
      <c r="O120" s="16" t="s">
        <v>512</v>
      </c>
      <c r="P120" s="15">
        <v>46200</v>
      </c>
      <c r="Q120" s="16">
        <v>12339.17</v>
      </c>
      <c r="R120" s="15">
        <v>69700.800000000003</v>
      </c>
      <c r="S120" s="16">
        <v>677.5</v>
      </c>
      <c r="T120" s="15">
        <v>0</v>
      </c>
      <c r="U120" s="16">
        <v>5400</v>
      </c>
      <c r="V120" s="15">
        <v>0</v>
      </c>
      <c r="W120" s="16">
        <v>0</v>
      </c>
      <c r="X120" s="2">
        <f t="shared" si="4"/>
        <v>9506376.3300000019</v>
      </c>
      <c r="Y120" s="18">
        <v>6196</v>
      </c>
      <c r="Z120" s="25">
        <v>5962</v>
      </c>
      <c r="AA120" s="18">
        <v>110665</v>
      </c>
      <c r="AB120" s="25"/>
      <c r="AC120" s="18">
        <v>129405</v>
      </c>
      <c r="AD120" s="25">
        <v>6050</v>
      </c>
      <c r="AE120" s="18">
        <v>5822</v>
      </c>
      <c r="AF120" s="25"/>
      <c r="AG120" s="18"/>
      <c r="AH120" s="25"/>
      <c r="AI120" s="18">
        <v>31949</v>
      </c>
      <c r="AJ120" s="25"/>
      <c r="AK120" s="18">
        <v>15974</v>
      </c>
      <c r="AL120" s="68">
        <f t="shared" si="5"/>
        <v>312023</v>
      </c>
      <c r="AM120" s="33">
        <v>61.5</v>
      </c>
      <c r="AN120" s="34">
        <v>1454</v>
      </c>
      <c r="AO120" s="16">
        <v>-124070.14</v>
      </c>
      <c r="AP120" s="25"/>
      <c r="AQ120" s="16">
        <v>-3025.08</v>
      </c>
      <c r="AR120" s="64">
        <v>0.7</v>
      </c>
      <c r="AS120" s="35"/>
      <c r="AT120" s="35"/>
      <c r="AU120" s="40"/>
      <c r="AV120" s="40"/>
      <c r="AW120" s="41"/>
      <c r="AX120" s="23"/>
      <c r="AZ120" s="40"/>
      <c r="BA120" s="40"/>
      <c r="BB120" s="41"/>
      <c r="BC120" s="42"/>
      <c r="BD120" s="42"/>
      <c r="BE120" s="42"/>
      <c r="BF120" s="42"/>
      <c r="BG120" s="42"/>
      <c r="BI120" s="38"/>
      <c r="BJ120" s="39"/>
      <c r="BK120" s="38"/>
      <c r="BL120" s="38"/>
      <c r="BM120" s="38"/>
    </row>
    <row r="121" spans="1:65" x14ac:dyDescent="0.25">
      <c r="A121" s="13">
        <v>5589</v>
      </c>
      <c r="B121" s="14" t="s">
        <v>159</v>
      </c>
      <c r="C121" s="16">
        <v>18310961.109999999</v>
      </c>
      <c r="D121" s="15">
        <v>1811844.01</v>
      </c>
      <c r="E121" s="16">
        <v>0</v>
      </c>
      <c r="F121" s="15">
        <v>0</v>
      </c>
      <c r="G121" s="16">
        <v>6470973.0999999996</v>
      </c>
      <c r="H121" s="15">
        <v>454593.4</v>
      </c>
      <c r="I121" s="16">
        <v>31261.95</v>
      </c>
      <c r="J121" s="15">
        <v>1367119</v>
      </c>
      <c r="K121" s="17">
        <v>331194.5</v>
      </c>
      <c r="L121" s="16">
        <v>1801590.1</v>
      </c>
      <c r="M121" s="3">
        <f t="shared" si="3"/>
        <v>30579537.169999998</v>
      </c>
      <c r="N121" s="15">
        <v>1191428.1000000001</v>
      </c>
      <c r="O121" s="16">
        <v>269171.90000000002</v>
      </c>
      <c r="P121" s="15">
        <v>370130.95</v>
      </c>
      <c r="Q121" s="16">
        <v>262944.86</v>
      </c>
      <c r="R121" s="15">
        <v>413891.2</v>
      </c>
      <c r="S121" s="16">
        <v>437.5</v>
      </c>
      <c r="T121" s="15">
        <v>0</v>
      </c>
      <c r="U121" s="16">
        <v>38400</v>
      </c>
      <c r="V121" s="15">
        <v>0</v>
      </c>
      <c r="W121" s="16">
        <v>0</v>
      </c>
      <c r="X121" s="2">
        <f t="shared" si="4"/>
        <v>33125941.679999996</v>
      </c>
      <c r="Y121" s="18">
        <v>-102940.5</v>
      </c>
      <c r="Z121" s="25"/>
      <c r="AA121" s="18">
        <v>1250521.8</v>
      </c>
      <c r="AB121" s="25"/>
      <c r="AC121" s="18">
        <v>828842.6</v>
      </c>
      <c r="AD121" s="25"/>
      <c r="AE121" s="18"/>
      <c r="AF121" s="25"/>
      <c r="AG121" s="18"/>
      <c r="AH121" s="25">
        <v>353858.62</v>
      </c>
      <c r="AI121" s="18"/>
      <c r="AJ121" s="25">
        <v>90992.2</v>
      </c>
      <c r="AK121" s="18"/>
      <c r="AL121" s="68">
        <f t="shared" si="5"/>
        <v>2421274.7200000002</v>
      </c>
      <c r="AM121" s="33">
        <v>73.5</v>
      </c>
      <c r="AN121" s="34">
        <v>11824</v>
      </c>
      <c r="AO121" s="16">
        <v>-705351.11</v>
      </c>
      <c r="AP121" s="25"/>
      <c r="AQ121" s="16">
        <v>-4776.3100000000004</v>
      </c>
      <c r="AR121" s="64">
        <v>1</v>
      </c>
      <c r="AS121" s="35"/>
      <c r="AT121" s="35"/>
      <c r="AU121" s="40"/>
      <c r="AV121" s="40"/>
      <c r="AW121" s="41"/>
      <c r="AX121" s="23"/>
      <c r="AZ121" s="40"/>
      <c r="BA121" s="40"/>
      <c r="BB121" s="41"/>
      <c r="BC121" s="42"/>
      <c r="BD121" s="42"/>
      <c r="BE121" s="42"/>
      <c r="BF121" s="42"/>
      <c r="BG121" s="42"/>
      <c r="BI121" s="38"/>
      <c r="BJ121" s="39"/>
      <c r="BK121" s="38"/>
      <c r="BL121" s="38"/>
      <c r="BM121" s="38"/>
    </row>
    <row r="122" spans="1:65" x14ac:dyDescent="0.25">
      <c r="A122" s="13">
        <v>5590</v>
      </c>
      <c r="B122" s="14" t="s">
        <v>160</v>
      </c>
      <c r="C122" s="16">
        <v>60923961.329999998</v>
      </c>
      <c r="D122" s="15">
        <v>14680828.220000001</v>
      </c>
      <c r="E122" s="16">
        <v>0</v>
      </c>
      <c r="F122" s="15">
        <v>0</v>
      </c>
      <c r="G122" s="16">
        <v>5510855</v>
      </c>
      <c r="H122" s="15">
        <v>227504.25</v>
      </c>
      <c r="I122" s="16">
        <v>2723948.54</v>
      </c>
      <c r="J122" s="15">
        <v>973366.42</v>
      </c>
      <c r="K122" s="17">
        <v>419466.5</v>
      </c>
      <c r="L122" s="16">
        <v>2974325.95</v>
      </c>
      <c r="M122" s="3">
        <f t="shared" si="3"/>
        <v>88434256.210000008</v>
      </c>
      <c r="N122" s="15">
        <v>126947.3</v>
      </c>
      <c r="O122" s="16">
        <v>5142323.4000000004</v>
      </c>
      <c r="P122" s="15">
        <v>3040740.4</v>
      </c>
      <c r="Q122" s="16">
        <v>187288.87</v>
      </c>
      <c r="R122" s="15">
        <v>3075050.35</v>
      </c>
      <c r="S122" s="16">
        <v>68033.95</v>
      </c>
      <c r="T122" s="15">
        <v>0</v>
      </c>
      <c r="U122" s="16">
        <v>47050</v>
      </c>
      <c r="V122" s="15">
        <v>4794</v>
      </c>
      <c r="W122" s="16">
        <v>2547.6</v>
      </c>
      <c r="X122" s="2">
        <f t="shared" si="4"/>
        <v>100129032.08000001</v>
      </c>
      <c r="Y122" s="18">
        <v>340789.19</v>
      </c>
      <c r="Z122" s="25"/>
      <c r="AA122" s="18">
        <v>3253161.37</v>
      </c>
      <c r="AB122" s="25"/>
      <c r="AC122" s="18">
        <v>2064216.11</v>
      </c>
      <c r="AD122" s="25">
        <v>250431.65</v>
      </c>
      <c r="AE122" s="18"/>
      <c r="AF122" s="25"/>
      <c r="AG122" s="18">
        <v>38613.599999999999</v>
      </c>
      <c r="AH122" s="25">
        <v>367116.34</v>
      </c>
      <c r="AI122" s="18">
        <v>540168.66</v>
      </c>
      <c r="AJ122" s="25"/>
      <c r="AK122" s="18"/>
      <c r="AL122" s="68">
        <f t="shared" si="5"/>
        <v>6854496.9199999999</v>
      </c>
      <c r="AM122" s="33">
        <v>63</v>
      </c>
      <c r="AN122" s="34">
        <v>17598</v>
      </c>
      <c r="AO122" s="16">
        <v>-875026.25</v>
      </c>
      <c r="AP122" s="25"/>
      <c r="AQ122" s="16">
        <v>-50853.81</v>
      </c>
      <c r="AR122" s="64">
        <v>0.7</v>
      </c>
      <c r="AS122" s="35"/>
      <c r="AT122" s="35"/>
      <c r="AU122" s="40"/>
      <c r="AV122" s="40"/>
      <c r="AW122" s="41"/>
      <c r="AX122" s="23"/>
      <c r="AZ122" s="40"/>
      <c r="BA122" s="40"/>
      <c r="BB122" s="41"/>
      <c r="BC122" s="42"/>
      <c r="BD122" s="42"/>
      <c r="BE122" s="42"/>
      <c r="BF122" s="42"/>
      <c r="BG122" s="42"/>
      <c r="BI122" s="38"/>
      <c r="BJ122" s="39"/>
      <c r="BK122" s="38"/>
      <c r="BL122" s="38"/>
      <c r="BM122" s="38"/>
    </row>
    <row r="123" spans="1:65" x14ac:dyDescent="0.25">
      <c r="A123" s="13">
        <v>5591</v>
      </c>
      <c r="B123" s="14" t="s">
        <v>448</v>
      </c>
      <c r="C123" s="16">
        <v>28226749.329999998</v>
      </c>
      <c r="D123" s="15">
        <v>2462163.92</v>
      </c>
      <c r="E123" s="16">
        <v>0</v>
      </c>
      <c r="F123" s="15">
        <v>0</v>
      </c>
      <c r="G123" s="16">
        <v>3802423.55</v>
      </c>
      <c r="H123" s="15">
        <v>622453.19999999995</v>
      </c>
      <c r="I123" s="16">
        <v>0</v>
      </c>
      <c r="J123" s="15">
        <v>2234737.71</v>
      </c>
      <c r="K123" s="17">
        <v>559826.5</v>
      </c>
      <c r="L123" s="16">
        <v>4455663.75</v>
      </c>
      <c r="M123" s="3">
        <f t="shared" si="3"/>
        <v>42364017.960000001</v>
      </c>
      <c r="N123" s="15">
        <v>1880338.75</v>
      </c>
      <c r="O123" s="16">
        <v>1674363.1</v>
      </c>
      <c r="P123" s="15">
        <v>805967.7</v>
      </c>
      <c r="Q123" s="16">
        <v>522689.94</v>
      </c>
      <c r="R123" s="15">
        <v>908090</v>
      </c>
      <c r="S123" s="16">
        <v>2387.5</v>
      </c>
      <c r="T123" s="15">
        <v>0</v>
      </c>
      <c r="U123" s="16">
        <v>44550</v>
      </c>
      <c r="V123" s="15">
        <v>62059.5</v>
      </c>
      <c r="W123" s="16">
        <v>64071.3</v>
      </c>
      <c r="X123" s="2">
        <f t="shared" si="4"/>
        <v>48328535.75</v>
      </c>
      <c r="Y123" s="18">
        <v>14407.2</v>
      </c>
      <c r="Z123" s="25"/>
      <c r="AA123" s="18">
        <v>1344649.84</v>
      </c>
      <c r="AB123" s="25">
        <v>25824</v>
      </c>
      <c r="AC123" s="18">
        <v>2243418.23</v>
      </c>
      <c r="AD123" s="25"/>
      <c r="AE123" s="18"/>
      <c r="AF123" s="25"/>
      <c r="AG123" s="18">
        <v>1858.2</v>
      </c>
      <c r="AH123" s="25">
        <v>594869.19999999995</v>
      </c>
      <c r="AI123" s="18"/>
      <c r="AJ123" s="25"/>
      <c r="AK123" s="18">
        <v>94981.31</v>
      </c>
      <c r="AL123" s="68">
        <f t="shared" si="5"/>
        <v>4320007.9799999995</v>
      </c>
      <c r="AM123" s="33">
        <v>78.5</v>
      </c>
      <c r="AN123" s="34">
        <v>20307</v>
      </c>
      <c r="AO123" s="16">
        <v>-1789934.7</v>
      </c>
      <c r="AP123" s="25"/>
      <c r="AQ123" s="16">
        <v>-6570.09</v>
      </c>
      <c r="AR123" s="64">
        <v>1.4</v>
      </c>
      <c r="AS123" s="35"/>
      <c r="AT123" s="35"/>
      <c r="AU123" s="40"/>
      <c r="AV123" s="40"/>
      <c r="AW123" s="41"/>
      <c r="AX123" s="23"/>
      <c r="AZ123" s="40"/>
      <c r="BA123" s="40"/>
      <c r="BB123" s="41"/>
      <c r="BC123" s="42"/>
      <c r="BD123" s="42"/>
      <c r="BE123" s="42"/>
      <c r="BF123" s="42"/>
      <c r="BG123" s="42"/>
      <c r="BI123" s="38"/>
      <c r="BJ123" s="39"/>
      <c r="BK123" s="38"/>
      <c r="BL123" s="38"/>
      <c r="BM123" s="38"/>
    </row>
    <row r="124" spans="1:65" x14ac:dyDescent="0.25">
      <c r="A124" s="13">
        <v>5592</v>
      </c>
      <c r="B124" s="14" t="s">
        <v>254</v>
      </c>
      <c r="C124" s="16">
        <v>5676827.54</v>
      </c>
      <c r="D124" s="15">
        <v>589036.62</v>
      </c>
      <c r="E124" s="16">
        <v>0</v>
      </c>
      <c r="F124" s="15">
        <v>0</v>
      </c>
      <c r="G124" s="16">
        <v>873901.7</v>
      </c>
      <c r="H124" s="15">
        <v>32403.45</v>
      </c>
      <c r="I124" s="16">
        <v>0</v>
      </c>
      <c r="J124" s="15">
        <v>226938.52</v>
      </c>
      <c r="K124" s="17">
        <v>104748</v>
      </c>
      <c r="L124" s="16">
        <v>636910.19999999995</v>
      </c>
      <c r="M124" s="3">
        <f t="shared" si="3"/>
        <v>8140766.0300000003</v>
      </c>
      <c r="N124" s="15">
        <v>216205.4</v>
      </c>
      <c r="O124" s="16">
        <v>57984</v>
      </c>
      <c r="P124" s="15">
        <v>345305.35</v>
      </c>
      <c r="Q124" s="16">
        <v>40446.36</v>
      </c>
      <c r="R124" s="15">
        <v>107135.7</v>
      </c>
      <c r="S124" s="16">
        <v>93.75</v>
      </c>
      <c r="T124" s="15">
        <v>1260</v>
      </c>
      <c r="U124" s="16">
        <v>16725</v>
      </c>
      <c r="V124" s="15">
        <v>0</v>
      </c>
      <c r="W124" s="16">
        <v>0</v>
      </c>
      <c r="X124" s="2">
        <f t="shared" si="4"/>
        <v>8925921.589999998</v>
      </c>
      <c r="Y124" s="18">
        <v>31421.200000000001</v>
      </c>
      <c r="Z124" s="25">
        <v>6760.05</v>
      </c>
      <c r="AA124" s="18">
        <v>175790.49</v>
      </c>
      <c r="AB124" s="25"/>
      <c r="AC124" s="18">
        <v>219053.95</v>
      </c>
      <c r="AD124" s="25">
        <v>16982.8</v>
      </c>
      <c r="AE124" s="18"/>
      <c r="AF124" s="25"/>
      <c r="AG124" s="18"/>
      <c r="AH124" s="25">
        <v>104564.02</v>
      </c>
      <c r="AI124" s="18">
        <v>59749.95</v>
      </c>
      <c r="AJ124" s="25">
        <v>44811.9</v>
      </c>
      <c r="AK124" s="18"/>
      <c r="AL124" s="68">
        <f t="shared" si="5"/>
        <v>659134.36</v>
      </c>
      <c r="AM124" s="33">
        <v>70</v>
      </c>
      <c r="AN124" s="34">
        <v>3290</v>
      </c>
      <c r="AO124" s="16">
        <v>-96124.15</v>
      </c>
      <c r="AP124" s="25"/>
      <c r="AQ124" s="16">
        <v>-2366.02</v>
      </c>
      <c r="AR124" s="64">
        <v>1</v>
      </c>
      <c r="AS124" s="35"/>
      <c r="AT124" s="35"/>
      <c r="AU124" s="40"/>
      <c r="AV124" s="40"/>
      <c r="AW124" s="41"/>
      <c r="AX124" s="23"/>
      <c r="AZ124" s="40"/>
      <c r="BA124" s="40"/>
      <c r="BB124" s="41"/>
      <c r="BC124" s="42"/>
      <c r="BD124" s="42"/>
      <c r="BE124" s="42"/>
      <c r="BF124" s="42"/>
      <c r="BG124" s="42"/>
      <c r="BI124" s="38"/>
      <c r="BJ124" s="39"/>
      <c r="BK124" s="38"/>
      <c r="BL124" s="38"/>
      <c r="BM124" s="38"/>
    </row>
    <row r="125" spans="1:65" x14ac:dyDescent="0.25">
      <c r="A125" s="13">
        <v>5601</v>
      </c>
      <c r="B125" s="14" t="s">
        <v>344</v>
      </c>
      <c r="C125" s="16">
        <v>4916295.07</v>
      </c>
      <c r="D125" s="15">
        <v>920063.75</v>
      </c>
      <c r="E125" s="16">
        <v>0</v>
      </c>
      <c r="F125" s="15">
        <v>0</v>
      </c>
      <c r="G125" s="16">
        <v>74348</v>
      </c>
      <c r="H125" s="15">
        <v>10445.9</v>
      </c>
      <c r="I125" s="16">
        <v>94697.1</v>
      </c>
      <c r="J125" s="15">
        <v>161267.17000000001</v>
      </c>
      <c r="K125" s="17">
        <v>17147.5</v>
      </c>
      <c r="L125" s="16">
        <v>398870.8</v>
      </c>
      <c r="M125" s="3">
        <f t="shared" si="3"/>
        <v>6593135.29</v>
      </c>
      <c r="N125" s="15">
        <v>49358.35</v>
      </c>
      <c r="O125" s="16">
        <v>284463.8</v>
      </c>
      <c r="P125" s="15">
        <v>184074.35</v>
      </c>
      <c r="Q125" s="16">
        <v>3282.15</v>
      </c>
      <c r="R125" s="15">
        <v>233316.35</v>
      </c>
      <c r="S125" s="16">
        <v>437.5</v>
      </c>
      <c r="T125" s="15">
        <v>0</v>
      </c>
      <c r="U125" s="16">
        <v>7725</v>
      </c>
      <c r="V125" s="15">
        <v>0</v>
      </c>
      <c r="W125" s="16">
        <v>0</v>
      </c>
      <c r="X125" s="2">
        <f t="shared" si="4"/>
        <v>7355792.7899999991</v>
      </c>
      <c r="Z125" s="18">
        <v>15245</v>
      </c>
      <c r="AA125" s="25">
        <v>277905</v>
      </c>
      <c r="AB125" s="18">
        <v>243789.55</v>
      </c>
      <c r="AC125" s="18">
        <v>124156.25</v>
      </c>
      <c r="AD125" s="25"/>
      <c r="AE125" s="18">
        <v>25408.3</v>
      </c>
      <c r="AF125" s="25"/>
      <c r="AG125" s="18">
        <v>56298.85</v>
      </c>
      <c r="AH125" s="25">
        <v>50175</v>
      </c>
      <c r="AI125" s="18"/>
      <c r="AJ125" s="25"/>
      <c r="AK125" s="18"/>
      <c r="AL125" s="68">
        <f>SUM(Z125:AK125)</f>
        <v>792977.95000000007</v>
      </c>
      <c r="AM125" s="33">
        <v>64</v>
      </c>
      <c r="AN125" s="34">
        <v>2180</v>
      </c>
      <c r="AO125" s="16">
        <v>-65533.62</v>
      </c>
      <c r="AP125" s="25"/>
      <c r="AQ125" s="16">
        <v>-2565.85</v>
      </c>
      <c r="AR125" s="64">
        <v>1</v>
      </c>
      <c r="AS125" s="35"/>
      <c r="AT125" s="35"/>
      <c r="AU125" s="40"/>
      <c r="AV125" s="40"/>
      <c r="AW125" s="41"/>
      <c r="AX125" s="23"/>
      <c r="AZ125" s="40"/>
      <c r="BA125" s="40"/>
      <c r="BB125" s="41"/>
      <c r="BC125" s="42"/>
      <c r="BD125" s="42"/>
      <c r="BE125" s="42"/>
      <c r="BF125" s="42"/>
      <c r="BG125" s="42"/>
      <c r="BI125" s="38"/>
      <c r="BJ125" s="39"/>
      <c r="BK125" s="38"/>
      <c r="BL125" s="38"/>
      <c r="BM125" s="38"/>
    </row>
    <row r="126" spans="1:65" x14ac:dyDescent="0.25">
      <c r="A126" s="13">
        <v>5604</v>
      </c>
      <c r="B126" s="14" t="s">
        <v>179</v>
      </c>
      <c r="C126" s="16">
        <v>3737571.3</v>
      </c>
      <c r="D126" s="15">
        <v>348933.88</v>
      </c>
      <c r="E126" s="16">
        <v>0</v>
      </c>
      <c r="F126" s="15">
        <v>0</v>
      </c>
      <c r="G126" s="16">
        <v>446710.5</v>
      </c>
      <c r="H126" s="15">
        <v>3908.7</v>
      </c>
      <c r="I126" s="16">
        <v>16422.099999999999</v>
      </c>
      <c r="J126" s="15">
        <v>91387.76</v>
      </c>
      <c r="K126" s="17">
        <v>23671</v>
      </c>
      <c r="L126" s="16">
        <v>328121.55</v>
      </c>
      <c r="M126" s="3">
        <f t="shared" si="3"/>
        <v>4996726.7899999991</v>
      </c>
      <c r="N126" s="15">
        <v>3939.6</v>
      </c>
      <c r="O126" s="16" t="s">
        <v>512</v>
      </c>
      <c r="P126" s="15">
        <v>172812.5</v>
      </c>
      <c r="Q126" s="16">
        <v>27774.55</v>
      </c>
      <c r="R126" s="15">
        <v>170245.45</v>
      </c>
      <c r="S126" s="16">
        <v>600</v>
      </c>
      <c r="T126" s="15">
        <v>1380</v>
      </c>
      <c r="U126" s="16">
        <v>10275</v>
      </c>
      <c r="V126" s="15">
        <v>755.2</v>
      </c>
      <c r="W126" s="16">
        <v>0</v>
      </c>
      <c r="X126" s="2">
        <f t="shared" si="4"/>
        <v>5384509.0899999989</v>
      </c>
      <c r="Y126" s="18">
        <v>184453.2</v>
      </c>
      <c r="Z126" s="25">
        <v>2450.4</v>
      </c>
      <c r="AA126" s="18">
        <v>340973.5</v>
      </c>
      <c r="AB126" s="25"/>
      <c r="AC126" s="18">
        <v>101479.8</v>
      </c>
      <c r="AD126" s="25">
        <v>196039.3</v>
      </c>
      <c r="AE126" s="18">
        <v>4275.45</v>
      </c>
      <c r="AF126" s="25"/>
      <c r="AG126" s="18">
        <v>11215.75</v>
      </c>
      <c r="AH126" s="25"/>
      <c r="AI126" s="18"/>
      <c r="AJ126" s="25"/>
      <c r="AK126" s="18"/>
      <c r="AL126" s="68">
        <f t="shared" si="5"/>
        <v>840887.39999999991</v>
      </c>
      <c r="AM126" s="33">
        <v>66</v>
      </c>
      <c r="AN126" s="34">
        <v>2072</v>
      </c>
      <c r="AO126" s="16">
        <v>-161619.66</v>
      </c>
      <c r="AP126" s="25"/>
      <c r="AQ126" s="16">
        <v>-55.47</v>
      </c>
      <c r="AR126" s="64">
        <v>1</v>
      </c>
      <c r="AS126" s="35"/>
      <c r="AT126" s="35"/>
      <c r="AU126" s="40"/>
      <c r="AV126" s="40"/>
      <c r="AW126" s="41"/>
      <c r="AX126" s="23"/>
      <c r="AZ126" s="40"/>
      <c r="BA126" s="40"/>
      <c r="BB126" s="41"/>
      <c r="BC126" s="42"/>
      <c r="BD126" s="42"/>
      <c r="BE126" s="42"/>
      <c r="BF126" s="42"/>
      <c r="BG126" s="42"/>
      <c r="BI126" s="38"/>
      <c r="BJ126" s="39"/>
      <c r="BK126" s="38"/>
      <c r="BL126" s="38"/>
      <c r="BM126" s="38"/>
    </row>
    <row r="127" spans="1:65" x14ac:dyDescent="0.25">
      <c r="A127" s="13">
        <v>5606</v>
      </c>
      <c r="B127" s="14" t="s">
        <v>180</v>
      </c>
      <c r="C127" s="16">
        <v>32214688.66</v>
      </c>
      <c r="D127" s="15">
        <v>6404771.2999999998</v>
      </c>
      <c r="E127" s="16">
        <v>0</v>
      </c>
      <c r="F127" s="15">
        <v>0</v>
      </c>
      <c r="G127" s="16">
        <v>1876959.1</v>
      </c>
      <c r="H127" s="15">
        <v>57418.6</v>
      </c>
      <c r="I127" s="16">
        <v>1456319.57</v>
      </c>
      <c r="J127" s="15">
        <v>1137909.05</v>
      </c>
      <c r="K127" s="17">
        <v>125479</v>
      </c>
      <c r="L127" s="16">
        <v>1786350.2</v>
      </c>
      <c r="M127" s="3">
        <f t="shared" si="3"/>
        <v>45059895.480000004</v>
      </c>
      <c r="N127" s="15">
        <v>90406.399999999994</v>
      </c>
      <c r="O127" s="16">
        <v>2122787.9</v>
      </c>
      <c r="P127" s="15">
        <v>1576253.85</v>
      </c>
      <c r="Q127" s="16">
        <v>16787.2</v>
      </c>
      <c r="R127" s="15">
        <v>1838821.5</v>
      </c>
      <c r="S127" s="16">
        <v>1487.5</v>
      </c>
      <c r="T127" s="15">
        <v>0</v>
      </c>
      <c r="U127" s="16">
        <v>40300</v>
      </c>
      <c r="V127" s="15">
        <v>711.6</v>
      </c>
      <c r="W127" s="16">
        <v>5810.65</v>
      </c>
      <c r="X127" s="2">
        <f t="shared" si="4"/>
        <v>50753262.080000006</v>
      </c>
      <c r="Y127" s="18">
        <v>131267.25</v>
      </c>
      <c r="Z127" s="25"/>
      <c r="AA127" s="18">
        <v>1153027.56</v>
      </c>
      <c r="AB127" s="25"/>
      <c r="AC127" s="18">
        <v>1571537.91</v>
      </c>
      <c r="AD127" s="25">
        <v>91772.6</v>
      </c>
      <c r="AE127" s="18"/>
      <c r="AF127" s="25"/>
      <c r="AG127" s="18">
        <v>16638.5</v>
      </c>
      <c r="AH127" s="25">
        <v>279491.75</v>
      </c>
      <c r="AI127" s="18">
        <v>198972.45</v>
      </c>
      <c r="AJ127" s="25">
        <v>79589</v>
      </c>
      <c r="AK127" s="18"/>
      <c r="AL127" s="68">
        <f t="shared" si="5"/>
        <v>3522297.02</v>
      </c>
      <c r="AM127" s="33">
        <v>56</v>
      </c>
      <c r="AN127" s="34">
        <v>9648</v>
      </c>
      <c r="AO127" s="16">
        <v>-383076.98</v>
      </c>
      <c r="AP127" s="25"/>
      <c r="AQ127" s="16">
        <v>-44741.440000000002</v>
      </c>
      <c r="AR127" s="64">
        <v>0.7</v>
      </c>
      <c r="AS127" s="35"/>
      <c r="AT127" s="35"/>
      <c r="AU127" s="40"/>
      <c r="AV127" s="40"/>
      <c r="AW127" s="41"/>
      <c r="AX127" s="23"/>
      <c r="AZ127" s="40"/>
      <c r="BA127" s="40"/>
      <c r="BB127" s="41"/>
      <c r="BC127" s="42"/>
      <c r="BD127" s="42"/>
      <c r="BE127" s="42"/>
      <c r="BF127" s="42"/>
      <c r="BG127" s="42"/>
      <c r="BI127" s="38"/>
      <c r="BJ127" s="39"/>
      <c r="BK127" s="38"/>
      <c r="BL127" s="38"/>
      <c r="BM127" s="38"/>
    </row>
    <row r="128" spans="1:65" x14ac:dyDescent="0.25">
      <c r="A128" s="13">
        <v>5607</v>
      </c>
      <c r="B128" s="14" t="s">
        <v>346</v>
      </c>
      <c r="C128" s="16">
        <v>4425291.7</v>
      </c>
      <c r="D128" s="15">
        <v>642431.36</v>
      </c>
      <c r="E128" s="16">
        <v>0</v>
      </c>
      <c r="F128" s="15">
        <v>0</v>
      </c>
      <c r="G128" s="16">
        <v>996025.2</v>
      </c>
      <c r="H128" s="15">
        <v>111521.2</v>
      </c>
      <c r="I128" s="16">
        <v>30938.95</v>
      </c>
      <c r="J128" s="15">
        <v>231811.91</v>
      </c>
      <c r="K128" s="17">
        <v>71473.5</v>
      </c>
      <c r="L128" s="16">
        <v>615392.85</v>
      </c>
      <c r="M128" s="3">
        <f t="shared" si="3"/>
        <v>7124886.6700000009</v>
      </c>
      <c r="N128" s="15">
        <v>95405.4</v>
      </c>
      <c r="O128" s="16">
        <v>49917.7</v>
      </c>
      <c r="P128" s="15">
        <v>429094.3</v>
      </c>
      <c r="Q128" s="16">
        <v>26502.9</v>
      </c>
      <c r="R128" s="15">
        <v>103573.6</v>
      </c>
      <c r="S128" s="16">
        <v>106.25</v>
      </c>
      <c r="T128" s="15">
        <v>0</v>
      </c>
      <c r="U128" s="16">
        <v>19600</v>
      </c>
      <c r="V128" s="15">
        <v>2148.85</v>
      </c>
      <c r="W128" s="16">
        <v>0</v>
      </c>
      <c r="X128" s="2">
        <f t="shared" si="4"/>
        <v>7851235.6700000009</v>
      </c>
      <c r="Y128" s="18">
        <v>91912.1</v>
      </c>
      <c r="Z128" s="25"/>
      <c r="AA128" s="18">
        <v>184166.6</v>
      </c>
      <c r="AB128" s="25">
        <v>341879.85</v>
      </c>
      <c r="AC128" s="18">
        <v>152820.1</v>
      </c>
      <c r="AD128" s="25">
        <v>171010.95</v>
      </c>
      <c r="AE128" s="18"/>
      <c r="AF128" s="25"/>
      <c r="AG128" s="18">
        <v>41799.199999999997</v>
      </c>
      <c r="AH128" s="25">
        <v>152698.85</v>
      </c>
      <c r="AI128" s="18"/>
      <c r="AJ128" s="25"/>
      <c r="AK128" s="18"/>
      <c r="AL128" s="68">
        <f t="shared" si="5"/>
        <v>1136287.6500000001</v>
      </c>
      <c r="AM128" s="33">
        <v>68</v>
      </c>
      <c r="AN128" s="34">
        <v>2815</v>
      </c>
      <c r="AO128" s="16">
        <v>-131467.76</v>
      </c>
      <c r="AP128" s="25"/>
      <c r="AQ128" s="16">
        <v>-460.22</v>
      </c>
      <c r="AR128" s="64">
        <v>1.1499999999999999</v>
      </c>
      <c r="AS128" s="35"/>
      <c r="AT128" s="35"/>
      <c r="AU128" s="40"/>
      <c r="AV128" s="40"/>
      <c r="AW128" s="41"/>
      <c r="AX128" s="23"/>
      <c r="AZ128" s="40"/>
      <c r="BA128" s="40"/>
      <c r="BB128" s="41"/>
      <c r="BC128" s="42"/>
      <c r="BD128" s="42"/>
      <c r="BE128" s="42"/>
      <c r="BF128" s="42"/>
      <c r="BG128" s="42"/>
      <c r="BI128" s="38"/>
      <c r="BJ128" s="39"/>
      <c r="BK128" s="38"/>
      <c r="BL128" s="38"/>
      <c r="BM128" s="38"/>
    </row>
    <row r="129" spans="1:65" x14ac:dyDescent="0.25">
      <c r="A129" s="13">
        <v>5609</v>
      </c>
      <c r="B129" s="14" t="s">
        <v>164</v>
      </c>
      <c r="C129" s="16">
        <v>843092.98</v>
      </c>
      <c r="D129" s="15">
        <v>160856.35999999999</v>
      </c>
      <c r="E129" s="16">
        <v>0</v>
      </c>
      <c r="F129" s="15">
        <v>0</v>
      </c>
      <c r="G129" s="16">
        <v>9012.9500000000007</v>
      </c>
      <c r="H129" s="15">
        <v>179.9</v>
      </c>
      <c r="I129" s="16">
        <v>0</v>
      </c>
      <c r="J129" s="15">
        <v>50360.6</v>
      </c>
      <c r="K129" s="17">
        <v>1104</v>
      </c>
      <c r="L129" s="16">
        <v>48390.400000000001</v>
      </c>
      <c r="M129" s="3">
        <f t="shared" si="3"/>
        <v>1112997.19</v>
      </c>
      <c r="N129" s="15" t="s">
        <v>512</v>
      </c>
      <c r="O129" s="16">
        <v>-446.7</v>
      </c>
      <c r="P129" s="15">
        <v>14403.4</v>
      </c>
      <c r="Q129" s="16">
        <v>1012.8</v>
      </c>
      <c r="R129" s="15">
        <v>32607.7</v>
      </c>
      <c r="S129" s="16">
        <v>93.75</v>
      </c>
      <c r="T129" s="15">
        <v>0</v>
      </c>
      <c r="U129" s="16">
        <v>600</v>
      </c>
      <c r="V129" s="15">
        <v>0</v>
      </c>
      <c r="W129" s="16">
        <v>0</v>
      </c>
      <c r="X129" s="2">
        <f t="shared" si="4"/>
        <v>1161268.1399999999</v>
      </c>
      <c r="Y129" s="18"/>
      <c r="Z129" s="25">
        <v>1000.35</v>
      </c>
      <c r="AA129" s="18">
        <v>34806</v>
      </c>
      <c r="AB129" s="25">
        <v>35837.800000000003</v>
      </c>
      <c r="AC129" s="18">
        <v>20343.75</v>
      </c>
      <c r="AD129" s="25"/>
      <c r="AE129" s="18">
        <v>2329.3000000000002</v>
      </c>
      <c r="AF129" s="25"/>
      <c r="AG129" s="18">
        <v>8857</v>
      </c>
      <c r="AH129" s="25">
        <v>6803.25</v>
      </c>
      <c r="AI129" s="18"/>
      <c r="AJ129" s="25"/>
      <c r="AK129" s="18"/>
      <c r="AL129" s="68">
        <f t="shared" si="5"/>
        <v>109977.45</v>
      </c>
      <c r="AM129" s="33">
        <v>63.5</v>
      </c>
      <c r="AN129" s="34">
        <v>345</v>
      </c>
      <c r="AO129" s="16">
        <v>-3298.38</v>
      </c>
      <c r="AP129" s="25"/>
      <c r="AQ129" s="16">
        <v>-2155.25</v>
      </c>
      <c r="AR129" s="64">
        <v>1</v>
      </c>
      <c r="AS129" s="35"/>
      <c r="AT129" s="35"/>
      <c r="AU129" s="40"/>
      <c r="AV129" s="40"/>
      <c r="AW129" s="41"/>
      <c r="AX129" s="23"/>
      <c r="AZ129" s="40"/>
      <c r="BA129" s="40"/>
      <c r="BB129" s="41"/>
      <c r="BC129" s="42"/>
      <c r="BD129" s="42"/>
      <c r="BE129" s="42"/>
      <c r="BF129" s="42"/>
      <c r="BG129" s="42"/>
      <c r="BI129" s="38"/>
      <c r="BJ129" s="39"/>
      <c r="BK129" s="38"/>
      <c r="BL129" s="38"/>
      <c r="BM129" s="38"/>
    </row>
    <row r="130" spans="1:65" x14ac:dyDescent="0.25">
      <c r="A130" s="13">
        <v>5610</v>
      </c>
      <c r="B130" s="14" t="s">
        <v>165</v>
      </c>
      <c r="C130" s="16">
        <v>751980.51</v>
      </c>
      <c r="D130" s="15">
        <v>262504.34999999998</v>
      </c>
      <c r="E130" s="16">
        <v>0</v>
      </c>
      <c r="F130" s="15">
        <v>0</v>
      </c>
      <c r="G130" s="16">
        <v>4060.95</v>
      </c>
      <c r="H130" s="15">
        <v>3287.8</v>
      </c>
      <c r="I130" s="16">
        <v>79641.649999999994</v>
      </c>
      <c r="J130" s="15">
        <v>27496.38</v>
      </c>
      <c r="K130" s="17">
        <v>6706.5</v>
      </c>
      <c r="L130" s="16">
        <v>78625.25</v>
      </c>
      <c r="M130" s="3">
        <f t="shared" si="3"/>
        <v>1214303.3899999999</v>
      </c>
      <c r="N130" s="15" t="s">
        <v>512</v>
      </c>
      <c r="O130" s="16">
        <v>30369.9</v>
      </c>
      <c r="P130" s="15">
        <v>21670</v>
      </c>
      <c r="Q130" s="16">
        <v>16480.13</v>
      </c>
      <c r="R130" s="15">
        <v>17879.150000000001</v>
      </c>
      <c r="S130" s="16">
        <v>31.25</v>
      </c>
      <c r="T130" s="15">
        <v>0</v>
      </c>
      <c r="U130" s="16">
        <v>4275</v>
      </c>
      <c r="V130" s="15">
        <v>0</v>
      </c>
      <c r="W130" s="16">
        <v>0</v>
      </c>
      <c r="X130" s="2">
        <f t="shared" si="4"/>
        <v>1305008.8199999996</v>
      </c>
      <c r="Y130" s="18"/>
      <c r="Z130" s="25"/>
      <c r="AA130" s="18"/>
      <c r="AB130" s="25">
        <v>47966.8</v>
      </c>
      <c r="AC130" s="18"/>
      <c r="AD130" s="25"/>
      <c r="AE130" s="18"/>
      <c r="AF130" s="25"/>
      <c r="AG130" s="18"/>
      <c r="AH130" s="25"/>
      <c r="AI130" s="18"/>
      <c r="AJ130" s="25"/>
      <c r="AK130" s="18"/>
      <c r="AL130" s="68">
        <f t="shared" si="5"/>
        <v>47966.8</v>
      </c>
      <c r="AM130" s="33">
        <v>60</v>
      </c>
      <c r="AN130" s="34">
        <v>378</v>
      </c>
      <c r="AO130" s="16">
        <v>-9922.19</v>
      </c>
      <c r="AP130" s="25"/>
      <c r="AQ130" s="16">
        <v>483.98</v>
      </c>
      <c r="AR130" s="64">
        <v>1</v>
      </c>
      <c r="AS130" s="35"/>
      <c r="AT130" s="35"/>
      <c r="AU130" s="40"/>
      <c r="AV130" s="40"/>
      <c r="AW130" s="41"/>
      <c r="AX130" s="23"/>
      <c r="AZ130" s="40"/>
      <c r="BA130" s="40"/>
      <c r="BB130" s="41"/>
      <c r="BC130" s="42"/>
      <c r="BD130" s="42"/>
      <c r="BE130" s="42"/>
      <c r="BF130" s="42"/>
      <c r="BG130" s="42"/>
      <c r="BI130" s="38"/>
      <c r="BJ130" s="39"/>
      <c r="BK130" s="38"/>
      <c r="BL130" s="38"/>
      <c r="BM130" s="38"/>
    </row>
    <row r="131" spans="1:65" x14ac:dyDescent="0.25">
      <c r="A131" s="13">
        <v>5611</v>
      </c>
      <c r="B131" s="14" t="s">
        <v>343</v>
      </c>
      <c r="C131" s="16">
        <v>6824557.8099999996</v>
      </c>
      <c r="D131" s="15">
        <v>1134815.18</v>
      </c>
      <c r="E131" s="16">
        <v>0</v>
      </c>
      <c r="F131" s="15">
        <v>0</v>
      </c>
      <c r="G131" s="16">
        <v>472593.45</v>
      </c>
      <c r="H131" s="15">
        <v>12999.3</v>
      </c>
      <c r="I131" s="16">
        <v>31177.3</v>
      </c>
      <c r="J131" s="15">
        <v>110467.93</v>
      </c>
      <c r="K131" s="17">
        <v>13616.5</v>
      </c>
      <c r="L131" s="16">
        <v>588584.1</v>
      </c>
      <c r="M131" s="3">
        <f t="shared" si="3"/>
        <v>9188811.5700000003</v>
      </c>
      <c r="N131" s="15">
        <v>69571.100000000006</v>
      </c>
      <c r="O131" s="16">
        <v>39891.199999999997</v>
      </c>
      <c r="P131" s="15">
        <v>144971</v>
      </c>
      <c r="Q131" s="16">
        <v>4796.78</v>
      </c>
      <c r="R131" s="15">
        <v>208684.3</v>
      </c>
      <c r="S131" s="16">
        <v>725</v>
      </c>
      <c r="T131" s="15">
        <v>0</v>
      </c>
      <c r="U131" s="16">
        <v>22995</v>
      </c>
      <c r="V131" s="15">
        <v>604.75</v>
      </c>
      <c r="W131" s="16">
        <v>2641.15</v>
      </c>
      <c r="X131" s="2">
        <f t="shared" si="4"/>
        <v>9683691.8499999996</v>
      </c>
      <c r="Y131" s="18">
        <v>101174.2</v>
      </c>
      <c r="Z131" s="25"/>
      <c r="AA131" s="18"/>
      <c r="AB131" s="25"/>
      <c r="AC131" s="18">
        <v>308027.3</v>
      </c>
      <c r="AD131" s="25">
        <v>30028.400000000001</v>
      </c>
      <c r="AE131" s="18">
        <v>376.45</v>
      </c>
      <c r="AF131" s="25"/>
      <c r="AG131" s="18"/>
      <c r="AH131" s="25"/>
      <c r="AI131" s="18"/>
      <c r="AJ131" s="25"/>
      <c r="AK131" s="18"/>
      <c r="AL131" s="68">
        <f t="shared" si="5"/>
        <v>439606.35000000003</v>
      </c>
      <c r="AM131" s="33">
        <v>67</v>
      </c>
      <c r="AN131" s="34">
        <v>3304</v>
      </c>
      <c r="AO131" s="16">
        <v>-238442.75</v>
      </c>
      <c r="AP131" s="25"/>
      <c r="AQ131" s="16">
        <v>-681.53</v>
      </c>
      <c r="AR131" s="64">
        <v>1</v>
      </c>
      <c r="AS131" s="35"/>
      <c r="AT131" s="35"/>
      <c r="AU131" s="40"/>
      <c r="AV131" s="40"/>
      <c r="AW131" s="41"/>
      <c r="AX131" s="23"/>
      <c r="AZ131" s="40"/>
      <c r="BA131" s="40"/>
      <c r="BB131" s="41"/>
      <c r="BC131" s="42"/>
      <c r="BD131" s="42"/>
      <c r="BE131" s="42"/>
      <c r="BF131" s="42"/>
      <c r="BG131" s="42"/>
      <c r="BI131" s="38"/>
      <c r="BJ131" s="39"/>
      <c r="BK131" s="38"/>
      <c r="BL131" s="38"/>
      <c r="BM131" s="38"/>
    </row>
    <row r="132" spans="1:65" x14ac:dyDescent="0.25">
      <c r="A132" s="13">
        <v>5613</v>
      </c>
      <c r="B132" s="14" t="s">
        <v>494</v>
      </c>
      <c r="C132" s="16">
        <v>14345410.199999999</v>
      </c>
      <c r="D132" s="15">
        <v>3293047.55</v>
      </c>
      <c r="E132" s="16">
        <v>0</v>
      </c>
      <c r="F132" s="15">
        <v>0</v>
      </c>
      <c r="G132" s="16">
        <v>241328.4</v>
      </c>
      <c r="H132" s="15">
        <v>31066.9</v>
      </c>
      <c r="I132" s="16">
        <v>346014.77</v>
      </c>
      <c r="J132" s="15">
        <v>231142.36</v>
      </c>
      <c r="K132" s="17">
        <v>23046.5</v>
      </c>
      <c r="L132" s="16">
        <v>1716146.65</v>
      </c>
      <c r="M132" s="3">
        <f t="shared" si="3"/>
        <v>20227203.329999994</v>
      </c>
      <c r="N132" s="15">
        <v>24518.75</v>
      </c>
      <c r="O132" s="16">
        <v>444267.8</v>
      </c>
      <c r="P132" s="15">
        <v>641715.30000000005</v>
      </c>
      <c r="Q132" s="16">
        <v>47215.71</v>
      </c>
      <c r="R132" s="15">
        <v>547110.1</v>
      </c>
      <c r="S132" s="16">
        <v>1025</v>
      </c>
      <c r="T132" s="15">
        <v>0</v>
      </c>
      <c r="U132" s="16">
        <v>25500</v>
      </c>
      <c r="V132" s="15">
        <v>0</v>
      </c>
      <c r="W132" s="16">
        <v>0</v>
      </c>
      <c r="X132" s="2">
        <f t="shared" si="4"/>
        <v>21958555.989999998</v>
      </c>
      <c r="Y132" s="18">
        <v>14800</v>
      </c>
      <c r="Z132" s="25"/>
      <c r="AA132" s="18">
        <v>744460.6</v>
      </c>
      <c r="AB132" s="25"/>
      <c r="AC132" s="18">
        <v>332695.59999999998</v>
      </c>
      <c r="AD132" s="25">
        <v>120516.75</v>
      </c>
      <c r="AE132" s="18"/>
      <c r="AF132" s="25"/>
      <c r="AG132" s="18">
        <v>145085.5</v>
      </c>
      <c r="AH132" s="25"/>
      <c r="AI132" s="18"/>
      <c r="AJ132" s="25"/>
      <c r="AK132" s="18"/>
      <c r="AL132" s="68">
        <f t="shared" si="5"/>
        <v>1357558.45</v>
      </c>
      <c r="AM132" s="33">
        <v>61</v>
      </c>
      <c r="AN132" s="34">
        <v>5184</v>
      </c>
      <c r="AO132" s="16">
        <v>-224379.25</v>
      </c>
      <c r="AP132" s="25"/>
      <c r="AQ132" s="16">
        <v>-8525.2800000000007</v>
      </c>
      <c r="AR132" s="64">
        <v>1.5</v>
      </c>
      <c r="AS132" s="35"/>
      <c r="AT132" s="35"/>
      <c r="AU132" s="40"/>
      <c r="AV132" s="40"/>
      <c r="AW132" s="41"/>
      <c r="AX132" s="23"/>
      <c r="AZ132" s="40"/>
      <c r="BA132" s="40"/>
      <c r="BB132" s="41"/>
      <c r="BC132" s="42"/>
      <c r="BD132" s="42"/>
      <c r="BE132" s="42"/>
      <c r="BF132" s="42"/>
      <c r="BG132" s="42"/>
      <c r="BI132" s="38"/>
      <c r="BJ132" s="39"/>
      <c r="BK132" s="38"/>
      <c r="BL132" s="38"/>
      <c r="BM132" s="38"/>
    </row>
    <row r="133" spans="1:65" x14ac:dyDescent="0.25">
      <c r="A133" s="13">
        <v>5621</v>
      </c>
      <c r="B133" s="14" t="s">
        <v>457</v>
      </c>
      <c r="C133" s="16">
        <v>1232946.24</v>
      </c>
      <c r="D133" s="15">
        <v>110509.75999999999</v>
      </c>
      <c r="E133" s="16">
        <v>0</v>
      </c>
      <c r="F133" s="15">
        <v>0</v>
      </c>
      <c r="G133" s="16">
        <v>844120.5</v>
      </c>
      <c r="H133" s="15">
        <v>5311.4</v>
      </c>
      <c r="I133" s="16">
        <v>0</v>
      </c>
      <c r="J133" s="15">
        <v>41487.47</v>
      </c>
      <c r="K133" s="17">
        <v>14314.5</v>
      </c>
      <c r="L133" s="16">
        <v>294118.3</v>
      </c>
      <c r="M133" s="3">
        <f t="shared" si="3"/>
        <v>2542808.17</v>
      </c>
      <c r="N133" s="15">
        <v>168131.9</v>
      </c>
      <c r="O133" s="16" t="s">
        <v>512</v>
      </c>
      <c r="P133" s="15">
        <v>43919.7</v>
      </c>
      <c r="Q133" s="16">
        <v>29263.35</v>
      </c>
      <c r="R133" s="15">
        <v>-5100.8</v>
      </c>
      <c r="S133" s="16">
        <v>0</v>
      </c>
      <c r="T133" s="15">
        <v>830</v>
      </c>
      <c r="U133" s="16">
        <v>2160</v>
      </c>
      <c r="V133" s="15">
        <v>0</v>
      </c>
      <c r="W133" s="16">
        <v>0</v>
      </c>
      <c r="X133" s="2">
        <f t="shared" si="4"/>
        <v>2782012.3200000003</v>
      </c>
      <c r="Y133" s="18">
        <v>19028.2</v>
      </c>
      <c r="Z133" s="25"/>
      <c r="AA133" s="18">
        <v>166426.95000000001</v>
      </c>
      <c r="AB133" s="25"/>
      <c r="AC133" s="18">
        <v>42622.95</v>
      </c>
      <c r="AD133" s="25">
        <v>14817.05</v>
      </c>
      <c r="AE133" s="18"/>
      <c r="AF133" s="25"/>
      <c r="AG133" s="18"/>
      <c r="AH133" s="25">
        <v>97165.7</v>
      </c>
      <c r="AI133" s="18"/>
      <c r="AJ133" s="25"/>
      <c r="AK133" s="18"/>
      <c r="AL133" s="68">
        <f t="shared" si="5"/>
        <v>340060.85000000003</v>
      </c>
      <c r="AM133" s="33">
        <v>62</v>
      </c>
      <c r="AN133" s="34">
        <v>538</v>
      </c>
      <c r="AO133" s="16">
        <v>-19000.41</v>
      </c>
      <c r="AP133" s="25"/>
      <c r="AQ133" s="16">
        <v>-0.81</v>
      </c>
      <c r="AR133" s="64">
        <v>1.1000000000000001</v>
      </c>
      <c r="AS133" s="35"/>
      <c r="AT133" s="35"/>
      <c r="AU133" s="40"/>
      <c r="AV133" s="40"/>
      <c r="AW133" s="41"/>
      <c r="AX133" s="23"/>
      <c r="AZ133" s="40"/>
      <c r="BA133" s="40"/>
      <c r="BB133" s="41"/>
      <c r="BC133" s="42"/>
      <c r="BD133" s="42"/>
      <c r="BE133" s="42"/>
      <c r="BF133" s="42"/>
      <c r="BG133" s="42"/>
      <c r="BI133" s="38"/>
      <c r="BJ133" s="39"/>
      <c r="BK133" s="38"/>
      <c r="BL133" s="38"/>
      <c r="BM133" s="38"/>
    </row>
    <row r="134" spans="1:65" x14ac:dyDescent="0.25">
      <c r="A134" s="13">
        <v>5622</v>
      </c>
      <c r="B134" s="14" t="s">
        <v>183</v>
      </c>
      <c r="C134" s="16">
        <v>1383116.95</v>
      </c>
      <c r="D134" s="15">
        <v>166130.59</v>
      </c>
      <c r="E134" s="16">
        <v>0</v>
      </c>
      <c r="F134" s="15">
        <v>0</v>
      </c>
      <c r="G134" s="16">
        <v>34576.6</v>
      </c>
      <c r="H134" s="15">
        <v>1103.75</v>
      </c>
      <c r="I134" s="16">
        <v>-36771.949999999997</v>
      </c>
      <c r="J134" s="15">
        <v>31045.31</v>
      </c>
      <c r="K134" s="17">
        <v>4315.5</v>
      </c>
      <c r="L134" s="16">
        <v>123628.5</v>
      </c>
      <c r="M134" s="3">
        <f t="shared" si="3"/>
        <v>1707145.2500000002</v>
      </c>
      <c r="N134" s="15">
        <v>22445.8</v>
      </c>
      <c r="O134" s="16" t="s">
        <v>512</v>
      </c>
      <c r="P134" s="15">
        <v>55770</v>
      </c>
      <c r="Q134" s="16">
        <v>0</v>
      </c>
      <c r="R134" s="15">
        <v>41907.65</v>
      </c>
      <c r="S134" s="16">
        <v>0</v>
      </c>
      <c r="T134" s="15">
        <v>0</v>
      </c>
      <c r="U134" s="16">
        <v>2260</v>
      </c>
      <c r="V134" s="15">
        <v>0</v>
      </c>
      <c r="W134" s="16">
        <v>0</v>
      </c>
      <c r="X134" s="2">
        <f t="shared" si="4"/>
        <v>1829528.7000000002</v>
      </c>
      <c r="Y134" s="18">
        <v>40584.25</v>
      </c>
      <c r="Z134" s="25"/>
      <c r="AA134" s="18">
        <v>170083.25</v>
      </c>
      <c r="AB134" s="25"/>
      <c r="AC134" s="18">
        <v>58784.05</v>
      </c>
      <c r="AD134" s="25">
        <v>38886.449999999997</v>
      </c>
      <c r="AE134" s="18"/>
      <c r="AF134" s="25"/>
      <c r="AG134" s="18"/>
      <c r="AH134" s="25"/>
      <c r="AI134" s="18"/>
      <c r="AJ134" s="25"/>
      <c r="AK134" s="18"/>
      <c r="AL134" s="68">
        <f t="shared" si="5"/>
        <v>308338</v>
      </c>
      <c r="AM134" s="33">
        <v>66</v>
      </c>
      <c r="AN134" s="34">
        <v>495</v>
      </c>
      <c r="AO134" s="16">
        <v>-3973.1</v>
      </c>
      <c r="AP134" s="25"/>
      <c r="AQ134" s="16">
        <v>-22.29</v>
      </c>
      <c r="AR134" s="64">
        <v>1</v>
      </c>
      <c r="AS134" s="35"/>
      <c r="AT134" s="35"/>
      <c r="AU134" s="40"/>
      <c r="AV134" s="40"/>
      <c r="AW134" s="41"/>
      <c r="AX134" s="23"/>
      <c r="AZ134" s="40"/>
      <c r="BA134" s="40"/>
      <c r="BB134" s="41"/>
      <c r="BC134" s="42"/>
      <c r="BD134" s="42"/>
      <c r="BE134" s="42"/>
      <c r="BF134" s="42"/>
      <c r="BG134" s="42"/>
      <c r="BI134" s="38"/>
      <c r="BJ134" s="39"/>
      <c r="BK134" s="38"/>
      <c r="BL134" s="38"/>
      <c r="BM134" s="38"/>
    </row>
    <row r="135" spans="1:65" x14ac:dyDescent="0.25">
      <c r="A135" s="13">
        <v>5623</v>
      </c>
      <c r="B135" s="14" t="s">
        <v>184</v>
      </c>
      <c r="C135" s="16">
        <v>3006735.22</v>
      </c>
      <c r="D135" s="15">
        <v>1112651.8700000001</v>
      </c>
      <c r="E135" s="16">
        <v>0</v>
      </c>
      <c r="F135" s="15">
        <v>0</v>
      </c>
      <c r="G135" s="16">
        <v>65387.45</v>
      </c>
      <c r="H135" s="15">
        <v>196562.5</v>
      </c>
      <c r="I135" s="16">
        <v>211141.7</v>
      </c>
      <c r="J135" s="15">
        <v>-311.93</v>
      </c>
      <c r="K135" s="17">
        <v>4146.5</v>
      </c>
      <c r="L135" s="16">
        <v>224412</v>
      </c>
      <c r="M135" s="3">
        <f t="shared" si="3"/>
        <v>4820725.3100000015</v>
      </c>
      <c r="N135" s="15">
        <v>5813.35</v>
      </c>
      <c r="O135" s="16">
        <v>38.200000000000003</v>
      </c>
      <c r="P135" s="15">
        <v>195525</v>
      </c>
      <c r="Q135" s="16">
        <v>602.5</v>
      </c>
      <c r="R135" s="15">
        <v>54846.2</v>
      </c>
      <c r="S135" s="16">
        <v>0</v>
      </c>
      <c r="T135" s="15">
        <v>700</v>
      </c>
      <c r="U135" s="16">
        <v>1225</v>
      </c>
      <c r="V135" s="15">
        <v>0</v>
      </c>
      <c r="W135" s="16">
        <v>0</v>
      </c>
      <c r="X135" s="2">
        <f t="shared" si="4"/>
        <v>5079475.5600000015</v>
      </c>
      <c r="Y135" s="18">
        <v>27960</v>
      </c>
      <c r="Z135" s="25"/>
      <c r="AA135" s="18">
        <v>130756</v>
      </c>
      <c r="AB135" s="25"/>
      <c r="AC135" s="18">
        <v>96031.85</v>
      </c>
      <c r="AD135" s="25">
        <v>34235</v>
      </c>
      <c r="AE135" s="18"/>
      <c r="AF135" s="25"/>
      <c r="AG135" s="18"/>
      <c r="AH135" s="25"/>
      <c r="AI135" s="18"/>
      <c r="AJ135" s="25"/>
      <c r="AK135" s="18"/>
      <c r="AL135" s="68">
        <f t="shared" si="5"/>
        <v>288982.84999999998</v>
      </c>
      <c r="AM135" s="33">
        <v>53</v>
      </c>
      <c r="AN135" s="34">
        <v>616</v>
      </c>
      <c r="AO135" s="16">
        <v>-2145.25</v>
      </c>
      <c r="AP135" s="25"/>
      <c r="AQ135" s="16">
        <v>-14356.25</v>
      </c>
      <c r="AR135" s="64">
        <v>0.8</v>
      </c>
      <c r="AS135" s="35"/>
      <c r="AT135" s="35"/>
      <c r="AU135" s="40"/>
      <c r="AV135" s="40"/>
      <c r="AW135" s="41"/>
      <c r="AX135" s="23"/>
      <c r="AZ135" s="40"/>
      <c r="BA135" s="40"/>
      <c r="BB135" s="41"/>
      <c r="BC135" s="42"/>
      <c r="BD135" s="42"/>
      <c r="BE135" s="42"/>
      <c r="BF135" s="42"/>
      <c r="BG135" s="42"/>
      <c r="BI135" s="38"/>
      <c r="BJ135" s="39"/>
      <c r="BK135" s="38"/>
      <c r="BL135" s="38"/>
      <c r="BM135" s="38"/>
    </row>
    <row r="136" spans="1:65" x14ac:dyDescent="0.25">
      <c r="A136" s="13">
        <v>5624</v>
      </c>
      <c r="B136" s="14" t="s">
        <v>509</v>
      </c>
      <c r="C136" s="16">
        <v>12222311.27</v>
      </c>
      <c r="D136" s="15">
        <v>1091186.1499999999</v>
      </c>
      <c r="E136" s="16">
        <v>0</v>
      </c>
      <c r="F136" s="15">
        <v>0</v>
      </c>
      <c r="G136" s="16">
        <v>5777209.2999999998</v>
      </c>
      <c r="H136" s="15">
        <v>209198.45</v>
      </c>
      <c r="I136" s="16">
        <v>0</v>
      </c>
      <c r="J136" s="15">
        <v>1052559.69</v>
      </c>
      <c r="K136" s="17">
        <v>243985</v>
      </c>
      <c r="L136" s="16">
        <v>1680191.6</v>
      </c>
      <c r="M136" s="3">
        <f t="shared" ref="M136:M199" si="6">SUM(C136:L136)</f>
        <v>22276641.460000001</v>
      </c>
      <c r="N136" s="15">
        <v>1048244.2</v>
      </c>
      <c r="O136" s="16">
        <v>199421.7</v>
      </c>
      <c r="P136" s="15">
        <v>673604.5</v>
      </c>
      <c r="Q136" s="16">
        <v>65555.149999999994</v>
      </c>
      <c r="R136" s="15">
        <v>313410.8</v>
      </c>
      <c r="S136" s="16">
        <v>0</v>
      </c>
      <c r="T136" s="15">
        <v>0</v>
      </c>
      <c r="U136" s="16">
        <v>29800</v>
      </c>
      <c r="V136" s="15">
        <v>0</v>
      </c>
      <c r="W136" s="16">
        <v>0</v>
      </c>
      <c r="X136" s="2">
        <f t="shared" ref="X136:X199" si="7">SUM(M136:W136)</f>
        <v>24606677.809999999</v>
      </c>
      <c r="Y136" s="18">
        <v>25013.75</v>
      </c>
      <c r="Z136" s="25"/>
      <c r="AA136" s="18">
        <v>1476470.99</v>
      </c>
      <c r="AB136" s="25"/>
      <c r="AC136" s="18">
        <v>932952.4</v>
      </c>
      <c r="AD136" s="25">
        <v>734.4</v>
      </c>
      <c r="AE136" s="18"/>
      <c r="AF136" s="25"/>
      <c r="AG136" s="18">
        <v>247360.8</v>
      </c>
      <c r="AH136" s="25">
        <v>502186.99</v>
      </c>
      <c r="AI136" s="18"/>
      <c r="AJ136" s="25"/>
      <c r="AK136" s="18"/>
      <c r="AL136" s="68">
        <f t="shared" ref="AL136:AL199" si="8">SUM(Y136:AK136)</f>
        <v>3184719.33</v>
      </c>
      <c r="AM136" s="33">
        <v>62</v>
      </c>
      <c r="AN136" s="34">
        <v>8208</v>
      </c>
      <c r="AO136" s="16">
        <v>-230988.45</v>
      </c>
      <c r="AP136" s="25"/>
      <c r="AQ136" s="16">
        <v>0</v>
      </c>
      <c r="AR136" s="64">
        <v>1</v>
      </c>
      <c r="AS136" s="35"/>
      <c r="AT136" s="35"/>
      <c r="AU136" s="40"/>
      <c r="AV136" s="40"/>
      <c r="AW136" s="41"/>
      <c r="AX136" s="23"/>
      <c r="AZ136" s="40"/>
      <c r="BA136" s="40"/>
      <c r="BB136" s="41"/>
      <c r="BC136" s="42"/>
      <c r="BD136" s="42"/>
      <c r="BE136" s="42"/>
      <c r="BF136" s="42"/>
      <c r="BG136" s="42"/>
      <c r="BI136" s="38"/>
      <c r="BJ136" s="39"/>
      <c r="BK136" s="38"/>
      <c r="BL136" s="38"/>
      <c r="BM136" s="38"/>
    </row>
    <row r="137" spans="1:65" x14ac:dyDescent="0.25">
      <c r="A137" s="13">
        <v>5625</v>
      </c>
      <c r="B137" s="14" t="s">
        <v>347</v>
      </c>
      <c r="C137" s="16">
        <v>735165.56</v>
      </c>
      <c r="D137" s="15">
        <v>117398.05</v>
      </c>
      <c r="E137" s="16">
        <v>0</v>
      </c>
      <c r="F137" s="15">
        <v>0</v>
      </c>
      <c r="G137" s="16">
        <v>-2052.65</v>
      </c>
      <c r="H137" s="15">
        <v>8.65</v>
      </c>
      <c r="I137" s="16">
        <v>47396.05</v>
      </c>
      <c r="J137" s="15">
        <v>13558.67</v>
      </c>
      <c r="K137" s="17">
        <v>11190</v>
      </c>
      <c r="L137" s="16">
        <v>97078.3</v>
      </c>
      <c r="M137" s="3">
        <f t="shared" si="6"/>
        <v>1019742.6300000002</v>
      </c>
      <c r="N137" s="25"/>
      <c r="O137" s="18"/>
      <c r="P137" s="25">
        <v>11660</v>
      </c>
      <c r="Q137" s="18">
        <v>0</v>
      </c>
      <c r="R137" s="25"/>
      <c r="S137" s="18">
        <v>0</v>
      </c>
      <c r="T137" s="25">
        <v>1700</v>
      </c>
      <c r="U137" s="18">
        <v>720</v>
      </c>
      <c r="V137" s="25">
        <v>0</v>
      </c>
      <c r="W137" s="18">
        <v>0</v>
      </c>
      <c r="X137" s="2">
        <f t="shared" si="7"/>
        <v>1033822.6300000002</v>
      </c>
      <c r="Y137" s="18">
        <v>23358</v>
      </c>
      <c r="Z137" s="25"/>
      <c r="AA137" s="18">
        <v>50264.800000000003</v>
      </c>
      <c r="AB137" s="25"/>
      <c r="AC137" s="18">
        <v>44434.85</v>
      </c>
      <c r="AD137" s="25"/>
      <c r="AE137" s="18"/>
      <c r="AF137" s="25"/>
      <c r="AG137" s="18"/>
      <c r="AH137" s="25"/>
      <c r="AI137" s="18"/>
      <c r="AJ137" s="25"/>
      <c r="AK137" s="18"/>
      <c r="AL137" s="68">
        <f t="shared" si="8"/>
        <v>118057.65</v>
      </c>
      <c r="AM137" s="33">
        <v>72</v>
      </c>
      <c r="AN137" s="34">
        <v>388</v>
      </c>
      <c r="AO137" s="16">
        <v>-4909.24</v>
      </c>
      <c r="AP137" s="25"/>
      <c r="AQ137" s="16">
        <v>0</v>
      </c>
      <c r="AR137" s="64">
        <v>1.2</v>
      </c>
      <c r="AS137" s="35"/>
      <c r="AT137" s="35"/>
      <c r="AU137" s="40"/>
      <c r="AV137" s="40"/>
      <c r="AW137" s="41"/>
      <c r="AX137" s="23"/>
      <c r="AZ137" s="40"/>
      <c r="BA137" s="40"/>
      <c r="BB137" s="41"/>
      <c r="BC137" s="42"/>
      <c r="BD137" s="42"/>
      <c r="BE137" s="42"/>
      <c r="BF137" s="42"/>
      <c r="BG137" s="42"/>
      <c r="BI137" s="38"/>
      <c r="BJ137" s="39"/>
      <c r="BK137" s="38"/>
      <c r="BL137" s="38"/>
      <c r="BM137" s="38"/>
    </row>
    <row r="138" spans="1:65" x14ac:dyDescent="0.25">
      <c r="A138" s="13">
        <v>5627</v>
      </c>
      <c r="B138" s="14" t="s">
        <v>294</v>
      </c>
      <c r="C138" s="16">
        <v>9299819.8399999999</v>
      </c>
      <c r="D138" s="15">
        <v>528573.36</v>
      </c>
      <c r="E138" s="16">
        <v>0</v>
      </c>
      <c r="F138" s="15">
        <v>0</v>
      </c>
      <c r="G138" s="16">
        <v>2284586.75</v>
      </c>
      <c r="H138" s="15">
        <v>174321.3</v>
      </c>
      <c r="I138" s="16">
        <v>0</v>
      </c>
      <c r="J138" s="15">
        <v>635625.28</v>
      </c>
      <c r="K138" s="17">
        <v>170274</v>
      </c>
      <c r="L138" s="16">
        <v>1170335.3</v>
      </c>
      <c r="M138" s="3">
        <f t="shared" si="6"/>
        <v>14263535.83</v>
      </c>
      <c r="N138" s="15">
        <v>415643.65</v>
      </c>
      <c r="O138" s="16">
        <v>51380.800000000003</v>
      </c>
      <c r="P138" s="15">
        <v>284452.25</v>
      </c>
      <c r="Q138" s="16">
        <v>36322.019999999997</v>
      </c>
      <c r="R138" s="15">
        <v>79381.8</v>
      </c>
      <c r="S138" s="16">
        <v>0</v>
      </c>
      <c r="T138" s="15">
        <v>0</v>
      </c>
      <c r="U138" s="16">
        <v>24750</v>
      </c>
      <c r="V138" s="15">
        <v>365.4</v>
      </c>
      <c r="W138" s="16">
        <v>530.1</v>
      </c>
      <c r="X138" s="2">
        <f t="shared" si="7"/>
        <v>15156361.850000001</v>
      </c>
      <c r="Y138" s="18">
        <v>62734.85</v>
      </c>
      <c r="Z138" s="25"/>
      <c r="AA138" s="18">
        <v>564040.15</v>
      </c>
      <c r="AB138" s="25"/>
      <c r="AC138" s="18">
        <v>355630.2</v>
      </c>
      <c r="AD138" s="25"/>
      <c r="AE138" s="18"/>
      <c r="AF138" s="25">
        <v>50</v>
      </c>
      <c r="AG138" s="18">
        <v>18465.349999999999</v>
      </c>
      <c r="AH138" s="25"/>
      <c r="AI138" s="18"/>
      <c r="AJ138" s="25"/>
      <c r="AK138" s="18"/>
      <c r="AL138" s="68">
        <f t="shared" si="8"/>
        <v>1000920.5499999999</v>
      </c>
      <c r="AM138" s="33">
        <v>79</v>
      </c>
      <c r="AN138" s="34">
        <v>7169</v>
      </c>
      <c r="AO138" s="16">
        <v>-424737.95</v>
      </c>
      <c r="AP138" s="25"/>
      <c r="AQ138" s="16">
        <v>-550.29</v>
      </c>
      <c r="AR138" s="64">
        <v>1.5</v>
      </c>
      <c r="AS138" s="35"/>
      <c r="AT138" s="35"/>
      <c r="AU138" s="40"/>
      <c r="AV138" s="40"/>
      <c r="AW138" s="41"/>
      <c r="AX138" s="23"/>
      <c r="AZ138" s="40"/>
      <c r="BA138" s="40"/>
      <c r="BB138" s="41"/>
      <c r="BC138" s="42"/>
      <c r="BD138" s="42"/>
      <c r="BE138" s="42"/>
      <c r="BF138" s="42"/>
      <c r="BG138" s="42"/>
      <c r="BI138" s="38"/>
      <c r="BJ138" s="39"/>
      <c r="BK138" s="38"/>
      <c r="BL138" s="38"/>
      <c r="BM138" s="38"/>
    </row>
    <row r="139" spans="1:65" x14ac:dyDescent="0.25">
      <c r="A139" s="13">
        <v>5628</v>
      </c>
      <c r="B139" s="14" t="s">
        <v>295</v>
      </c>
      <c r="C139" s="16">
        <v>1056840.8799999999</v>
      </c>
      <c r="D139" s="15">
        <v>0</v>
      </c>
      <c r="E139" s="16">
        <v>0</v>
      </c>
      <c r="F139" s="15">
        <v>0</v>
      </c>
      <c r="G139" s="16">
        <v>9295.6</v>
      </c>
      <c r="H139" s="15">
        <v>270.3</v>
      </c>
      <c r="I139" s="16">
        <v>0</v>
      </c>
      <c r="J139" s="15">
        <v>37711.96</v>
      </c>
      <c r="K139" s="17">
        <v>-212.5</v>
      </c>
      <c r="L139" s="16">
        <v>64981.35</v>
      </c>
      <c r="M139" s="3">
        <f t="shared" si="6"/>
        <v>1168887.5900000001</v>
      </c>
      <c r="N139" s="15">
        <v>7487.2</v>
      </c>
      <c r="O139" s="16" t="s">
        <v>512</v>
      </c>
      <c r="P139" s="15">
        <v>176</v>
      </c>
      <c r="Q139" s="16">
        <v>10341.15</v>
      </c>
      <c r="R139" s="15">
        <v>16548.3</v>
      </c>
      <c r="S139" s="16">
        <v>0</v>
      </c>
      <c r="T139" s="15">
        <v>0</v>
      </c>
      <c r="U139" s="16">
        <v>0</v>
      </c>
      <c r="V139" s="15">
        <v>0</v>
      </c>
      <c r="W139" s="16">
        <v>0</v>
      </c>
      <c r="X139" s="2">
        <f t="shared" si="7"/>
        <v>1203440.24</v>
      </c>
      <c r="Y139" s="18">
        <v>30000</v>
      </c>
      <c r="Z139" s="25"/>
      <c r="AA139" s="18">
        <v>66407.8</v>
      </c>
      <c r="AB139" s="25"/>
      <c r="AC139" s="18">
        <v>20818</v>
      </c>
      <c r="AD139" s="25"/>
      <c r="AE139" s="18"/>
      <c r="AF139" s="25"/>
      <c r="AG139" s="18"/>
      <c r="AH139" s="25">
        <v>9461.1</v>
      </c>
      <c r="AI139" s="18"/>
      <c r="AJ139" s="25"/>
      <c r="AK139" s="18"/>
      <c r="AL139" s="68">
        <f t="shared" si="8"/>
        <v>126686.90000000001</v>
      </c>
      <c r="AM139" s="33">
        <v>62</v>
      </c>
      <c r="AN139" s="34">
        <v>330</v>
      </c>
      <c r="AO139" s="16">
        <v>-6176.36</v>
      </c>
      <c r="AP139" s="25"/>
      <c r="AQ139" s="16">
        <v>0</v>
      </c>
      <c r="AR139" s="64">
        <v>0.8</v>
      </c>
      <c r="AS139" s="35"/>
      <c r="AT139" s="35"/>
      <c r="AU139" s="40"/>
      <c r="AV139" s="40"/>
      <c r="AW139" s="41"/>
      <c r="AX139" s="23"/>
      <c r="AZ139" s="40"/>
      <c r="BA139" s="40"/>
      <c r="BB139" s="41"/>
      <c r="BC139" s="42"/>
      <c r="BD139" s="42"/>
      <c r="BE139" s="42"/>
      <c r="BF139" s="42"/>
      <c r="BG139" s="42"/>
      <c r="BI139" s="38"/>
      <c r="BJ139" s="39"/>
      <c r="BK139" s="38"/>
      <c r="BL139" s="38"/>
      <c r="BM139" s="38"/>
    </row>
    <row r="140" spans="1:65" x14ac:dyDescent="0.25">
      <c r="A140" s="13">
        <v>5629</v>
      </c>
      <c r="B140" s="14" t="s">
        <v>187</v>
      </c>
      <c r="C140" s="16">
        <v>471017.87</v>
      </c>
      <c r="D140" s="15">
        <v>61070.85</v>
      </c>
      <c r="E140" s="16">
        <v>0</v>
      </c>
      <c r="F140" s="15">
        <v>0</v>
      </c>
      <c r="G140" s="16">
        <v>-16091.5</v>
      </c>
      <c r="H140" s="15">
        <v>179.65</v>
      </c>
      <c r="I140" s="16">
        <v>0</v>
      </c>
      <c r="J140" s="15">
        <v>46016.58</v>
      </c>
      <c r="K140" s="17">
        <v>566.5</v>
      </c>
      <c r="L140" s="16">
        <v>27804.1</v>
      </c>
      <c r="M140" s="3">
        <f t="shared" si="6"/>
        <v>590564.04999999993</v>
      </c>
      <c r="N140" s="25"/>
      <c r="O140" s="18"/>
      <c r="P140" s="25">
        <v>27225</v>
      </c>
      <c r="Q140" s="18"/>
      <c r="R140" s="25"/>
      <c r="S140" s="18">
        <v>0</v>
      </c>
      <c r="T140" s="15">
        <v>0</v>
      </c>
      <c r="U140" s="18">
        <v>525</v>
      </c>
      <c r="V140" s="25">
        <v>0</v>
      </c>
      <c r="W140" s="18">
        <v>0</v>
      </c>
      <c r="X140" s="2">
        <f t="shared" si="7"/>
        <v>618314.04999999993</v>
      </c>
      <c r="Y140" s="18">
        <v>1272</v>
      </c>
      <c r="Z140" s="25"/>
      <c r="AA140" s="18">
        <v>34384.75</v>
      </c>
      <c r="AB140" s="25"/>
      <c r="AC140" s="18">
        <v>14072.65</v>
      </c>
      <c r="AD140" s="25"/>
      <c r="AE140" s="18"/>
      <c r="AF140" s="25"/>
      <c r="AG140" s="18"/>
      <c r="AH140" s="25"/>
      <c r="AI140" s="18"/>
      <c r="AJ140" s="25"/>
      <c r="AK140" s="18"/>
      <c r="AL140" s="68">
        <f t="shared" si="8"/>
        <v>49729.4</v>
      </c>
      <c r="AM140" s="33">
        <v>75</v>
      </c>
      <c r="AN140" s="34">
        <v>155</v>
      </c>
      <c r="AO140" s="16">
        <v>-5914.16</v>
      </c>
      <c r="AP140" s="25"/>
      <c r="AQ140" s="16">
        <v>0</v>
      </c>
      <c r="AR140" s="64">
        <v>1</v>
      </c>
      <c r="AS140" s="35"/>
      <c r="AT140" s="35"/>
      <c r="AU140" s="40"/>
      <c r="AV140" s="40"/>
      <c r="AW140" s="41"/>
      <c r="AX140" s="23"/>
      <c r="AZ140" s="40"/>
      <c r="BA140" s="40"/>
      <c r="BB140" s="41"/>
      <c r="BC140" s="42"/>
      <c r="BD140" s="42"/>
      <c r="BE140" s="42"/>
      <c r="BF140" s="42"/>
      <c r="BG140" s="42"/>
      <c r="BI140" s="38"/>
      <c r="BJ140" s="39"/>
      <c r="BK140" s="38"/>
      <c r="BL140" s="38"/>
      <c r="BM140" s="38"/>
    </row>
    <row r="141" spans="1:65" x14ac:dyDescent="0.25">
      <c r="A141" s="13">
        <v>5631</v>
      </c>
      <c r="B141" s="14" t="s">
        <v>188</v>
      </c>
      <c r="C141" s="16">
        <v>217441.29000000004</v>
      </c>
      <c r="D141" s="15">
        <v>1968483.66</v>
      </c>
      <c r="E141" s="16">
        <v>0</v>
      </c>
      <c r="F141" s="15">
        <v>0</v>
      </c>
      <c r="G141" s="16">
        <v>8167.6</v>
      </c>
      <c r="H141" s="15">
        <v>7501.5</v>
      </c>
      <c r="I141" s="16">
        <v>55691.25</v>
      </c>
      <c r="J141" s="15">
        <v>55321.56</v>
      </c>
      <c r="K141" s="17">
        <v>1286</v>
      </c>
      <c r="L141" s="16">
        <v>159764.29999999999</v>
      </c>
      <c r="M141" s="3">
        <f t="shared" si="6"/>
        <v>2473657.16</v>
      </c>
      <c r="N141" s="15" t="s">
        <v>512</v>
      </c>
      <c r="O141" s="16">
        <v>12564.400000000001</v>
      </c>
      <c r="P141" s="15">
        <v>65763.899999999994</v>
      </c>
      <c r="Q141" s="16">
        <v>5095.8</v>
      </c>
      <c r="R141" s="15">
        <v>62521.850000000006</v>
      </c>
      <c r="S141" s="16">
        <v>0</v>
      </c>
      <c r="T141" s="15">
        <v>762.5</v>
      </c>
      <c r="U141" s="16">
        <v>1512.5</v>
      </c>
      <c r="V141" s="15">
        <v>0</v>
      </c>
      <c r="W141" s="16">
        <v>0</v>
      </c>
      <c r="X141" s="2">
        <f t="shared" si="7"/>
        <v>2621878.11</v>
      </c>
      <c r="Y141" s="18">
        <v>65812.350000000006</v>
      </c>
      <c r="Z141" s="25"/>
      <c r="AA141" s="18">
        <v>115421.85</v>
      </c>
      <c r="AB141" s="25"/>
      <c r="AC141" s="18">
        <v>44566.65</v>
      </c>
      <c r="AD141" s="25"/>
      <c r="AE141" s="18"/>
      <c r="AF141" s="25"/>
      <c r="AG141" s="18"/>
      <c r="AH141" s="25"/>
      <c r="AI141" s="18"/>
      <c r="AJ141" s="25"/>
      <c r="AK141" s="18"/>
      <c r="AL141" s="68">
        <f t="shared" si="8"/>
        <v>225800.85</v>
      </c>
      <c r="AM141" s="33">
        <v>68</v>
      </c>
      <c r="AN141" s="34">
        <v>699</v>
      </c>
      <c r="AO141" s="16">
        <v>-72911.759999999995</v>
      </c>
      <c r="AP141" s="25"/>
      <c r="AQ141" s="16">
        <v>-2003.63</v>
      </c>
      <c r="AR141" s="64">
        <v>1</v>
      </c>
      <c r="AS141" s="35"/>
      <c r="AT141" s="35"/>
      <c r="AU141" s="40"/>
      <c r="AV141" s="40"/>
      <c r="AW141" s="41"/>
      <c r="AX141" s="23"/>
      <c r="AZ141" s="40"/>
      <c r="BA141" s="40"/>
      <c r="BB141" s="41"/>
      <c r="BC141" s="42"/>
      <c r="BD141" s="42"/>
      <c r="BE141" s="42"/>
      <c r="BF141" s="42"/>
      <c r="BG141" s="42"/>
      <c r="BI141" s="38"/>
      <c r="BJ141" s="39"/>
      <c r="BK141" s="38"/>
      <c r="BL141" s="38"/>
      <c r="BM141" s="38"/>
    </row>
    <row r="142" spans="1:65" x14ac:dyDescent="0.25">
      <c r="A142" s="13">
        <v>5632</v>
      </c>
      <c r="B142" s="14" t="s">
        <v>189</v>
      </c>
      <c r="C142" s="16">
        <v>2815660.98</v>
      </c>
      <c r="D142" s="15">
        <v>361072.88</v>
      </c>
      <c r="E142" s="16">
        <v>0</v>
      </c>
      <c r="F142" s="15">
        <v>0</v>
      </c>
      <c r="G142" s="16">
        <v>160269.9</v>
      </c>
      <c r="H142" s="15">
        <v>19195.45</v>
      </c>
      <c r="I142" s="16">
        <v>0</v>
      </c>
      <c r="J142" s="15">
        <v>182653.06</v>
      </c>
      <c r="K142" s="17">
        <v>28622.5</v>
      </c>
      <c r="L142" s="16">
        <v>249250.5</v>
      </c>
      <c r="M142" s="3">
        <f t="shared" si="6"/>
        <v>3816725.27</v>
      </c>
      <c r="N142" s="15">
        <v>95997.4</v>
      </c>
      <c r="O142" s="16">
        <v>202171.1</v>
      </c>
      <c r="P142" s="15">
        <v>93830</v>
      </c>
      <c r="Q142" s="16">
        <v>5733.92</v>
      </c>
      <c r="R142" s="15">
        <v>114612.15</v>
      </c>
      <c r="S142" s="16">
        <v>0</v>
      </c>
      <c r="T142" s="15">
        <v>500</v>
      </c>
      <c r="U142" s="16">
        <v>3775</v>
      </c>
      <c r="V142" s="15">
        <v>0</v>
      </c>
      <c r="W142" s="16">
        <v>0</v>
      </c>
      <c r="X142" s="2">
        <f t="shared" si="7"/>
        <v>4333344.84</v>
      </c>
      <c r="Y142" s="18">
        <v>57125</v>
      </c>
      <c r="Z142" s="25">
        <v>9093.25</v>
      </c>
      <c r="AA142" s="18">
        <v>217541.1</v>
      </c>
      <c r="AB142" s="25">
        <v>67980.75</v>
      </c>
      <c r="AC142" s="18">
        <v>108885</v>
      </c>
      <c r="AD142" s="25"/>
      <c r="AE142" s="18"/>
      <c r="AF142" s="25"/>
      <c r="AG142" s="18"/>
      <c r="AH142" s="25">
        <v>59348.75</v>
      </c>
      <c r="AI142" s="18"/>
      <c r="AJ142" s="25"/>
      <c r="AK142" s="18"/>
      <c r="AL142" s="68">
        <f t="shared" si="8"/>
        <v>519973.85</v>
      </c>
      <c r="AM142" s="33">
        <v>62</v>
      </c>
      <c r="AN142" s="34">
        <v>1612</v>
      </c>
      <c r="AO142" s="16">
        <v>-65704.08</v>
      </c>
      <c r="AP142" s="25"/>
      <c r="AQ142" s="16">
        <v>-33.19</v>
      </c>
      <c r="AR142" s="64">
        <v>0.8</v>
      </c>
      <c r="AS142" s="35"/>
      <c r="AT142" s="35"/>
      <c r="AU142" s="40"/>
      <c r="AV142" s="40"/>
      <c r="AW142" s="41"/>
      <c r="AX142" s="23"/>
      <c r="AZ142" s="40"/>
      <c r="BA142" s="40"/>
      <c r="BB142" s="41"/>
      <c r="BC142" s="42"/>
      <c r="BD142" s="42"/>
      <c r="BE142" s="42"/>
      <c r="BF142" s="42"/>
      <c r="BG142" s="42"/>
      <c r="BI142" s="38"/>
      <c r="BJ142" s="39"/>
      <c r="BK142" s="38"/>
      <c r="BL142" s="38"/>
      <c r="BM142" s="38"/>
    </row>
    <row r="143" spans="1:65" x14ac:dyDescent="0.25">
      <c r="A143" s="13">
        <v>5633</v>
      </c>
      <c r="B143" s="14" t="s">
        <v>190</v>
      </c>
      <c r="C143" s="16">
        <v>5530971.6699999999</v>
      </c>
      <c r="D143" s="15">
        <v>1136413.27</v>
      </c>
      <c r="E143" s="16">
        <v>0</v>
      </c>
      <c r="F143" s="15">
        <v>0</v>
      </c>
      <c r="G143" s="16">
        <v>372711.62</v>
      </c>
      <c r="H143" s="15">
        <v>20854.849999999999</v>
      </c>
      <c r="I143" s="16">
        <v>0</v>
      </c>
      <c r="J143" s="15">
        <v>321392.96999999997</v>
      </c>
      <c r="K143" s="17">
        <v>20820.5</v>
      </c>
      <c r="L143" s="16">
        <v>501065.6</v>
      </c>
      <c r="M143" s="3">
        <f t="shared" si="6"/>
        <v>7904230.4799999986</v>
      </c>
      <c r="N143" s="15">
        <v>136533</v>
      </c>
      <c r="O143" s="16">
        <v>5742</v>
      </c>
      <c r="P143" s="15">
        <v>390415.9</v>
      </c>
      <c r="Q143" s="16">
        <v>0</v>
      </c>
      <c r="R143" s="15">
        <v>136948.66</v>
      </c>
      <c r="S143" s="16">
        <v>3322.5</v>
      </c>
      <c r="T143" s="15">
        <v>0</v>
      </c>
      <c r="U143" s="16">
        <v>7524</v>
      </c>
      <c r="V143" s="15">
        <v>0</v>
      </c>
      <c r="W143" s="16">
        <v>0</v>
      </c>
      <c r="X143" s="2">
        <f t="shared" si="7"/>
        <v>8584716.5399999991</v>
      </c>
      <c r="Y143" s="18">
        <v>269358</v>
      </c>
      <c r="Z143" s="25"/>
      <c r="AA143" s="18">
        <v>385285.65</v>
      </c>
      <c r="AB143" s="25"/>
      <c r="AC143" s="18">
        <v>101129.16</v>
      </c>
      <c r="AD143" s="25"/>
      <c r="AE143" s="18"/>
      <c r="AF143" s="25"/>
      <c r="AG143" s="18"/>
      <c r="AH143" s="25"/>
      <c r="AI143" s="18"/>
      <c r="AJ143" s="25"/>
      <c r="AK143" s="18"/>
      <c r="AL143" s="68">
        <f t="shared" si="8"/>
        <v>755772.81</v>
      </c>
      <c r="AM143" s="33">
        <v>62</v>
      </c>
      <c r="AN143" s="34">
        <v>2405</v>
      </c>
      <c r="AO143" s="16">
        <v>-160483.07999999999</v>
      </c>
      <c r="AP143" s="25"/>
      <c r="AQ143" s="16">
        <v>0</v>
      </c>
      <c r="AR143" s="64">
        <v>1</v>
      </c>
      <c r="AS143" s="35"/>
      <c r="AT143" s="35"/>
      <c r="AU143" s="40"/>
      <c r="AV143" s="40"/>
      <c r="AW143" s="41"/>
      <c r="AX143" s="23"/>
      <c r="AZ143" s="40"/>
      <c r="BA143" s="40"/>
      <c r="BB143" s="41"/>
      <c r="BC143" s="42"/>
      <c r="BD143" s="42"/>
      <c r="BE143" s="42"/>
      <c r="BF143" s="42"/>
      <c r="BG143" s="42"/>
      <c r="BI143" s="38"/>
      <c r="BJ143" s="39"/>
      <c r="BK143" s="38"/>
      <c r="BL143" s="38"/>
      <c r="BM143" s="38"/>
    </row>
    <row r="144" spans="1:65" x14ac:dyDescent="0.25">
      <c r="A144" s="13">
        <v>5634</v>
      </c>
      <c r="B144" s="14" t="s">
        <v>191</v>
      </c>
      <c r="C144" s="16">
        <v>6887895.5300000003</v>
      </c>
      <c r="D144" s="15">
        <v>1043966.17</v>
      </c>
      <c r="E144" s="16">
        <v>0</v>
      </c>
      <c r="F144" s="15">
        <v>0</v>
      </c>
      <c r="G144" s="16">
        <v>148839.6</v>
      </c>
      <c r="H144" s="15">
        <v>5080.25</v>
      </c>
      <c r="I144" s="16">
        <v>79557</v>
      </c>
      <c r="J144" s="15">
        <v>144506.84</v>
      </c>
      <c r="K144" s="17">
        <v>15713.5</v>
      </c>
      <c r="L144" s="16">
        <v>460215.9</v>
      </c>
      <c r="M144" s="3">
        <f t="shared" si="6"/>
        <v>8785774.7899999991</v>
      </c>
      <c r="N144" s="15">
        <v>18229.55</v>
      </c>
      <c r="O144" s="16">
        <v>186173.7</v>
      </c>
      <c r="P144" s="15">
        <v>177816</v>
      </c>
      <c r="Q144" s="16">
        <v>3168.1</v>
      </c>
      <c r="R144" s="15">
        <v>212529.85</v>
      </c>
      <c r="S144" s="16">
        <v>0</v>
      </c>
      <c r="T144" s="15">
        <v>1200</v>
      </c>
      <c r="U144" s="16">
        <v>7500</v>
      </c>
      <c r="V144" s="15">
        <v>0</v>
      </c>
      <c r="W144" s="16">
        <v>0</v>
      </c>
      <c r="X144" s="2">
        <f t="shared" si="7"/>
        <v>9392391.9899999984</v>
      </c>
      <c r="Y144" s="18">
        <v>130333.45</v>
      </c>
      <c r="Z144" s="25"/>
      <c r="AA144" s="18">
        <v>530748.69999999995</v>
      </c>
      <c r="AB144" s="25"/>
      <c r="AC144" s="18">
        <v>172593.3</v>
      </c>
      <c r="AD144" s="25">
        <v>174536.05</v>
      </c>
      <c r="AE144" s="18"/>
      <c r="AF144" s="25"/>
      <c r="AG144" s="18"/>
      <c r="AH144" s="25"/>
      <c r="AI144" s="18"/>
      <c r="AJ144" s="25"/>
      <c r="AK144" s="18"/>
      <c r="AL144" s="68">
        <f t="shared" si="8"/>
        <v>1008211.5</v>
      </c>
      <c r="AM144" s="33">
        <v>68</v>
      </c>
      <c r="AN144" s="34">
        <v>2570</v>
      </c>
      <c r="AO144" s="16">
        <v>-32398.32</v>
      </c>
      <c r="AP144" s="25"/>
      <c r="AQ144" s="16">
        <v>-1033.81</v>
      </c>
      <c r="AR144" s="64">
        <v>1</v>
      </c>
      <c r="AS144" s="35"/>
      <c r="AT144" s="35"/>
      <c r="AU144" s="40"/>
      <c r="AV144" s="40"/>
      <c r="AW144" s="41"/>
      <c r="AX144" s="23"/>
      <c r="AZ144" s="40"/>
      <c r="BA144" s="40"/>
      <c r="BB144" s="41"/>
      <c r="BC144" s="42"/>
      <c r="BD144" s="42"/>
      <c r="BE144" s="42"/>
      <c r="BF144" s="42"/>
      <c r="BG144" s="42"/>
      <c r="BI144" s="38"/>
      <c r="BJ144" s="39"/>
      <c r="BK144" s="38"/>
      <c r="BL144" s="38"/>
      <c r="BM144" s="38"/>
    </row>
    <row r="145" spans="1:65" x14ac:dyDescent="0.25">
      <c r="A145" s="13">
        <v>5635</v>
      </c>
      <c r="B145" s="14" t="s">
        <v>192</v>
      </c>
      <c r="C145" s="16">
        <v>18383455.739999998</v>
      </c>
      <c r="D145" s="15">
        <v>2034048.33</v>
      </c>
      <c r="E145" s="16">
        <v>0</v>
      </c>
      <c r="F145" s="15">
        <v>0</v>
      </c>
      <c r="G145" s="16">
        <v>4578216.25</v>
      </c>
      <c r="H145" s="15">
        <v>392207.8</v>
      </c>
      <c r="I145" s="16">
        <v>17269.21</v>
      </c>
      <c r="J145" s="15">
        <v>1084593.1399999999</v>
      </c>
      <c r="K145" s="17">
        <v>184958</v>
      </c>
      <c r="L145" s="16">
        <v>1836813.3</v>
      </c>
      <c r="M145" s="3">
        <f t="shared" si="6"/>
        <v>28511561.770000003</v>
      </c>
      <c r="N145" s="15">
        <v>1649493.2</v>
      </c>
      <c r="O145" s="16">
        <v>384997.5</v>
      </c>
      <c r="P145" s="15">
        <v>1246577.6000000001</v>
      </c>
      <c r="Q145" s="16">
        <v>58512.77</v>
      </c>
      <c r="R145" s="15">
        <v>461097.3</v>
      </c>
      <c r="S145" s="16">
        <v>0</v>
      </c>
      <c r="T145" s="15">
        <v>57470.3</v>
      </c>
      <c r="U145" s="16">
        <v>39250</v>
      </c>
      <c r="V145" s="15">
        <v>82883.55</v>
      </c>
      <c r="W145" s="16">
        <v>0</v>
      </c>
      <c r="X145" s="2">
        <f t="shared" si="7"/>
        <v>32491843.990000006</v>
      </c>
      <c r="Y145" s="18">
        <v>910407.35</v>
      </c>
      <c r="Z145" s="25"/>
      <c r="AA145" s="18">
        <v>1150871.6299999999</v>
      </c>
      <c r="AB145" s="25"/>
      <c r="AC145" s="18">
        <v>1157484.95</v>
      </c>
      <c r="AD145" s="25"/>
      <c r="AE145" s="18"/>
      <c r="AF145" s="25"/>
      <c r="AG145" s="18">
        <v>280353.90000000002</v>
      </c>
      <c r="AH145" s="25">
        <v>1209726.5</v>
      </c>
      <c r="AI145" s="18"/>
      <c r="AJ145" s="25"/>
      <c r="AK145" s="18">
        <v>172818.15</v>
      </c>
      <c r="AL145" s="68">
        <f t="shared" si="8"/>
        <v>4881662.4800000004</v>
      </c>
      <c r="AM145" s="33">
        <v>62</v>
      </c>
      <c r="AN145" s="34">
        <v>12181</v>
      </c>
      <c r="AO145" s="16">
        <v>-330440.53000000003</v>
      </c>
      <c r="AP145" s="25"/>
      <c r="AQ145" s="16">
        <v>-6397.1</v>
      </c>
      <c r="AR145" s="64">
        <v>0.95</v>
      </c>
      <c r="AS145" s="35"/>
      <c r="AT145" s="35"/>
      <c r="AU145" s="40"/>
      <c r="AV145" s="40"/>
      <c r="AW145" s="41"/>
      <c r="AX145" s="23"/>
      <c r="AZ145" s="40"/>
      <c r="BA145" s="40"/>
      <c r="BB145" s="41"/>
      <c r="BC145" s="42"/>
      <c r="BD145" s="42"/>
      <c r="BE145" s="42"/>
      <c r="BF145" s="42"/>
      <c r="BG145" s="42"/>
      <c r="BI145" s="38"/>
      <c r="BJ145" s="39"/>
      <c r="BK145" s="38"/>
      <c r="BL145" s="38"/>
      <c r="BM145" s="38"/>
    </row>
    <row r="146" spans="1:65" x14ac:dyDescent="0.25">
      <c r="A146" s="13">
        <v>5636</v>
      </c>
      <c r="B146" s="14" t="s">
        <v>193</v>
      </c>
      <c r="C146" s="16">
        <v>5156908.91</v>
      </c>
      <c r="D146" s="15">
        <v>684962.87</v>
      </c>
      <c r="E146" s="16">
        <v>0</v>
      </c>
      <c r="F146" s="15">
        <v>0</v>
      </c>
      <c r="G146" s="16">
        <v>1536755</v>
      </c>
      <c r="H146" s="15">
        <v>56764.25</v>
      </c>
      <c r="I146" s="16">
        <v>74769.36</v>
      </c>
      <c r="J146" s="15">
        <v>321531.78999999998</v>
      </c>
      <c r="K146" s="17">
        <v>51984.25</v>
      </c>
      <c r="L146" s="16">
        <v>872023.25</v>
      </c>
      <c r="M146" s="3">
        <f t="shared" si="6"/>
        <v>8755699.6799999997</v>
      </c>
      <c r="N146" s="15">
        <v>448665.05</v>
      </c>
      <c r="O146" s="16">
        <v>226368.1</v>
      </c>
      <c r="P146" s="15">
        <v>646807.55000000005</v>
      </c>
      <c r="Q146" s="16">
        <v>5448.06</v>
      </c>
      <c r="R146" s="15">
        <v>85776.3</v>
      </c>
      <c r="S146" s="16">
        <v>0</v>
      </c>
      <c r="T146" s="15">
        <v>25964.7</v>
      </c>
      <c r="U146" s="16">
        <v>6425</v>
      </c>
      <c r="V146" s="15">
        <v>0</v>
      </c>
      <c r="W146" s="16">
        <v>0</v>
      </c>
      <c r="X146" s="2">
        <f t="shared" si="7"/>
        <v>10201154.440000001</v>
      </c>
      <c r="Y146" s="18">
        <v>467992.3</v>
      </c>
      <c r="Z146" s="25"/>
      <c r="AA146" s="18">
        <v>419829.75</v>
      </c>
      <c r="AB146" s="25"/>
      <c r="AC146" s="18">
        <v>111506.85</v>
      </c>
      <c r="AD146" s="25">
        <v>800254.15</v>
      </c>
      <c r="AE146" s="18"/>
      <c r="AF146" s="25"/>
      <c r="AG146" s="18"/>
      <c r="AH146" s="25">
        <v>160617.29999999999</v>
      </c>
      <c r="AI146" s="18"/>
      <c r="AJ146" s="25"/>
      <c r="AK146" s="18"/>
      <c r="AL146" s="68">
        <f t="shared" si="8"/>
        <v>1960200.35</v>
      </c>
      <c r="AM146" s="33">
        <v>61</v>
      </c>
      <c r="AN146" s="34">
        <v>2890</v>
      </c>
      <c r="AO146" s="16">
        <v>-112555.96</v>
      </c>
      <c r="AP146" s="25"/>
      <c r="AQ146" s="16">
        <v>-544.91</v>
      </c>
      <c r="AR146" s="64">
        <v>1</v>
      </c>
      <c r="AS146" s="35"/>
      <c r="AT146" s="35"/>
      <c r="AU146" s="40"/>
      <c r="AV146" s="40"/>
      <c r="AW146" s="41"/>
      <c r="AX146" s="23"/>
      <c r="AZ146" s="40"/>
      <c r="BA146" s="40"/>
      <c r="BB146" s="41"/>
      <c r="BC146" s="42"/>
      <c r="BD146" s="42"/>
      <c r="BE146" s="42"/>
      <c r="BF146" s="42"/>
      <c r="BG146" s="42"/>
      <c r="BI146" s="38"/>
      <c r="BJ146" s="39"/>
      <c r="BK146" s="38"/>
      <c r="BL146" s="38"/>
      <c r="BM146" s="38"/>
    </row>
    <row r="147" spans="1:65" x14ac:dyDescent="0.25">
      <c r="A147" s="13">
        <v>5637</v>
      </c>
      <c r="B147" s="14" t="s">
        <v>194</v>
      </c>
      <c r="C147" s="16">
        <v>1728351.52</v>
      </c>
      <c r="D147" s="15">
        <v>173814.34</v>
      </c>
      <c r="E147" s="16">
        <v>25077.85</v>
      </c>
      <c r="F147" s="15">
        <v>0</v>
      </c>
      <c r="G147" s="16">
        <v>94546.25</v>
      </c>
      <c r="H147" s="15">
        <v>-116.15</v>
      </c>
      <c r="I147" s="16">
        <v>0</v>
      </c>
      <c r="J147" s="15">
        <v>97478.37</v>
      </c>
      <c r="K147" s="17">
        <v>3638.5</v>
      </c>
      <c r="L147" s="16">
        <v>243780.85</v>
      </c>
      <c r="M147" s="3">
        <f t="shared" si="6"/>
        <v>2366571.5300000003</v>
      </c>
      <c r="N147" s="15">
        <v>235219.1</v>
      </c>
      <c r="O147" s="16">
        <v>7842.7</v>
      </c>
      <c r="P147" s="15">
        <v>69158.05</v>
      </c>
      <c r="Q147" s="16">
        <v>2029.43</v>
      </c>
      <c r="R147" s="15">
        <v>56018.6</v>
      </c>
      <c r="S147" s="16">
        <v>0</v>
      </c>
      <c r="T147" s="15">
        <v>782.5</v>
      </c>
      <c r="U147" s="16">
        <v>2960</v>
      </c>
      <c r="V147" s="15">
        <v>0</v>
      </c>
      <c r="W147" s="16">
        <v>0</v>
      </c>
      <c r="X147" s="2">
        <f t="shared" si="7"/>
        <v>2740581.9100000006</v>
      </c>
      <c r="Y147" s="18">
        <v>32204.3</v>
      </c>
      <c r="Z147" s="25"/>
      <c r="AA147" s="18">
        <v>152208.4</v>
      </c>
      <c r="AB147" s="25"/>
      <c r="AC147" s="18">
        <v>86716.3</v>
      </c>
      <c r="AD147" s="25">
        <v>34565.4</v>
      </c>
      <c r="AE147" s="18"/>
      <c r="AF147" s="25"/>
      <c r="AG147" s="18"/>
      <c r="AH147" s="25">
        <v>44903.35</v>
      </c>
      <c r="AI147" s="18"/>
      <c r="AJ147" s="25"/>
      <c r="AK147" s="18"/>
      <c r="AL147" s="68">
        <f t="shared" si="8"/>
        <v>350597.75</v>
      </c>
      <c r="AM147" s="33">
        <v>74.5</v>
      </c>
      <c r="AN147" s="34">
        <v>930</v>
      </c>
      <c r="AO147" s="16">
        <v>-29198.91</v>
      </c>
      <c r="AP147" s="25"/>
      <c r="AQ147" s="16">
        <v>-348.58</v>
      </c>
      <c r="AR147" s="64">
        <v>1.5</v>
      </c>
      <c r="AS147" s="35"/>
      <c r="AT147" s="35"/>
      <c r="AU147" s="40"/>
      <c r="AV147" s="40"/>
      <c r="AW147" s="41"/>
      <c r="AX147" s="23"/>
      <c r="AZ147" s="40"/>
      <c r="BA147" s="40"/>
      <c r="BB147" s="41"/>
      <c r="BC147" s="42"/>
      <c r="BD147" s="42"/>
      <c r="BE147" s="42"/>
      <c r="BF147" s="42"/>
      <c r="BG147" s="42"/>
      <c r="BI147" s="38"/>
      <c r="BJ147" s="39"/>
      <c r="BK147" s="38"/>
      <c r="BL147" s="38"/>
      <c r="BM147" s="38"/>
    </row>
    <row r="148" spans="1:65" x14ac:dyDescent="0.25">
      <c r="A148" s="13">
        <v>5638</v>
      </c>
      <c r="B148" s="14" t="s">
        <v>195</v>
      </c>
      <c r="C148" s="16">
        <v>4485618.05</v>
      </c>
      <c r="D148" s="15">
        <v>812953.98</v>
      </c>
      <c r="E148" s="16">
        <v>0</v>
      </c>
      <c r="F148" s="15">
        <v>0</v>
      </c>
      <c r="G148" s="16">
        <v>881100.65</v>
      </c>
      <c r="H148" s="15">
        <v>71799.350000000006</v>
      </c>
      <c r="I148" s="16">
        <v>260754.64</v>
      </c>
      <c r="J148" s="15">
        <v>146282.51999999999</v>
      </c>
      <c r="K148" s="17">
        <v>51141.5</v>
      </c>
      <c r="L148" s="16">
        <v>572703.65</v>
      </c>
      <c r="M148" s="4">
        <f t="shared" si="6"/>
        <v>7282354.3399999989</v>
      </c>
      <c r="N148" s="15">
        <v>148917.65</v>
      </c>
      <c r="O148" s="16">
        <v>1967277.5</v>
      </c>
      <c r="P148" s="15">
        <v>184138.65</v>
      </c>
      <c r="Q148" s="16">
        <v>16689</v>
      </c>
      <c r="R148" s="15">
        <v>174893.15</v>
      </c>
      <c r="S148" s="16">
        <v>0</v>
      </c>
      <c r="T148" s="15">
        <v>0</v>
      </c>
      <c r="U148" s="16">
        <v>11600</v>
      </c>
      <c r="V148" s="15">
        <v>0</v>
      </c>
      <c r="W148" s="16">
        <v>0</v>
      </c>
      <c r="X148" s="1">
        <f t="shared" si="7"/>
        <v>9785870.2899999991</v>
      </c>
      <c r="Y148" s="18">
        <v>95298</v>
      </c>
      <c r="Z148" s="25"/>
      <c r="AA148" s="18">
        <v>441203</v>
      </c>
      <c r="AB148" s="25"/>
      <c r="AC148" s="18">
        <v>274435.5</v>
      </c>
      <c r="AD148" s="25"/>
      <c r="AE148" s="18"/>
      <c r="AF148" s="25"/>
      <c r="AG148" s="18"/>
      <c r="AH148" s="25"/>
      <c r="AI148" s="18"/>
      <c r="AJ148" s="25"/>
      <c r="AK148" s="18"/>
      <c r="AL148" s="68">
        <f t="shared" si="8"/>
        <v>810936.5</v>
      </c>
      <c r="AM148" s="33">
        <v>55</v>
      </c>
      <c r="AN148" s="34">
        <v>2508</v>
      </c>
      <c r="AO148" s="16">
        <v>-39334</v>
      </c>
      <c r="AP148" s="25"/>
      <c r="AQ148" s="16">
        <v>-7617.14</v>
      </c>
      <c r="AR148" s="64">
        <v>1</v>
      </c>
      <c r="AS148" s="35"/>
      <c r="AT148" s="35"/>
      <c r="AU148" s="40"/>
      <c r="AV148" s="40"/>
      <c r="AW148" s="41"/>
      <c r="AX148" s="23"/>
      <c r="AZ148" s="40"/>
      <c r="BA148" s="40"/>
      <c r="BB148" s="41"/>
      <c r="BC148" s="42"/>
      <c r="BD148" s="42"/>
      <c r="BE148" s="42"/>
      <c r="BF148" s="42"/>
      <c r="BG148" s="42"/>
      <c r="BI148" s="38"/>
      <c r="BJ148" s="39"/>
      <c r="BK148" s="38"/>
      <c r="BL148" s="38"/>
      <c r="BM148" s="38"/>
    </row>
    <row r="149" spans="1:65" x14ac:dyDescent="0.25">
      <c r="A149" s="13">
        <v>5639</v>
      </c>
      <c r="B149" s="14" t="s">
        <v>196</v>
      </c>
      <c r="C149" s="16">
        <v>1904768.2</v>
      </c>
      <c r="D149" s="15">
        <v>416840</v>
      </c>
      <c r="E149" s="16">
        <v>0</v>
      </c>
      <c r="F149" s="15">
        <v>0</v>
      </c>
      <c r="G149" s="16">
        <v>58730.45</v>
      </c>
      <c r="H149" s="15">
        <v>3797.7</v>
      </c>
      <c r="I149" s="16">
        <v>0</v>
      </c>
      <c r="J149" s="15">
        <v>6155.04</v>
      </c>
      <c r="K149" s="17">
        <v>2693</v>
      </c>
      <c r="L149" s="16">
        <v>211767.95</v>
      </c>
      <c r="M149" s="3">
        <f t="shared" si="6"/>
        <v>2604752.3400000008</v>
      </c>
      <c r="N149" s="15">
        <v>1891.1</v>
      </c>
      <c r="O149" s="16">
        <v>19807.5</v>
      </c>
      <c r="P149" s="15">
        <v>68454.850000000006</v>
      </c>
      <c r="Q149" s="16">
        <v>844.94</v>
      </c>
      <c r="R149" s="15">
        <v>28690.3</v>
      </c>
      <c r="S149" s="16">
        <v>0</v>
      </c>
      <c r="T149" s="15">
        <v>0</v>
      </c>
      <c r="U149" s="16">
        <v>2200</v>
      </c>
      <c r="V149" s="15">
        <v>0</v>
      </c>
      <c r="W149" s="16">
        <v>0</v>
      </c>
      <c r="X149" s="2">
        <f t="shared" si="7"/>
        <v>2726641.0300000007</v>
      </c>
      <c r="Y149" s="18">
        <v>15470</v>
      </c>
      <c r="Z149" s="25"/>
      <c r="AA149" s="18">
        <v>103751.7</v>
      </c>
      <c r="AB149" s="25"/>
      <c r="AC149" s="18">
        <v>60333.2</v>
      </c>
      <c r="AD149" s="25"/>
      <c r="AE149" s="18"/>
      <c r="AF149" s="25"/>
      <c r="AG149" s="18"/>
      <c r="AH149" s="25"/>
      <c r="AI149" s="18"/>
      <c r="AJ149" s="25"/>
      <c r="AK149" s="18"/>
      <c r="AL149" s="68">
        <f t="shared" si="8"/>
        <v>179554.9</v>
      </c>
      <c r="AM149" s="33">
        <v>61</v>
      </c>
      <c r="AN149" s="34">
        <v>764</v>
      </c>
      <c r="AO149" s="16">
        <v>-2278.54</v>
      </c>
      <c r="AP149" s="25"/>
      <c r="AQ149" s="16">
        <v>0</v>
      </c>
      <c r="AR149" s="64">
        <v>1.25</v>
      </c>
      <c r="AS149" s="35"/>
      <c r="AT149" s="35"/>
      <c r="AU149" s="40"/>
      <c r="AV149" s="40"/>
      <c r="AW149" s="41"/>
      <c r="AX149" s="23"/>
      <c r="AZ149" s="40"/>
      <c r="BA149" s="40"/>
      <c r="BB149" s="41"/>
      <c r="BC149" s="42"/>
      <c r="BD149" s="42"/>
      <c r="BE149" s="42"/>
      <c r="BF149" s="42"/>
      <c r="BG149" s="42"/>
      <c r="BI149" s="38"/>
      <c r="BJ149" s="39"/>
      <c r="BK149" s="38"/>
      <c r="BL149" s="38"/>
      <c r="BM149" s="38"/>
    </row>
    <row r="150" spans="1:65" x14ac:dyDescent="0.25">
      <c r="A150" s="13">
        <v>5640</v>
      </c>
      <c r="B150" s="14" t="s">
        <v>197</v>
      </c>
      <c r="C150" s="16">
        <v>2136274.15</v>
      </c>
      <c r="D150" s="15">
        <v>474142.27</v>
      </c>
      <c r="E150" s="16">
        <v>0</v>
      </c>
      <c r="F150" s="15">
        <v>0</v>
      </c>
      <c r="G150" s="16">
        <v>282494.09999999998</v>
      </c>
      <c r="H150" s="15">
        <v>5031.3</v>
      </c>
      <c r="I150" s="16">
        <v>243904.68</v>
      </c>
      <c r="J150" s="15">
        <v>46632.76</v>
      </c>
      <c r="K150" s="17">
        <v>2485</v>
      </c>
      <c r="L150" s="16">
        <v>173238.65</v>
      </c>
      <c r="M150" s="3">
        <f t="shared" si="6"/>
        <v>3364202.9099999997</v>
      </c>
      <c r="N150" s="15">
        <v>25777.95</v>
      </c>
      <c r="O150" s="16">
        <v>160906.5</v>
      </c>
      <c r="P150" s="15">
        <v>25245</v>
      </c>
      <c r="Q150" s="16">
        <v>0</v>
      </c>
      <c r="R150" s="15">
        <v>23288.75</v>
      </c>
      <c r="S150" s="16">
        <v>0</v>
      </c>
      <c r="T150" s="15">
        <v>0</v>
      </c>
      <c r="U150" s="16">
        <v>4300</v>
      </c>
      <c r="V150" s="15">
        <v>0</v>
      </c>
      <c r="W150" s="16">
        <v>0</v>
      </c>
      <c r="X150" s="2">
        <f t="shared" si="7"/>
        <v>3603721.11</v>
      </c>
      <c r="Y150" s="18">
        <v>20636.75</v>
      </c>
      <c r="Z150" s="25"/>
      <c r="AA150" s="18">
        <v>66070</v>
      </c>
      <c r="AB150" s="25"/>
      <c r="AC150" s="18">
        <v>37439</v>
      </c>
      <c r="AD150" s="25"/>
      <c r="AE150" s="18"/>
      <c r="AF150" s="25"/>
      <c r="AG150" s="18"/>
      <c r="AH150" s="25"/>
      <c r="AI150" s="18"/>
      <c r="AJ150" s="25"/>
      <c r="AK150" s="18"/>
      <c r="AL150" s="68">
        <f t="shared" si="8"/>
        <v>124145.75</v>
      </c>
      <c r="AM150" s="33">
        <v>66</v>
      </c>
      <c r="AN150" s="34">
        <v>653</v>
      </c>
      <c r="AO150" s="16">
        <v>-9040.65</v>
      </c>
      <c r="AP150" s="25"/>
      <c r="AQ150" s="16">
        <v>-6704.01</v>
      </c>
      <c r="AR150" s="64">
        <v>1</v>
      </c>
      <c r="AS150" s="35"/>
      <c r="AT150" s="35"/>
      <c r="AU150" s="40"/>
      <c r="AV150" s="40"/>
      <c r="AW150" s="41"/>
      <c r="AX150" s="23"/>
      <c r="AZ150" s="40"/>
      <c r="BA150" s="40"/>
      <c r="BB150" s="41"/>
      <c r="BC150" s="42"/>
      <c r="BD150" s="42"/>
      <c r="BE150" s="42"/>
      <c r="BF150" s="42"/>
      <c r="BG150" s="42"/>
      <c r="BI150" s="38"/>
      <c r="BJ150" s="39"/>
      <c r="BK150" s="38"/>
      <c r="BL150" s="38"/>
      <c r="BM150" s="38"/>
    </row>
    <row r="151" spans="1:65" x14ac:dyDescent="0.25">
      <c r="A151" s="13">
        <v>5642</v>
      </c>
      <c r="B151" s="14" t="s">
        <v>198</v>
      </c>
      <c r="C151" s="16">
        <v>33530145.93</v>
      </c>
      <c r="D151" s="15">
        <v>4420104.29</v>
      </c>
      <c r="E151" s="16">
        <v>0</v>
      </c>
      <c r="F151" s="15">
        <v>0</v>
      </c>
      <c r="G151" s="16">
        <v>5526333.0499999998</v>
      </c>
      <c r="H151" s="15">
        <v>545294.65</v>
      </c>
      <c r="I151" s="16">
        <v>408543.63</v>
      </c>
      <c r="J151" s="15">
        <v>2543109.54</v>
      </c>
      <c r="K151" s="17">
        <v>285257</v>
      </c>
      <c r="L151" s="16">
        <v>2832359.35</v>
      </c>
      <c r="M151" s="3">
        <f t="shared" si="6"/>
        <v>50091147.439999998</v>
      </c>
      <c r="N151" s="15">
        <v>1159592.3999999999</v>
      </c>
      <c r="O151" s="16">
        <v>2404812.1</v>
      </c>
      <c r="P151" s="15">
        <v>1728217.45</v>
      </c>
      <c r="Q151" s="16">
        <v>185401.12</v>
      </c>
      <c r="R151" s="15">
        <v>606646.6</v>
      </c>
      <c r="S151" s="16">
        <v>66245</v>
      </c>
      <c r="T151" s="15">
        <v>0</v>
      </c>
      <c r="U151" s="16">
        <v>42080</v>
      </c>
      <c r="V151" s="15">
        <v>0</v>
      </c>
      <c r="W151" s="16">
        <v>0</v>
      </c>
      <c r="X151" s="2">
        <f t="shared" si="7"/>
        <v>56284142.109999999</v>
      </c>
      <c r="Y151" s="18">
        <v>162583.04999999999</v>
      </c>
      <c r="Z151" s="25"/>
      <c r="AA151" s="18">
        <v>4115968.55</v>
      </c>
      <c r="AB151" s="25"/>
      <c r="AC151" s="18">
        <v>2133665.7999999998</v>
      </c>
      <c r="AD151" s="25">
        <v>162399.15</v>
      </c>
      <c r="AE151" s="18"/>
      <c r="AF151" s="25"/>
      <c r="AG151" s="18">
        <v>225223</v>
      </c>
      <c r="AH151" s="25"/>
      <c r="AI151" s="18"/>
      <c r="AJ151" s="25"/>
      <c r="AK151" s="18"/>
      <c r="AL151" s="68">
        <f t="shared" si="8"/>
        <v>6799839.5499999998</v>
      </c>
      <c r="AM151" s="33">
        <v>68.5</v>
      </c>
      <c r="AN151" s="34">
        <v>15401</v>
      </c>
      <c r="AO151" s="16">
        <v>-775788.6</v>
      </c>
      <c r="AP151" s="25"/>
      <c r="AQ151" s="16">
        <v>-18858.62</v>
      </c>
      <c r="AR151" s="64">
        <v>1</v>
      </c>
      <c r="AS151" s="35"/>
      <c r="AT151" s="35"/>
      <c r="AU151" s="40"/>
      <c r="AV151" s="40"/>
      <c r="AW151" s="41"/>
      <c r="AX151" s="23"/>
      <c r="AZ151" s="40"/>
      <c r="BA151" s="40"/>
      <c r="BB151" s="41"/>
      <c r="BC151" s="42"/>
      <c r="BD151" s="42"/>
      <c r="BE151" s="42"/>
      <c r="BF151" s="42"/>
      <c r="BG151" s="42"/>
      <c r="BI151" s="38"/>
      <c r="BJ151" s="39"/>
      <c r="BK151" s="38"/>
      <c r="BL151" s="38"/>
      <c r="BM151" s="38"/>
    </row>
    <row r="152" spans="1:65" x14ac:dyDescent="0.25">
      <c r="A152" s="13">
        <v>5643</v>
      </c>
      <c r="B152" s="14" t="s">
        <v>199</v>
      </c>
      <c r="C152" s="16">
        <v>12379091.57</v>
      </c>
      <c r="D152" s="15">
        <v>2003302.67</v>
      </c>
      <c r="E152" s="16">
        <v>0</v>
      </c>
      <c r="F152" s="15">
        <v>0</v>
      </c>
      <c r="G152" s="16">
        <v>817207.3</v>
      </c>
      <c r="H152" s="15">
        <v>38905.35</v>
      </c>
      <c r="I152" s="16">
        <v>595480.65</v>
      </c>
      <c r="J152" s="15">
        <v>263156.17</v>
      </c>
      <c r="K152" s="17">
        <v>57289.5</v>
      </c>
      <c r="L152" s="16">
        <v>1018020.3</v>
      </c>
      <c r="M152" s="3">
        <f t="shared" si="6"/>
        <v>17172453.510000002</v>
      </c>
      <c r="N152" s="15">
        <v>135457.95000000001</v>
      </c>
      <c r="O152" s="16">
        <v>87795.7</v>
      </c>
      <c r="P152" s="15">
        <v>919753.95</v>
      </c>
      <c r="Q152" s="16">
        <v>9351.92</v>
      </c>
      <c r="R152" s="15">
        <v>1325444.3</v>
      </c>
      <c r="S152" s="16">
        <v>165</v>
      </c>
      <c r="T152" s="15">
        <v>3220</v>
      </c>
      <c r="U152" s="16">
        <v>17370</v>
      </c>
      <c r="V152" s="15">
        <v>0</v>
      </c>
      <c r="W152" s="16">
        <v>0</v>
      </c>
      <c r="X152" s="2">
        <f t="shared" si="7"/>
        <v>19671012.330000002</v>
      </c>
      <c r="Y152" s="18">
        <v>88232.55</v>
      </c>
      <c r="Z152" s="25"/>
      <c r="AA152" s="18">
        <v>846612.89</v>
      </c>
      <c r="AB152" s="25"/>
      <c r="AC152" s="18">
        <v>403416.6</v>
      </c>
      <c r="AD152" s="25"/>
      <c r="AE152" s="18"/>
      <c r="AF152" s="25"/>
      <c r="AG152" s="18"/>
      <c r="AH152" s="25">
        <v>139701.85</v>
      </c>
      <c r="AI152" s="18"/>
      <c r="AJ152" s="25"/>
      <c r="AK152" s="18"/>
      <c r="AL152" s="68">
        <f t="shared" si="8"/>
        <v>1477963.8900000001</v>
      </c>
      <c r="AM152" s="33">
        <v>64</v>
      </c>
      <c r="AN152" s="34">
        <v>5184</v>
      </c>
      <c r="AO152" s="16">
        <v>-158784.22</v>
      </c>
      <c r="AP152" s="25"/>
      <c r="AQ152" s="16">
        <v>-4805.84</v>
      </c>
      <c r="AR152" s="64">
        <v>1</v>
      </c>
      <c r="AS152" s="35"/>
      <c r="AT152" s="35"/>
      <c r="AU152" s="40"/>
      <c r="AV152" s="40"/>
      <c r="AW152" s="41"/>
      <c r="AX152" s="23"/>
      <c r="AZ152" s="40"/>
      <c r="BA152" s="40"/>
      <c r="BB152" s="41"/>
      <c r="BC152" s="42"/>
      <c r="BD152" s="42"/>
      <c r="BE152" s="42"/>
      <c r="BF152" s="42"/>
      <c r="BG152" s="42"/>
      <c r="BI152" s="38"/>
      <c r="BJ152" s="39"/>
      <c r="BK152" s="38"/>
      <c r="BL152" s="38"/>
      <c r="BM152" s="38"/>
    </row>
    <row r="153" spans="1:65" x14ac:dyDescent="0.25">
      <c r="A153" s="13">
        <v>5644</v>
      </c>
      <c r="B153" s="14" t="s">
        <v>359</v>
      </c>
      <c r="C153" s="16">
        <v>947254.5</v>
      </c>
      <c r="D153" s="15">
        <v>126637.68</v>
      </c>
      <c r="E153" s="16">
        <v>0</v>
      </c>
      <c r="F153" s="15">
        <v>0</v>
      </c>
      <c r="G153" s="16">
        <v>10616.25</v>
      </c>
      <c r="H153" s="15">
        <v>334.3</v>
      </c>
      <c r="I153" s="16">
        <v>0</v>
      </c>
      <c r="J153" s="15">
        <v>35992.800000000003</v>
      </c>
      <c r="K153" s="17">
        <v>23.5</v>
      </c>
      <c r="L153" s="16">
        <v>58634.35</v>
      </c>
      <c r="M153" s="3">
        <f t="shared" si="6"/>
        <v>1179493.3800000001</v>
      </c>
      <c r="N153" s="15">
        <v>5586.45</v>
      </c>
      <c r="O153" s="16" t="s">
        <v>512</v>
      </c>
      <c r="P153" s="15">
        <v>40181.9</v>
      </c>
      <c r="Q153" s="16">
        <v>1767.59</v>
      </c>
      <c r="R153" s="15" t="s">
        <v>512</v>
      </c>
      <c r="S153" s="16">
        <v>0</v>
      </c>
      <c r="T153" s="15">
        <v>660</v>
      </c>
      <c r="U153" s="16">
        <v>2500</v>
      </c>
      <c r="V153" s="15">
        <v>151.19999999999999</v>
      </c>
      <c r="W153" s="16">
        <v>0</v>
      </c>
      <c r="X153" s="2">
        <f t="shared" si="7"/>
        <v>1230340.52</v>
      </c>
      <c r="Y153" s="18">
        <v>22854</v>
      </c>
      <c r="Z153" s="25"/>
      <c r="AA153" s="18">
        <v>57916.3</v>
      </c>
      <c r="AB153" s="25"/>
      <c r="AC153" s="18">
        <v>29980</v>
      </c>
      <c r="AD153" s="25">
        <v>16170</v>
      </c>
      <c r="AE153" s="18"/>
      <c r="AF153" s="25"/>
      <c r="AG153" s="18"/>
      <c r="AH153" s="25">
        <v>7973.5</v>
      </c>
      <c r="AI153" s="18"/>
      <c r="AJ153" s="25"/>
      <c r="AK153" s="18"/>
      <c r="AL153" s="68">
        <f t="shared" si="8"/>
        <v>134893.79999999999</v>
      </c>
      <c r="AM153" s="33">
        <v>78</v>
      </c>
      <c r="AN153" s="34">
        <v>356</v>
      </c>
      <c r="AO153" s="16">
        <v>-20733.689999999999</v>
      </c>
      <c r="AP153" s="25"/>
      <c r="AQ153" s="16">
        <v>0</v>
      </c>
      <c r="AR153" s="64">
        <v>1</v>
      </c>
      <c r="AS153" s="35"/>
      <c r="AT153" s="35"/>
      <c r="AU153" s="40"/>
      <c r="AV153" s="40"/>
      <c r="AW153" s="41"/>
      <c r="AX153" s="23"/>
      <c r="AZ153" s="40"/>
      <c r="BA153" s="40"/>
      <c r="BB153" s="41"/>
      <c r="BC153" s="42"/>
      <c r="BD153" s="42"/>
      <c r="BE153" s="42"/>
      <c r="BF153" s="42"/>
      <c r="BG153" s="42"/>
      <c r="BI153" s="38"/>
      <c r="BJ153" s="39"/>
      <c r="BK153" s="38"/>
      <c r="BL153" s="38"/>
      <c r="BM153" s="38"/>
    </row>
    <row r="154" spans="1:65" x14ac:dyDescent="0.25">
      <c r="A154" s="13">
        <v>5645</v>
      </c>
      <c r="B154" s="14" t="s">
        <v>360</v>
      </c>
      <c r="C154" s="16">
        <v>936935.55</v>
      </c>
      <c r="D154" s="15">
        <v>138345.95000000001</v>
      </c>
      <c r="E154" s="16">
        <v>0</v>
      </c>
      <c r="F154" s="15">
        <v>0</v>
      </c>
      <c r="G154" s="16">
        <v>127459.9</v>
      </c>
      <c r="H154" s="15">
        <v>17555.099999999999</v>
      </c>
      <c r="I154" s="16">
        <v>0</v>
      </c>
      <c r="J154" s="15">
        <v>43747.93</v>
      </c>
      <c r="K154" s="17">
        <v>7713.5</v>
      </c>
      <c r="L154" s="16">
        <v>107753.75</v>
      </c>
      <c r="M154" s="3">
        <f t="shared" si="6"/>
        <v>1379511.68</v>
      </c>
      <c r="N154" s="15">
        <v>52238.05</v>
      </c>
      <c r="O154" s="16" t="s">
        <v>512</v>
      </c>
      <c r="P154" s="15">
        <v>121723.95</v>
      </c>
      <c r="Q154" s="16">
        <v>532</v>
      </c>
      <c r="R154" s="15">
        <v>28476.55</v>
      </c>
      <c r="S154" s="16">
        <v>0</v>
      </c>
      <c r="T154" s="15">
        <v>0</v>
      </c>
      <c r="U154" s="16">
        <v>850</v>
      </c>
      <c r="V154" s="15">
        <v>0</v>
      </c>
      <c r="W154" s="16">
        <v>0</v>
      </c>
      <c r="X154" s="2">
        <f t="shared" si="7"/>
        <v>1583332.23</v>
      </c>
      <c r="Y154" s="18">
        <v>16000</v>
      </c>
      <c r="Z154" s="25"/>
      <c r="AA154" s="18">
        <v>89772.05</v>
      </c>
      <c r="AB154" s="25"/>
      <c r="AC154" s="18">
        <v>41746.15</v>
      </c>
      <c r="AD154" s="25"/>
      <c r="AE154" s="18"/>
      <c r="AF154" s="25"/>
      <c r="AG154" s="18"/>
      <c r="AH154" s="25">
        <v>27117.85</v>
      </c>
      <c r="AI154" s="18"/>
      <c r="AJ154" s="25"/>
      <c r="AK154" s="18"/>
      <c r="AL154" s="68">
        <f t="shared" si="8"/>
        <v>174636.05000000002</v>
      </c>
      <c r="AM154" s="33">
        <v>56</v>
      </c>
      <c r="AN154" s="34">
        <v>435</v>
      </c>
      <c r="AO154" s="16">
        <v>-3945.88</v>
      </c>
      <c r="AP154" s="25"/>
      <c r="AQ154" s="16">
        <v>-136.16999999999999</v>
      </c>
      <c r="AR154" s="64">
        <v>0.8</v>
      </c>
      <c r="AS154" s="35"/>
      <c r="AT154" s="35"/>
      <c r="AU154" s="40"/>
      <c r="AV154" s="40"/>
      <c r="AW154" s="41"/>
      <c r="AX154" s="23"/>
      <c r="AZ154" s="40"/>
      <c r="BA154" s="40"/>
      <c r="BB154" s="41"/>
      <c r="BC154" s="42"/>
      <c r="BD154" s="42"/>
      <c r="BE154" s="42"/>
      <c r="BF154" s="42"/>
      <c r="BG154" s="42"/>
      <c r="BI154" s="38"/>
      <c r="BJ154" s="39"/>
      <c r="BK154" s="38"/>
      <c r="BL154" s="38"/>
      <c r="BM154" s="38"/>
    </row>
    <row r="155" spans="1:65" x14ac:dyDescent="0.25">
      <c r="A155" s="13">
        <v>5646</v>
      </c>
      <c r="B155" s="14" t="s">
        <v>361</v>
      </c>
      <c r="C155" s="16">
        <v>10857503.939999999</v>
      </c>
      <c r="D155" s="15">
        <v>2404558.63</v>
      </c>
      <c r="E155" s="16">
        <v>0</v>
      </c>
      <c r="F155" s="15">
        <v>0</v>
      </c>
      <c r="G155" s="16">
        <v>1957066.55</v>
      </c>
      <c r="H155" s="15">
        <v>3259167.05</v>
      </c>
      <c r="I155" s="16">
        <v>414133.9</v>
      </c>
      <c r="J155" s="15">
        <v>421645</v>
      </c>
      <c r="K155" s="17">
        <v>112174</v>
      </c>
      <c r="L155" s="16">
        <v>1379193.95</v>
      </c>
      <c r="M155" s="3">
        <f t="shared" si="6"/>
        <v>20805443.02</v>
      </c>
      <c r="N155" s="15">
        <v>356352.95</v>
      </c>
      <c r="O155" s="16">
        <v>7970330.2000000002</v>
      </c>
      <c r="P155" s="15">
        <v>1005449.6</v>
      </c>
      <c r="Q155" s="16">
        <v>73304.25</v>
      </c>
      <c r="R155" s="15">
        <v>772397.75</v>
      </c>
      <c r="S155" s="16">
        <v>4095</v>
      </c>
      <c r="T155" s="15">
        <v>0</v>
      </c>
      <c r="U155" s="16">
        <v>41250</v>
      </c>
      <c r="V155" s="15">
        <v>0</v>
      </c>
      <c r="W155" s="16">
        <v>0</v>
      </c>
      <c r="X155" s="2">
        <f t="shared" si="7"/>
        <v>31028622.77</v>
      </c>
      <c r="Y155" s="18">
        <v>192266.38</v>
      </c>
      <c r="Z155" s="25"/>
      <c r="AA155" s="18">
        <v>848018.01</v>
      </c>
      <c r="AB155" s="25"/>
      <c r="AC155" s="18">
        <v>532044.1</v>
      </c>
      <c r="AD155" s="25">
        <v>68182.92</v>
      </c>
      <c r="AE155" s="18"/>
      <c r="AF155" s="25"/>
      <c r="AG155" s="18">
        <v>3464.3</v>
      </c>
      <c r="AH155" s="25"/>
      <c r="AI155" s="18"/>
      <c r="AJ155" s="25"/>
      <c r="AK155" s="18"/>
      <c r="AL155" s="68">
        <f t="shared" si="8"/>
        <v>1643975.71</v>
      </c>
      <c r="AM155" s="33">
        <v>55</v>
      </c>
      <c r="AN155" s="34">
        <v>5447</v>
      </c>
      <c r="AO155" s="16">
        <v>-210576.39</v>
      </c>
      <c r="AP155" s="25"/>
      <c r="AQ155" s="16">
        <v>-14221.49</v>
      </c>
      <c r="AR155" s="64">
        <v>1</v>
      </c>
      <c r="AS155" s="35"/>
      <c r="AT155" s="35"/>
      <c r="AU155" s="40"/>
      <c r="AV155" s="40"/>
      <c r="AW155" s="41"/>
      <c r="AX155" s="23"/>
      <c r="AZ155" s="40"/>
      <c r="BA155" s="40"/>
      <c r="BB155" s="41"/>
      <c r="BC155" s="42"/>
      <c r="BD155" s="42"/>
      <c r="BE155" s="42"/>
      <c r="BF155" s="42"/>
      <c r="BG155" s="42"/>
      <c r="BI155" s="38"/>
      <c r="BJ155" s="39"/>
      <c r="BK155" s="38"/>
      <c r="BL155" s="38"/>
      <c r="BM155" s="38"/>
    </row>
    <row r="156" spans="1:65" x14ac:dyDescent="0.25">
      <c r="A156" s="13">
        <v>5648</v>
      </c>
      <c r="B156" s="14" t="s">
        <v>362</v>
      </c>
      <c r="C156" s="16">
        <v>10233818.93</v>
      </c>
      <c r="D156" s="15">
        <v>3160177.25</v>
      </c>
      <c r="E156" s="16">
        <v>0</v>
      </c>
      <c r="F156" s="15">
        <v>0</v>
      </c>
      <c r="G156" s="16">
        <v>706348.29</v>
      </c>
      <c r="H156" s="15">
        <v>254719.9</v>
      </c>
      <c r="I156" s="16">
        <v>477621.12</v>
      </c>
      <c r="J156" s="15">
        <v>212461</v>
      </c>
      <c r="K156" s="17">
        <v>50937</v>
      </c>
      <c r="L156" s="16">
        <v>760986.25</v>
      </c>
      <c r="M156" s="3">
        <f t="shared" si="6"/>
        <v>15857069.739999998</v>
      </c>
      <c r="N156" s="15">
        <v>67714.899999999994</v>
      </c>
      <c r="O156" s="16">
        <v>126288.8</v>
      </c>
      <c r="P156" s="15">
        <v>1191692.6299999999</v>
      </c>
      <c r="Q156" s="16">
        <v>28567.93</v>
      </c>
      <c r="R156" s="15">
        <v>362830.85</v>
      </c>
      <c r="S156" s="16">
        <v>0</v>
      </c>
      <c r="T156" s="15">
        <v>0</v>
      </c>
      <c r="U156" s="16">
        <v>15850</v>
      </c>
      <c r="V156" s="15">
        <v>0</v>
      </c>
      <c r="W156" s="16">
        <v>0</v>
      </c>
      <c r="X156" s="2">
        <f t="shared" si="7"/>
        <v>17650014.850000001</v>
      </c>
      <c r="Y156" s="18">
        <v>783643.95</v>
      </c>
      <c r="Z156" s="25"/>
      <c r="AA156" s="18">
        <v>824451.25</v>
      </c>
      <c r="AB156" s="25"/>
      <c r="AC156" s="18">
        <v>322263.15000000002</v>
      </c>
      <c r="AD156" s="25"/>
      <c r="AE156" s="18"/>
      <c r="AF156" s="25"/>
      <c r="AG156" s="18">
        <v>173219.3</v>
      </c>
      <c r="AH156" s="25">
        <v>120976.01</v>
      </c>
      <c r="AI156" s="18"/>
      <c r="AJ156" s="25"/>
      <c r="AK156" s="18"/>
      <c r="AL156" s="68">
        <f t="shared" si="8"/>
        <v>2224553.6599999997</v>
      </c>
      <c r="AM156" s="33">
        <v>55</v>
      </c>
      <c r="AN156" s="34">
        <v>3463</v>
      </c>
      <c r="AO156" s="16">
        <v>-123894</v>
      </c>
      <c r="AP156" s="25"/>
      <c r="AQ156" s="16"/>
      <c r="AR156" s="64">
        <v>0.8</v>
      </c>
      <c r="AS156" s="35"/>
      <c r="AT156" s="35"/>
      <c r="AU156" s="40"/>
      <c r="AV156" s="40"/>
      <c r="AW156" s="41"/>
      <c r="AX156" s="23"/>
      <c r="AZ156" s="40"/>
      <c r="BA156" s="40"/>
      <c r="BB156" s="41"/>
      <c r="BC156" s="42"/>
      <c r="BD156" s="42"/>
      <c r="BE156" s="42"/>
      <c r="BF156" s="42"/>
      <c r="BG156" s="42"/>
      <c r="BI156" s="38"/>
      <c r="BJ156" s="39"/>
      <c r="BK156" s="38"/>
      <c r="BL156" s="38"/>
      <c r="BM156" s="38"/>
    </row>
    <row r="157" spans="1:65" x14ac:dyDescent="0.25">
      <c r="A157" s="13">
        <v>5649</v>
      </c>
      <c r="B157" s="14" t="s">
        <v>363</v>
      </c>
      <c r="C157" s="16">
        <v>3268002.35</v>
      </c>
      <c r="D157" s="15">
        <v>529838.81000000006</v>
      </c>
      <c r="E157" s="16">
        <v>0</v>
      </c>
      <c r="F157" s="15">
        <v>0</v>
      </c>
      <c r="G157" s="16">
        <v>2290292.4</v>
      </c>
      <c r="H157" s="15">
        <v>-118081.25</v>
      </c>
      <c r="I157" s="16">
        <v>38501.599999999999</v>
      </c>
      <c r="J157" s="15">
        <v>180574.52</v>
      </c>
      <c r="K157" s="17">
        <v>44576</v>
      </c>
      <c r="L157" s="16">
        <v>506938</v>
      </c>
      <c r="M157" s="3">
        <f t="shared" si="6"/>
        <v>6740642.4299999997</v>
      </c>
      <c r="N157" s="15">
        <v>451792.15</v>
      </c>
      <c r="O157" s="16">
        <v>80173.8</v>
      </c>
      <c r="P157" s="15">
        <v>299521.3</v>
      </c>
      <c r="Q157" s="16">
        <v>13508.2</v>
      </c>
      <c r="R157" s="15">
        <v>99039.95</v>
      </c>
      <c r="S157" s="16">
        <v>0</v>
      </c>
      <c r="T157" s="15">
        <v>0</v>
      </c>
      <c r="U157" s="16">
        <v>2985</v>
      </c>
      <c r="V157" s="15">
        <v>0</v>
      </c>
      <c r="W157" s="16">
        <v>0</v>
      </c>
      <c r="X157" s="2">
        <f t="shared" si="7"/>
        <v>7687662.8300000001</v>
      </c>
      <c r="Y157" s="18">
        <v>314622.55</v>
      </c>
      <c r="Z157" s="25"/>
      <c r="AA157" s="18">
        <v>432195.2</v>
      </c>
      <c r="AB157" s="25"/>
      <c r="AC157" s="18"/>
      <c r="AD157" s="25"/>
      <c r="AE157" s="18"/>
      <c r="AF157" s="25"/>
      <c r="AG157" s="18"/>
      <c r="AH157" s="25">
        <v>127602.25</v>
      </c>
      <c r="AI157" s="18"/>
      <c r="AJ157" s="25"/>
      <c r="AK157" s="18"/>
      <c r="AL157" s="68">
        <f t="shared" si="8"/>
        <v>874420</v>
      </c>
      <c r="AM157" s="33">
        <v>65</v>
      </c>
      <c r="AN157" s="34">
        <v>1812</v>
      </c>
      <c r="AO157" s="16">
        <v>-45211.86</v>
      </c>
      <c r="AP157" s="25"/>
      <c r="AQ157" s="16">
        <v>-831.63</v>
      </c>
      <c r="AR157" s="64">
        <v>1</v>
      </c>
      <c r="AS157" s="35"/>
      <c r="AT157" s="35"/>
      <c r="AU157" s="40"/>
      <c r="AV157" s="40"/>
      <c r="AW157" s="41"/>
      <c r="AX157" s="23"/>
      <c r="AZ157" s="40"/>
      <c r="BA157" s="40"/>
      <c r="BB157" s="41"/>
      <c r="BC157" s="42"/>
      <c r="BD157" s="42"/>
      <c r="BE157" s="42"/>
      <c r="BF157" s="42"/>
      <c r="BG157" s="42"/>
      <c r="BI157" s="38"/>
      <c r="BJ157" s="39"/>
      <c r="BK157" s="38"/>
      <c r="BL157" s="38"/>
      <c r="BM157" s="38"/>
    </row>
    <row r="158" spans="1:65" x14ac:dyDescent="0.25">
      <c r="A158" s="13">
        <v>5650</v>
      </c>
      <c r="B158" s="14" t="s">
        <v>364</v>
      </c>
      <c r="C158" s="16">
        <v>2453500.88</v>
      </c>
      <c r="D158" s="15">
        <v>3610867.7</v>
      </c>
      <c r="E158" s="16">
        <v>0</v>
      </c>
      <c r="F158" s="15">
        <v>0</v>
      </c>
      <c r="G158" s="16">
        <v>9955.15</v>
      </c>
      <c r="H158" s="15">
        <v>39.15</v>
      </c>
      <c r="I158" s="16">
        <v>0</v>
      </c>
      <c r="J158" s="15">
        <v>15888.93</v>
      </c>
      <c r="K158" s="17">
        <v>0</v>
      </c>
      <c r="L158" s="16">
        <v>51801.3</v>
      </c>
      <c r="M158" s="3">
        <f t="shared" si="6"/>
        <v>6142053.1100000003</v>
      </c>
      <c r="N158" s="25"/>
      <c r="O158" s="18">
        <v>145175</v>
      </c>
      <c r="P158" s="25">
        <v>87.9</v>
      </c>
      <c r="Q158" s="18">
        <v>0</v>
      </c>
      <c r="R158" s="25"/>
      <c r="S158" s="18">
        <v>0</v>
      </c>
      <c r="T158" s="25">
        <v>0</v>
      </c>
      <c r="U158" s="18">
        <v>465</v>
      </c>
      <c r="V158" s="25">
        <v>0</v>
      </c>
      <c r="W158" s="18">
        <v>0</v>
      </c>
      <c r="X158" s="2">
        <f t="shared" si="7"/>
        <v>6287781.0100000007</v>
      </c>
      <c r="Y158" s="18">
        <v>-908.65</v>
      </c>
      <c r="Z158" s="25"/>
      <c r="AA158" s="18">
        <v>26250.05</v>
      </c>
      <c r="AB158" s="25"/>
      <c r="AC158" s="18">
        <v>20792.900000000001</v>
      </c>
      <c r="AD158" s="25"/>
      <c r="AE158" s="18"/>
      <c r="AF158" s="25"/>
      <c r="AG158" s="18"/>
      <c r="AH158" s="25"/>
      <c r="AI158" s="18"/>
      <c r="AJ158" s="25"/>
      <c r="AK158" s="18"/>
      <c r="AL158" s="68">
        <f t="shared" si="8"/>
        <v>46134.3</v>
      </c>
      <c r="AM158" s="33">
        <v>39</v>
      </c>
      <c r="AN158" s="34">
        <v>196</v>
      </c>
      <c r="AO158" s="16">
        <v>-0.15</v>
      </c>
      <c r="AP158" s="25"/>
      <c r="AQ158" s="16">
        <v>0</v>
      </c>
      <c r="AR158" s="64">
        <v>1.25</v>
      </c>
      <c r="AS158" s="35"/>
      <c r="AT158" s="35"/>
      <c r="AU158" s="40"/>
      <c r="AV158" s="40"/>
      <c r="AW158" s="41"/>
      <c r="AX158" s="23"/>
      <c r="AZ158" s="40"/>
      <c r="BA158" s="40"/>
      <c r="BB158" s="41"/>
      <c r="BC158" s="42"/>
      <c r="BD158" s="42"/>
      <c r="BE158" s="42"/>
      <c r="BF158" s="42"/>
      <c r="BG158" s="42"/>
      <c r="BI158" s="38"/>
      <c r="BJ158" s="39"/>
      <c r="BK158" s="38"/>
      <c r="BL158" s="38"/>
      <c r="BM158" s="38"/>
    </row>
    <row r="159" spans="1:65" x14ac:dyDescent="0.25">
      <c r="A159" s="13">
        <v>5651</v>
      </c>
      <c r="B159" s="14" t="s">
        <v>365</v>
      </c>
      <c r="C159" s="16">
        <v>1657517.24</v>
      </c>
      <c r="D159" s="15">
        <v>188879.49</v>
      </c>
      <c r="E159" s="16">
        <v>0</v>
      </c>
      <c r="F159" s="15">
        <v>0</v>
      </c>
      <c r="G159" s="16">
        <v>670073.9</v>
      </c>
      <c r="H159" s="15">
        <v>9953.2999999999993</v>
      </c>
      <c r="I159" s="16">
        <v>0</v>
      </c>
      <c r="J159" s="15">
        <v>86425.54</v>
      </c>
      <c r="K159" s="17">
        <v>3406</v>
      </c>
      <c r="L159" s="16">
        <v>198361.5</v>
      </c>
      <c r="M159" s="3">
        <f t="shared" si="6"/>
        <v>2814616.9699999997</v>
      </c>
      <c r="N159" s="15">
        <v>159281.15</v>
      </c>
      <c r="O159" s="16" t="s">
        <v>512</v>
      </c>
      <c r="P159" s="15">
        <v>84206.15</v>
      </c>
      <c r="Q159" s="16">
        <v>17018.73</v>
      </c>
      <c r="R159" s="15">
        <v>5891.4</v>
      </c>
      <c r="S159" s="16">
        <v>0</v>
      </c>
      <c r="T159" s="15">
        <v>0</v>
      </c>
      <c r="U159" s="16">
        <v>3920</v>
      </c>
      <c r="V159" s="15">
        <v>0</v>
      </c>
      <c r="W159" s="16">
        <v>0</v>
      </c>
      <c r="X159" s="2">
        <f t="shared" si="7"/>
        <v>3084934.3999999994</v>
      </c>
      <c r="Y159" s="18">
        <v>68031.8</v>
      </c>
      <c r="Z159" s="25"/>
      <c r="AA159" s="18">
        <v>87673.7</v>
      </c>
      <c r="AB159" s="25"/>
      <c r="AC159" s="18">
        <v>97865.3</v>
      </c>
      <c r="AD159" s="25">
        <v>58680.55</v>
      </c>
      <c r="AE159" s="18"/>
      <c r="AF159" s="25"/>
      <c r="AG159" s="18"/>
      <c r="AH159" s="25"/>
      <c r="AI159" s="18"/>
      <c r="AJ159" s="25"/>
      <c r="AK159" s="18"/>
      <c r="AL159" s="68">
        <f t="shared" si="8"/>
        <v>312251.34999999998</v>
      </c>
      <c r="AM159" s="33">
        <v>59</v>
      </c>
      <c r="AN159" s="34">
        <v>673</v>
      </c>
      <c r="AO159" s="16">
        <v>-16739.419999999998</v>
      </c>
      <c r="AP159" s="25"/>
      <c r="AQ159" s="16">
        <v>-6.29</v>
      </c>
      <c r="AR159" s="64">
        <v>1</v>
      </c>
      <c r="AS159" s="35"/>
      <c r="AT159" s="35"/>
      <c r="AU159" s="40"/>
      <c r="AV159" s="40"/>
      <c r="AW159" s="41"/>
      <c r="AX159" s="23"/>
      <c r="AZ159" s="40"/>
      <c r="BA159" s="40"/>
      <c r="BB159" s="41"/>
      <c r="BC159" s="42"/>
      <c r="BD159" s="42"/>
      <c r="BE159" s="42"/>
      <c r="BF159" s="42"/>
      <c r="BG159" s="42"/>
      <c r="BI159" s="38"/>
      <c r="BJ159" s="39"/>
      <c r="BK159" s="38"/>
      <c r="BL159" s="38"/>
      <c r="BM159" s="38"/>
    </row>
    <row r="160" spans="1:65" x14ac:dyDescent="0.25">
      <c r="A160" s="13">
        <v>5652</v>
      </c>
      <c r="B160" s="14" t="s">
        <v>235</v>
      </c>
      <c r="C160" s="16">
        <v>1486529.16</v>
      </c>
      <c r="D160" s="15">
        <v>252856.4</v>
      </c>
      <c r="E160" s="16">
        <v>0</v>
      </c>
      <c r="F160" s="15">
        <v>0</v>
      </c>
      <c r="G160" s="16">
        <v>-589.25</v>
      </c>
      <c r="H160" s="15">
        <v>156.65</v>
      </c>
      <c r="I160" s="16">
        <v>0</v>
      </c>
      <c r="J160" s="15">
        <v>28918.65</v>
      </c>
      <c r="K160" s="17">
        <v>661</v>
      </c>
      <c r="L160" s="16">
        <v>112089.5</v>
      </c>
      <c r="M160" s="3">
        <f t="shared" si="6"/>
        <v>1880622.1099999996</v>
      </c>
      <c r="N160" s="15">
        <v>1152.3499999999999</v>
      </c>
      <c r="O160" s="16" t="s">
        <v>512</v>
      </c>
      <c r="P160" s="15">
        <v>34820.35</v>
      </c>
      <c r="Q160" s="16">
        <v>0</v>
      </c>
      <c r="R160" s="15">
        <v>10584.75</v>
      </c>
      <c r="S160" s="16">
        <v>0</v>
      </c>
      <c r="T160" s="15">
        <v>0</v>
      </c>
      <c r="U160" s="16">
        <v>3400</v>
      </c>
      <c r="V160" s="15">
        <v>0</v>
      </c>
      <c r="W160" s="16">
        <v>0</v>
      </c>
      <c r="X160" s="2">
        <f t="shared" si="7"/>
        <v>1930579.5599999998</v>
      </c>
      <c r="Y160" s="18">
        <v>69360</v>
      </c>
      <c r="Z160" s="25">
        <v>-2568.15</v>
      </c>
      <c r="AA160" s="18">
        <v>76234.399999999994</v>
      </c>
      <c r="AB160" s="25"/>
      <c r="AC160" s="18">
        <v>38675</v>
      </c>
      <c r="AD160" s="25"/>
      <c r="AE160" s="18"/>
      <c r="AF160" s="25"/>
      <c r="AG160" s="18"/>
      <c r="AH160" s="25"/>
      <c r="AI160" s="18"/>
      <c r="AJ160" s="25"/>
      <c r="AK160" s="18"/>
      <c r="AL160" s="68">
        <f t="shared" si="8"/>
        <v>181701.25</v>
      </c>
      <c r="AM160" s="33">
        <v>76</v>
      </c>
      <c r="AN160" s="34">
        <v>570</v>
      </c>
      <c r="AO160" s="16">
        <v>-5466.54</v>
      </c>
      <c r="AP160" s="25"/>
      <c r="AQ160" s="16">
        <v>-48.96</v>
      </c>
      <c r="AR160" s="64">
        <v>1.2</v>
      </c>
      <c r="AS160" s="35"/>
      <c r="AT160" s="35"/>
      <c r="AU160" s="40"/>
      <c r="AV160" s="40"/>
      <c r="AW160" s="41"/>
      <c r="AX160" s="23"/>
      <c r="AZ160" s="40"/>
      <c r="BA160" s="40"/>
      <c r="BB160" s="41"/>
      <c r="BC160" s="42"/>
      <c r="BD160" s="42"/>
      <c r="BE160" s="42"/>
      <c r="BF160" s="42"/>
      <c r="BG160" s="42"/>
      <c r="BI160" s="38"/>
      <c r="BJ160" s="39"/>
      <c r="BK160" s="38"/>
      <c r="BL160" s="38"/>
      <c r="BM160" s="38"/>
    </row>
    <row r="161" spans="1:65" x14ac:dyDescent="0.25">
      <c r="A161" s="13">
        <v>5653</v>
      </c>
      <c r="B161" s="14" t="s">
        <v>236</v>
      </c>
      <c r="C161" s="16">
        <v>2121192.23</v>
      </c>
      <c r="D161" s="15">
        <v>487130.05</v>
      </c>
      <c r="E161" s="16">
        <v>0</v>
      </c>
      <c r="F161" s="15">
        <v>0</v>
      </c>
      <c r="G161" s="16">
        <v>14492.2</v>
      </c>
      <c r="H161" s="15">
        <v>185.3</v>
      </c>
      <c r="I161" s="16">
        <v>167692.6</v>
      </c>
      <c r="J161" s="15">
        <v>6972.55</v>
      </c>
      <c r="K161" s="17">
        <v>2764.5</v>
      </c>
      <c r="L161" s="16">
        <v>169744.35</v>
      </c>
      <c r="M161" s="3">
        <f t="shared" si="6"/>
        <v>2970173.78</v>
      </c>
      <c r="N161" s="15">
        <v>4508.5</v>
      </c>
      <c r="O161" s="16">
        <v>105331.2</v>
      </c>
      <c r="P161" s="15">
        <v>74745</v>
      </c>
      <c r="Q161" s="16">
        <v>0</v>
      </c>
      <c r="R161" s="15">
        <v>31299.7</v>
      </c>
      <c r="S161" s="16">
        <v>0</v>
      </c>
      <c r="T161" s="15">
        <v>0</v>
      </c>
      <c r="U161" s="16">
        <v>6150</v>
      </c>
      <c r="V161" s="15">
        <v>0</v>
      </c>
      <c r="W161" s="16">
        <v>0</v>
      </c>
      <c r="X161" s="2">
        <f t="shared" si="7"/>
        <v>3192208.18</v>
      </c>
      <c r="Y161" s="18">
        <v>76598.100000000006</v>
      </c>
      <c r="Z161" s="25"/>
      <c r="AA161" s="18">
        <v>91300.25</v>
      </c>
      <c r="AB161" s="25"/>
      <c r="AC161" s="18">
        <v>44967</v>
      </c>
      <c r="AD161" s="25"/>
      <c r="AE161" s="18"/>
      <c r="AF161" s="25"/>
      <c r="AG161" s="18"/>
      <c r="AH161" s="25"/>
      <c r="AI161" s="18"/>
      <c r="AJ161" s="25"/>
      <c r="AK161" s="18"/>
      <c r="AL161" s="68">
        <f t="shared" si="8"/>
        <v>212865.35</v>
      </c>
      <c r="AM161" s="33">
        <v>55</v>
      </c>
      <c r="AN161" s="34">
        <v>825</v>
      </c>
      <c r="AO161" s="16">
        <v>-26299.35</v>
      </c>
      <c r="AP161" s="25"/>
      <c r="AQ161" s="16">
        <v>-4943.21</v>
      </c>
      <c r="AR161" s="64">
        <v>0.8</v>
      </c>
      <c r="AS161" s="35"/>
      <c r="AT161" s="35"/>
      <c r="AU161" s="40"/>
      <c r="AV161" s="40"/>
      <c r="AW161" s="41"/>
      <c r="AX161" s="23"/>
      <c r="AZ161" s="40"/>
      <c r="BA161" s="40"/>
      <c r="BB161" s="41"/>
      <c r="BC161" s="42"/>
      <c r="BD161" s="42"/>
      <c r="BE161" s="42"/>
      <c r="BF161" s="42"/>
      <c r="BG161" s="42"/>
      <c r="BI161" s="38"/>
      <c r="BJ161" s="39"/>
      <c r="BK161" s="38"/>
      <c r="BL161" s="38"/>
      <c r="BM161" s="38"/>
    </row>
    <row r="162" spans="1:65" x14ac:dyDescent="0.25">
      <c r="A162" s="13">
        <v>5654</v>
      </c>
      <c r="B162" s="14" t="s">
        <v>237</v>
      </c>
      <c r="C162" s="16">
        <v>973015.34</v>
      </c>
      <c r="D162" s="15">
        <v>164481.4</v>
      </c>
      <c r="E162" s="16">
        <v>0</v>
      </c>
      <c r="F162" s="15">
        <v>0</v>
      </c>
      <c r="G162" s="16">
        <v>14960.7</v>
      </c>
      <c r="H162" s="15">
        <v>347.1</v>
      </c>
      <c r="I162" s="16">
        <v>0</v>
      </c>
      <c r="J162" s="15">
        <v>8094.03</v>
      </c>
      <c r="K162" s="17">
        <v>729</v>
      </c>
      <c r="L162" s="16">
        <v>79511.05</v>
      </c>
      <c r="M162" s="3">
        <f t="shared" si="6"/>
        <v>1241138.6200000001</v>
      </c>
      <c r="N162" s="15">
        <v>1120.5999999999999</v>
      </c>
      <c r="O162" s="16">
        <v>10661.3</v>
      </c>
      <c r="P162" s="15">
        <v>71113.55</v>
      </c>
      <c r="Q162" s="16">
        <v>8596.66</v>
      </c>
      <c r="R162" s="15">
        <v>52856.95</v>
      </c>
      <c r="S162" s="16">
        <v>62.5</v>
      </c>
      <c r="T162" s="15">
        <v>1922.6</v>
      </c>
      <c r="U162" s="16">
        <v>3000</v>
      </c>
      <c r="V162" s="15">
        <v>0</v>
      </c>
      <c r="W162" s="16">
        <v>0</v>
      </c>
      <c r="X162" s="2">
        <f t="shared" si="7"/>
        <v>1390472.7800000003</v>
      </c>
      <c r="Y162" s="18">
        <v>31114.799999999999</v>
      </c>
      <c r="Z162" s="25"/>
      <c r="AA162" s="18">
        <v>126977.45</v>
      </c>
      <c r="AB162" s="25"/>
      <c r="AC162" s="18">
        <v>19516.75</v>
      </c>
      <c r="AD162" s="25"/>
      <c r="AE162" s="18"/>
      <c r="AF162" s="25"/>
      <c r="AG162" s="18"/>
      <c r="AH162" s="25">
        <v>12176.9</v>
      </c>
      <c r="AI162" s="18"/>
      <c r="AJ162" s="25"/>
      <c r="AK162" s="18"/>
      <c r="AL162" s="68">
        <f t="shared" si="8"/>
        <v>189785.9</v>
      </c>
      <c r="AM162" s="33">
        <v>76</v>
      </c>
      <c r="AN162" s="34">
        <v>457</v>
      </c>
      <c r="AO162" s="16">
        <v>-43125.08</v>
      </c>
      <c r="AP162" s="25"/>
      <c r="AQ162" s="16">
        <v>-1182.44</v>
      </c>
      <c r="AR162" s="64">
        <v>1</v>
      </c>
      <c r="AS162" s="35"/>
      <c r="AT162" s="35"/>
      <c r="AU162" s="40"/>
      <c r="AV162" s="40"/>
      <c r="AW162" s="41"/>
      <c r="AX162" s="23"/>
      <c r="AZ162" s="40"/>
      <c r="BA162" s="40"/>
      <c r="BB162" s="41"/>
      <c r="BC162" s="42"/>
      <c r="BD162" s="42"/>
      <c r="BE162" s="42"/>
      <c r="BF162" s="42"/>
      <c r="BG162" s="42"/>
      <c r="BI162" s="38"/>
      <c r="BJ162" s="39"/>
      <c r="BK162" s="38"/>
      <c r="BL162" s="38"/>
      <c r="BM162" s="38"/>
    </row>
    <row r="163" spans="1:65" x14ac:dyDescent="0.25">
      <c r="A163" s="13">
        <v>5655</v>
      </c>
      <c r="B163" s="14" t="s">
        <v>238</v>
      </c>
      <c r="C163" s="16">
        <v>4051175.98</v>
      </c>
      <c r="D163" s="15">
        <v>591710.54</v>
      </c>
      <c r="E163" s="16">
        <v>0</v>
      </c>
      <c r="F163" s="15">
        <v>0</v>
      </c>
      <c r="G163" s="16">
        <v>76190.850000000006</v>
      </c>
      <c r="H163" s="15">
        <v>-377.95</v>
      </c>
      <c r="I163" s="16">
        <v>248446.05</v>
      </c>
      <c r="J163" s="15">
        <v>106357.49</v>
      </c>
      <c r="K163" s="17">
        <v>6181.5</v>
      </c>
      <c r="L163" s="16">
        <v>281757.5</v>
      </c>
      <c r="M163" s="3">
        <f t="shared" si="6"/>
        <v>5361441.959999999</v>
      </c>
      <c r="N163" s="15">
        <v>48761.35</v>
      </c>
      <c r="O163" s="16">
        <v>15372.1</v>
      </c>
      <c r="P163" s="15">
        <v>211898.1</v>
      </c>
      <c r="Q163" s="16">
        <v>11027.38</v>
      </c>
      <c r="R163" s="15">
        <v>154268.95000000001</v>
      </c>
      <c r="S163" s="16">
        <v>125</v>
      </c>
      <c r="T163" s="15">
        <v>0</v>
      </c>
      <c r="U163" s="16">
        <v>6120</v>
      </c>
      <c r="V163" s="15">
        <v>1060</v>
      </c>
      <c r="W163" s="16">
        <v>0</v>
      </c>
      <c r="X163" s="2">
        <f t="shared" si="7"/>
        <v>5810074.839999998</v>
      </c>
      <c r="Y163" s="18">
        <v>21888.55</v>
      </c>
      <c r="Z163" s="25"/>
      <c r="AA163" s="18">
        <v>163905.85</v>
      </c>
      <c r="AB163" s="25"/>
      <c r="AC163" s="18">
        <v>47961.5</v>
      </c>
      <c r="AD163" s="25">
        <v>59721.5</v>
      </c>
      <c r="AE163" s="18"/>
      <c r="AF163" s="25"/>
      <c r="AG163" s="18"/>
      <c r="AH163" s="25"/>
      <c r="AI163" s="18"/>
      <c r="AJ163" s="25"/>
      <c r="AK163" s="18"/>
      <c r="AL163" s="68">
        <f t="shared" si="8"/>
        <v>293477.40000000002</v>
      </c>
      <c r="AM163" s="33">
        <v>73</v>
      </c>
      <c r="AN163" s="34">
        <v>1327</v>
      </c>
      <c r="AO163" s="16">
        <v>-22325.75</v>
      </c>
      <c r="AP163" s="25"/>
      <c r="AQ163" s="16">
        <v>-1437.8</v>
      </c>
      <c r="AR163" s="64">
        <v>1</v>
      </c>
      <c r="AS163" s="35"/>
      <c r="AT163" s="35"/>
      <c r="AU163" s="40"/>
      <c r="AV163" s="40"/>
      <c r="AW163" s="41"/>
      <c r="AX163" s="23"/>
      <c r="AZ163" s="40"/>
      <c r="BA163" s="40"/>
      <c r="BB163" s="41"/>
      <c r="BC163" s="42"/>
      <c r="BD163" s="42"/>
      <c r="BE163" s="42"/>
      <c r="BF163" s="42"/>
      <c r="BG163" s="42"/>
      <c r="BI163" s="38"/>
      <c r="BJ163" s="39"/>
      <c r="BK163" s="38"/>
      <c r="BL163" s="38"/>
      <c r="BM163" s="38"/>
    </row>
    <row r="164" spans="1:65" x14ac:dyDescent="0.25">
      <c r="A164" s="13">
        <v>5661</v>
      </c>
      <c r="B164" s="14" t="s">
        <v>239</v>
      </c>
      <c r="C164" s="16">
        <v>442158.83</v>
      </c>
      <c r="D164" s="15">
        <v>37692.65</v>
      </c>
      <c r="E164" s="16">
        <v>0</v>
      </c>
      <c r="F164" s="15">
        <v>1540</v>
      </c>
      <c r="G164" s="16">
        <v>614.20000000000005</v>
      </c>
      <c r="H164" s="15">
        <v>11763.19</v>
      </c>
      <c r="I164" s="16">
        <v>0</v>
      </c>
      <c r="J164" s="15">
        <v>8630.89</v>
      </c>
      <c r="K164" s="17">
        <v>203.5</v>
      </c>
      <c r="L164" s="16">
        <v>37816.800000000003</v>
      </c>
      <c r="M164" s="3">
        <f t="shared" si="6"/>
        <v>540420.06000000006</v>
      </c>
      <c r="N164" s="15">
        <v>23768.05</v>
      </c>
      <c r="O164" s="16" t="s">
        <v>512</v>
      </c>
      <c r="P164" s="15">
        <v>22375.35</v>
      </c>
      <c r="Q164" s="16">
        <v>5620.8</v>
      </c>
      <c r="R164" s="15">
        <v>8809.68</v>
      </c>
      <c r="S164" s="16">
        <v>0</v>
      </c>
      <c r="T164" s="15">
        <v>0</v>
      </c>
      <c r="U164" s="16">
        <v>2100</v>
      </c>
      <c r="V164" s="15">
        <v>0</v>
      </c>
      <c r="W164" s="16">
        <v>0</v>
      </c>
      <c r="X164" s="2">
        <f t="shared" si="7"/>
        <v>603093.94000000018</v>
      </c>
      <c r="Y164" s="18">
        <v>21000</v>
      </c>
      <c r="Z164" s="25"/>
      <c r="AA164" s="18">
        <v>28878.3</v>
      </c>
      <c r="AB164" s="25"/>
      <c r="AC164" s="18">
        <v>22939.1</v>
      </c>
      <c r="AD164" s="25"/>
      <c r="AE164" s="18"/>
      <c r="AF164" s="25"/>
      <c r="AG164" s="18"/>
      <c r="AH164" s="25"/>
      <c r="AI164" s="18"/>
      <c r="AJ164" s="25"/>
      <c r="AK164" s="18"/>
      <c r="AL164" s="68">
        <f t="shared" si="8"/>
        <v>72817.399999999994</v>
      </c>
      <c r="AM164" s="33">
        <v>79</v>
      </c>
      <c r="AN164" s="34">
        <v>313</v>
      </c>
      <c r="AO164" s="16">
        <v>-795.65</v>
      </c>
      <c r="AP164" s="25"/>
      <c r="AQ164" s="16">
        <v>0</v>
      </c>
      <c r="AR164" s="64">
        <v>1</v>
      </c>
      <c r="AS164" s="35"/>
      <c r="AT164" s="35"/>
      <c r="AU164" s="40"/>
      <c r="AV164" s="40"/>
      <c r="AW164" s="41"/>
      <c r="AX164" s="23"/>
      <c r="AZ164" s="40"/>
      <c r="BA164" s="40"/>
      <c r="BB164" s="41"/>
      <c r="BC164" s="42"/>
      <c r="BD164" s="42"/>
      <c r="BE164" s="42"/>
      <c r="BF164" s="42"/>
      <c r="BG164" s="42"/>
      <c r="BI164" s="38"/>
      <c r="BJ164" s="39"/>
      <c r="BK164" s="38"/>
      <c r="BL164" s="38"/>
      <c r="BM164" s="38"/>
    </row>
    <row r="165" spans="1:65" x14ac:dyDescent="0.25">
      <c r="A165" s="13">
        <v>5662</v>
      </c>
      <c r="B165" s="14" t="s">
        <v>240</v>
      </c>
      <c r="C165" s="16">
        <v>263640.63</v>
      </c>
      <c r="D165" s="15">
        <v>28865.86</v>
      </c>
      <c r="E165" s="16">
        <v>0</v>
      </c>
      <c r="F165" s="15">
        <v>0</v>
      </c>
      <c r="G165" s="16">
        <v>3555.25</v>
      </c>
      <c r="H165" s="15">
        <v>24.75</v>
      </c>
      <c r="I165" s="16">
        <v>0</v>
      </c>
      <c r="J165" s="15">
        <v>277.08999999999997</v>
      </c>
      <c r="K165" s="17">
        <v>0</v>
      </c>
      <c r="L165" s="16">
        <v>16321.75</v>
      </c>
      <c r="M165" s="3">
        <f t="shared" si="6"/>
        <v>312685.33</v>
      </c>
      <c r="N165" s="15" t="s">
        <v>512</v>
      </c>
      <c r="O165" s="16" t="s">
        <v>512</v>
      </c>
      <c r="P165" s="15">
        <v>14500.2</v>
      </c>
      <c r="Q165" s="16">
        <v>0</v>
      </c>
      <c r="R165" s="15">
        <v>30008.799999999999</v>
      </c>
      <c r="S165" s="16">
        <v>0</v>
      </c>
      <c r="T165" s="15">
        <v>0</v>
      </c>
      <c r="U165" s="16">
        <v>680</v>
      </c>
      <c r="V165" s="15">
        <v>0</v>
      </c>
      <c r="W165" s="16">
        <v>0</v>
      </c>
      <c r="X165" s="2">
        <f t="shared" si="7"/>
        <v>357874.33</v>
      </c>
      <c r="Y165" s="18"/>
      <c r="Z165" s="25"/>
      <c r="AA165" s="18">
        <v>19555.2</v>
      </c>
      <c r="AB165" s="25"/>
      <c r="AC165" s="18">
        <v>14681.9</v>
      </c>
      <c r="AD165" s="25"/>
      <c r="AE165" s="18"/>
      <c r="AF165" s="25"/>
      <c r="AG165" s="18"/>
      <c r="AH165" s="25"/>
      <c r="AI165" s="18"/>
      <c r="AJ165" s="25"/>
      <c r="AK165" s="18"/>
      <c r="AL165" s="68">
        <f t="shared" si="8"/>
        <v>34237.1</v>
      </c>
      <c r="AM165" s="33">
        <v>78</v>
      </c>
      <c r="AN165" s="34">
        <v>144</v>
      </c>
      <c r="AO165" s="16">
        <v>-61.6</v>
      </c>
      <c r="AP165" s="25"/>
      <c r="AQ165" s="16">
        <v>0</v>
      </c>
      <c r="AR165" s="64">
        <v>0.9</v>
      </c>
      <c r="AS165" s="35"/>
      <c r="AT165" s="35"/>
      <c r="AU165" s="40"/>
      <c r="AV165" s="40"/>
      <c r="AW165" s="41"/>
      <c r="AX165" s="23"/>
      <c r="AZ165" s="40"/>
      <c r="BA165" s="40"/>
      <c r="BB165" s="41"/>
      <c r="BC165" s="42"/>
      <c r="BD165" s="42"/>
      <c r="BE165" s="42"/>
      <c r="BF165" s="42"/>
      <c r="BG165" s="42"/>
      <c r="BI165" s="38"/>
      <c r="BJ165" s="39"/>
      <c r="BK165" s="38"/>
      <c r="BL165" s="38"/>
      <c r="BM165" s="38"/>
    </row>
    <row r="166" spans="1:65" x14ac:dyDescent="0.25">
      <c r="A166" s="13">
        <v>5663</v>
      </c>
      <c r="B166" s="14" t="s">
        <v>241</v>
      </c>
      <c r="C166" s="16">
        <v>361595.71</v>
      </c>
      <c r="D166" s="15">
        <v>30578.87</v>
      </c>
      <c r="E166" s="16">
        <v>0</v>
      </c>
      <c r="F166" s="15">
        <v>1290</v>
      </c>
      <c r="G166" s="16">
        <v>2556.9</v>
      </c>
      <c r="H166" s="15">
        <v>28.95</v>
      </c>
      <c r="I166" s="16">
        <v>0</v>
      </c>
      <c r="J166" s="15">
        <v>123.82</v>
      </c>
      <c r="K166" s="17">
        <v>808</v>
      </c>
      <c r="L166" s="16">
        <v>24962.799999999999</v>
      </c>
      <c r="M166" s="3">
        <f t="shared" si="6"/>
        <v>421945.05000000005</v>
      </c>
      <c r="N166" s="15" t="s">
        <v>512</v>
      </c>
      <c r="O166" s="16" t="s">
        <v>512</v>
      </c>
      <c r="P166" s="15">
        <v>9490.7999999999993</v>
      </c>
      <c r="Q166" s="16">
        <v>0</v>
      </c>
      <c r="R166" s="15">
        <v>7355.05</v>
      </c>
      <c r="S166" s="16">
        <v>0</v>
      </c>
      <c r="T166" s="15">
        <v>0</v>
      </c>
      <c r="U166" s="16">
        <v>1590</v>
      </c>
      <c r="V166" s="15">
        <v>0</v>
      </c>
      <c r="W166" s="16">
        <v>0</v>
      </c>
      <c r="X166" s="2">
        <f t="shared" si="7"/>
        <v>440380.9</v>
      </c>
      <c r="Y166" s="18">
        <v>15178.4</v>
      </c>
      <c r="Z166" s="25"/>
      <c r="AA166" s="18">
        <v>23989.599999999999</v>
      </c>
      <c r="AB166" s="25"/>
      <c r="AC166" s="18">
        <v>16017.5</v>
      </c>
      <c r="AD166" s="25"/>
      <c r="AE166" s="18"/>
      <c r="AF166" s="25"/>
      <c r="AG166" s="18"/>
      <c r="AH166" s="25"/>
      <c r="AI166" s="18"/>
      <c r="AJ166" s="25"/>
      <c r="AK166" s="18"/>
      <c r="AL166" s="68">
        <f t="shared" si="8"/>
        <v>55185.5</v>
      </c>
      <c r="AM166" s="33">
        <v>80</v>
      </c>
      <c r="AN166" s="34">
        <v>197</v>
      </c>
      <c r="AO166" s="16">
        <v>-8175.33</v>
      </c>
      <c r="AP166" s="25"/>
      <c r="AQ166" s="16">
        <v>0</v>
      </c>
      <c r="AR166" s="64">
        <v>1</v>
      </c>
      <c r="AS166" s="35"/>
      <c r="AT166" s="35"/>
      <c r="AU166" s="40"/>
      <c r="AV166" s="40"/>
      <c r="AW166" s="41"/>
      <c r="AX166" s="23"/>
      <c r="AZ166" s="40"/>
      <c r="BA166" s="40"/>
      <c r="BB166" s="41"/>
      <c r="BC166" s="42"/>
      <c r="BD166" s="42"/>
      <c r="BE166" s="42"/>
      <c r="BF166" s="42"/>
      <c r="BG166" s="42"/>
      <c r="BI166" s="38"/>
      <c r="BJ166" s="39"/>
      <c r="BK166" s="38"/>
      <c r="BL166" s="38"/>
      <c r="BM166" s="38"/>
    </row>
    <row r="167" spans="1:65" x14ac:dyDescent="0.25">
      <c r="A167" s="13">
        <v>5665</v>
      </c>
      <c r="B167" s="14" t="s">
        <v>129</v>
      </c>
      <c r="C167" s="16">
        <v>203772.53</v>
      </c>
      <c r="D167" s="15">
        <v>40748.39</v>
      </c>
      <c r="E167" s="16">
        <v>0</v>
      </c>
      <c r="F167" s="15">
        <v>0</v>
      </c>
      <c r="G167" s="16">
        <v>4092.9</v>
      </c>
      <c r="H167" s="15">
        <v>0</v>
      </c>
      <c r="I167" s="16">
        <v>0</v>
      </c>
      <c r="J167" s="15">
        <v>49.62</v>
      </c>
      <c r="K167" s="17">
        <v>4.5</v>
      </c>
      <c r="L167" s="16">
        <v>22194.799999999999</v>
      </c>
      <c r="M167" s="3">
        <f t="shared" si="6"/>
        <v>270862.74</v>
      </c>
      <c r="N167" s="26"/>
      <c r="O167" s="16" t="s">
        <v>512</v>
      </c>
      <c r="P167" s="15">
        <v>3951</v>
      </c>
      <c r="Q167" s="16">
        <v>0</v>
      </c>
      <c r="R167" s="15" t="s">
        <v>512</v>
      </c>
      <c r="S167" s="16">
        <v>0</v>
      </c>
      <c r="T167" s="15">
        <v>350</v>
      </c>
      <c r="U167" s="16">
        <v>0</v>
      </c>
      <c r="V167" s="15">
        <v>750</v>
      </c>
      <c r="W167" s="16">
        <v>0</v>
      </c>
      <c r="X167" s="2">
        <f t="shared" si="7"/>
        <v>275913.74</v>
      </c>
      <c r="Y167" s="18"/>
      <c r="Z167" s="25"/>
      <c r="AA167" s="18">
        <v>12983.7</v>
      </c>
      <c r="AB167" s="25"/>
      <c r="AC167" s="18">
        <v>15598.6</v>
      </c>
      <c r="AD167" s="25"/>
      <c r="AE167" s="18"/>
      <c r="AF167" s="25"/>
      <c r="AG167" s="18"/>
      <c r="AH167" s="25"/>
      <c r="AI167" s="18"/>
      <c r="AJ167" s="25"/>
      <c r="AK167" s="18"/>
      <c r="AL167" s="68">
        <f t="shared" si="8"/>
        <v>28582.300000000003</v>
      </c>
      <c r="AM167" s="33">
        <v>72</v>
      </c>
      <c r="AN167" s="34">
        <v>233</v>
      </c>
      <c r="AO167" s="16">
        <v>-3848.77</v>
      </c>
      <c r="AP167" s="25"/>
      <c r="AQ167" s="16">
        <v>0</v>
      </c>
      <c r="AR167" s="64">
        <v>1</v>
      </c>
      <c r="AS167" s="35"/>
      <c r="AT167" s="35"/>
      <c r="AU167" s="40"/>
      <c r="AV167" s="40"/>
      <c r="AW167" s="41"/>
      <c r="AX167" s="23"/>
      <c r="AZ167" s="40"/>
      <c r="BA167" s="40"/>
      <c r="BB167" s="41"/>
      <c r="BC167" s="42"/>
      <c r="BD167" s="42"/>
      <c r="BE167" s="42"/>
      <c r="BF167" s="42"/>
      <c r="BG167" s="42"/>
      <c r="BI167" s="38"/>
      <c r="BJ167" s="39"/>
      <c r="BK167" s="38"/>
      <c r="BL167" s="38"/>
      <c r="BM167" s="38"/>
    </row>
    <row r="168" spans="1:65" x14ac:dyDescent="0.25">
      <c r="A168" s="13">
        <v>5666</v>
      </c>
      <c r="B168" s="14" t="s">
        <v>130</v>
      </c>
      <c r="C168" s="16">
        <v>211092.2</v>
      </c>
      <c r="D168" s="15">
        <v>22082.91</v>
      </c>
      <c r="E168" s="16">
        <v>0</v>
      </c>
      <c r="F168" s="15">
        <v>0</v>
      </c>
      <c r="G168" s="16">
        <v>23019.8</v>
      </c>
      <c r="H168" s="15">
        <v>35.450000000000003</v>
      </c>
      <c r="I168" s="16">
        <v>0</v>
      </c>
      <c r="J168" s="15">
        <v>3957.01</v>
      </c>
      <c r="K168" s="17">
        <v>-784.5</v>
      </c>
      <c r="L168" s="16">
        <v>27358.95</v>
      </c>
      <c r="M168" s="3">
        <f t="shared" si="6"/>
        <v>286761.82</v>
      </c>
      <c r="N168" s="15" t="s">
        <v>512</v>
      </c>
      <c r="O168" s="16">
        <v>1297.2</v>
      </c>
      <c r="P168" s="15">
        <v>3080</v>
      </c>
      <c r="Q168" s="16">
        <v>0</v>
      </c>
      <c r="R168" s="15">
        <v>6091.45</v>
      </c>
      <c r="S168" s="16">
        <v>0</v>
      </c>
      <c r="T168" s="15">
        <v>0</v>
      </c>
      <c r="U168" s="16">
        <v>1900</v>
      </c>
      <c r="V168" s="15">
        <v>0</v>
      </c>
      <c r="W168" s="16">
        <v>0</v>
      </c>
      <c r="X168" s="2">
        <f t="shared" si="7"/>
        <v>299130.47000000003</v>
      </c>
      <c r="Y168" s="18">
        <v>21000</v>
      </c>
      <c r="Z168" s="25"/>
      <c r="AA168" s="18">
        <v>25093.05</v>
      </c>
      <c r="AB168" s="25"/>
      <c r="AC168" s="18">
        <v>12988</v>
      </c>
      <c r="AD168" s="25"/>
      <c r="AE168" s="18"/>
      <c r="AF168" s="25"/>
      <c r="AG168" s="18"/>
      <c r="AH168" s="25"/>
      <c r="AI168" s="18"/>
      <c r="AJ168" s="25"/>
      <c r="AK168" s="18"/>
      <c r="AL168" s="68">
        <f t="shared" si="8"/>
        <v>59081.05</v>
      </c>
      <c r="AM168" s="33">
        <v>75</v>
      </c>
      <c r="AN168" s="34">
        <v>160</v>
      </c>
      <c r="AO168" s="16">
        <v>-1447.64</v>
      </c>
      <c r="AP168" s="25"/>
      <c r="AQ168" s="16">
        <v>0</v>
      </c>
      <c r="AR168" s="64">
        <v>1.25</v>
      </c>
      <c r="AS168" s="35"/>
      <c r="AT168" s="35"/>
      <c r="AU168" s="40"/>
      <c r="AV168" s="40"/>
      <c r="AW168" s="41"/>
      <c r="AX168" s="23"/>
      <c r="AZ168" s="40"/>
      <c r="BA168" s="40"/>
      <c r="BB168" s="41"/>
      <c r="BC168" s="42"/>
      <c r="BD168" s="42"/>
      <c r="BE168" s="42"/>
      <c r="BF168" s="42"/>
      <c r="BG168" s="42"/>
      <c r="BI168" s="38"/>
      <c r="BJ168" s="39"/>
      <c r="BK168" s="38"/>
      <c r="BL168" s="38"/>
      <c r="BM168" s="38"/>
    </row>
    <row r="169" spans="1:65" x14ac:dyDescent="0.25">
      <c r="A169" s="13">
        <v>5668</v>
      </c>
      <c r="B169" s="14" t="s">
        <v>131</v>
      </c>
      <c r="C169" s="16">
        <v>68249.350000000006</v>
      </c>
      <c r="D169" s="15">
        <v>5476.54</v>
      </c>
      <c r="E169" s="16">
        <v>0</v>
      </c>
      <c r="F169" s="15">
        <v>0</v>
      </c>
      <c r="G169" s="16">
        <v>-252.6</v>
      </c>
      <c r="H169" s="15">
        <v>4.1500000000000004</v>
      </c>
      <c r="I169" s="16">
        <v>0</v>
      </c>
      <c r="J169" s="15">
        <v>1577.9</v>
      </c>
      <c r="K169" s="17">
        <v>20</v>
      </c>
      <c r="L169" s="16">
        <v>5731.55</v>
      </c>
      <c r="M169" s="3">
        <f t="shared" si="6"/>
        <v>80806.889999999985</v>
      </c>
      <c r="N169" s="15" t="s">
        <v>512</v>
      </c>
      <c r="O169" s="16" t="s">
        <v>512</v>
      </c>
      <c r="P169" s="15">
        <v>0</v>
      </c>
      <c r="Q169" s="16">
        <v>0</v>
      </c>
      <c r="R169" s="15" t="s">
        <v>512</v>
      </c>
      <c r="S169" s="16">
        <v>0</v>
      </c>
      <c r="T169" s="15">
        <v>0</v>
      </c>
      <c r="U169" s="16">
        <v>400</v>
      </c>
      <c r="V169" s="15">
        <v>0</v>
      </c>
      <c r="W169" s="16">
        <v>0</v>
      </c>
      <c r="X169" s="2">
        <f t="shared" si="7"/>
        <v>81206.889999999985</v>
      </c>
      <c r="Y169" s="18">
        <v>1000</v>
      </c>
      <c r="Z169" s="25"/>
      <c r="AA169" s="18">
        <v>3668.2</v>
      </c>
      <c r="AB169" s="25"/>
      <c r="AC169" s="18">
        <v>6370</v>
      </c>
      <c r="AD169" s="25"/>
      <c r="AE169" s="18"/>
      <c r="AF169" s="25"/>
      <c r="AG169" s="18"/>
      <c r="AH169" s="25">
        <v>1689.3</v>
      </c>
      <c r="AI169" s="18"/>
      <c r="AJ169" s="25"/>
      <c r="AK169" s="18"/>
      <c r="AL169" s="68">
        <f t="shared" si="8"/>
        <v>12727.5</v>
      </c>
      <c r="AM169" s="33">
        <v>77</v>
      </c>
      <c r="AN169" s="34">
        <v>51</v>
      </c>
      <c r="AO169" s="16">
        <v>-2198.08</v>
      </c>
      <c r="AP169" s="25"/>
      <c r="AQ169" s="16">
        <v>0</v>
      </c>
      <c r="AR169" s="64">
        <v>1</v>
      </c>
      <c r="AS169" s="35"/>
      <c r="AT169" s="35"/>
      <c r="AU169" s="40"/>
      <c r="AV169" s="40"/>
      <c r="AW169" s="41"/>
      <c r="AX169" s="23"/>
      <c r="AZ169" s="40"/>
      <c r="BA169" s="40"/>
      <c r="BB169" s="41"/>
      <c r="BC169" s="42"/>
      <c r="BD169" s="42"/>
      <c r="BE169" s="42"/>
      <c r="BF169" s="42"/>
      <c r="BG169" s="42"/>
      <c r="BI169" s="38"/>
      <c r="BJ169" s="39"/>
      <c r="BK169" s="38"/>
      <c r="BL169" s="38"/>
      <c r="BM169" s="38"/>
    </row>
    <row r="170" spans="1:65" x14ac:dyDescent="0.25">
      <c r="A170" s="13">
        <v>5669</v>
      </c>
      <c r="B170" s="14" t="s">
        <v>132</v>
      </c>
      <c r="C170" s="16">
        <v>470949.76</v>
      </c>
      <c r="D170" s="15">
        <v>94520.66</v>
      </c>
      <c r="E170" s="16">
        <v>0</v>
      </c>
      <c r="F170" s="15">
        <v>0</v>
      </c>
      <c r="G170" s="16">
        <v>4689.2</v>
      </c>
      <c r="H170" s="15">
        <v>195.55</v>
      </c>
      <c r="I170" s="16">
        <v>0</v>
      </c>
      <c r="J170" s="15">
        <v>-21442.48</v>
      </c>
      <c r="K170" s="17">
        <v>337</v>
      </c>
      <c r="L170" s="16">
        <v>20490.8</v>
      </c>
      <c r="M170" s="3">
        <f t="shared" si="6"/>
        <v>569740.49000000011</v>
      </c>
      <c r="N170" s="15" t="s">
        <v>512</v>
      </c>
      <c r="O170" s="16" t="s">
        <v>512</v>
      </c>
      <c r="P170" s="15">
        <v>19492.55</v>
      </c>
      <c r="Q170" s="16">
        <v>3024.25</v>
      </c>
      <c r="R170" s="15">
        <v>46355.9</v>
      </c>
      <c r="S170" s="16">
        <v>180</v>
      </c>
      <c r="T170" s="15">
        <v>0</v>
      </c>
      <c r="U170" s="16">
        <v>4250</v>
      </c>
      <c r="V170" s="15">
        <v>0</v>
      </c>
      <c r="W170" s="16">
        <v>0</v>
      </c>
      <c r="X170" s="2">
        <f t="shared" si="7"/>
        <v>643043.19000000018</v>
      </c>
      <c r="Y170" s="18">
        <v>1500</v>
      </c>
      <c r="Z170" s="25"/>
      <c r="AA170" s="18">
        <v>21206.75</v>
      </c>
      <c r="AB170" s="25"/>
      <c r="AC170" s="18">
        <v>20496.099999999999</v>
      </c>
      <c r="AD170" s="25"/>
      <c r="AE170" s="18"/>
      <c r="AF170" s="25"/>
      <c r="AG170" s="18"/>
      <c r="AH170" s="25"/>
      <c r="AI170" s="18"/>
      <c r="AJ170" s="25"/>
      <c r="AK170" s="18"/>
      <c r="AL170" s="68">
        <f t="shared" si="8"/>
        <v>43202.85</v>
      </c>
      <c r="AM170" s="33">
        <v>72</v>
      </c>
      <c r="AN170" s="34">
        <v>306</v>
      </c>
      <c r="AO170" s="16">
        <v>-10058.209999999999</v>
      </c>
      <c r="AP170" s="25"/>
      <c r="AQ170" s="16">
        <v>-14.32</v>
      </c>
      <c r="AR170" s="64">
        <v>0.5</v>
      </c>
      <c r="AS170" s="35"/>
      <c r="AT170" s="35"/>
      <c r="AU170" s="40"/>
      <c r="AV170" s="40"/>
      <c r="AW170" s="41"/>
      <c r="AX170" s="23"/>
      <c r="AZ170" s="40"/>
      <c r="BA170" s="40"/>
      <c r="BB170" s="41"/>
      <c r="BC170" s="42"/>
      <c r="BD170" s="42"/>
      <c r="BE170" s="42"/>
      <c r="BF170" s="42"/>
      <c r="BG170" s="42"/>
      <c r="BI170" s="38"/>
      <c r="BJ170" s="39"/>
      <c r="BK170" s="38"/>
      <c r="BL170" s="38"/>
      <c r="BM170" s="38"/>
    </row>
    <row r="171" spans="1:65" x14ac:dyDescent="0.25">
      <c r="A171" s="13">
        <v>5671</v>
      </c>
      <c r="B171" s="14" t="s">
        <v>133</v>
      </c>
      <c r="C171" s="16">
        <v>353534.01</v>
      </c>
      <c r="D171" s="15">
        <v>53619.11</v>
      </c>
      <c r="E171" s="16">
        <v>0</v>
      </c>
      <c r="F171" s="15">
        <v>1520</v>
      </c>
      <c r="G171" s="16">
        <v>31866.15</v>
      </c>
      <c r="H171" s="15">
        <v>24.55</v>
      </c>
      <c r="I171" s="16">
        <v>0</v>
      </c>
      <c r="J171" s="15">
        <v>8502.01</v>
      </c>
      <c r="K171" s="17">
        <v>0</v>
      </c>
      <c r="L171" s="16">
        <v>31400.7</v>
      </c>
      <c r="M171" s="3">
        <f t="shared" si="6"/>
        <v>480466.53</v>
      </c>
      <c r="N171" s="15" t="s">
        <v>512</v>
      </c>
      <c r="O171" s="16" t="s">
        <v>512</v>
      </c>
      <c r="P171" s="15">
        <v>6239</v>
      </c>
      <c r="Q171" s="16">
        <v>1618.63</v>
      </c>
      <c r="R171" s="15" t="s">
        <v>512</v>
      </c>
      <c r="S171" s="16">
        <v>0</v>
      </c>
      <c r="T171" s="15">
        <v>240</v>
      </c>
      <c r="U171" s="16">
        <v>2340</v>
      </c>
      <c r="V171" s="15">
        <v>0</v>
      </c>
      <c r="W171" s="16">
        <v>0</v>
      </c>
      <c r="X171" s="2">
        <f t="shared" si="7"/>
        <v>490904.16000000003</v>
      </c>
      <c r="Y171" s="18">
        <v>11523</v>
      </c>
      <c r="Z171" s="25"/>
      <c r="AA171" s="18"/>
      <c r="AB171" s="25"/>
      <c r="AC171" s="18">
        <v>14987.5</v>
      </c>
      <c r="AD171" s="25"/>
      <c r="AE171" s="18"/>
      <c r="AF171" s="25"/>
      <c r="AG171" s="18"/>
      <c r="AH171" s="25"/>
      <c r="AI171" s="18"/>
      <c r="AJ171" s="25"/>
      <c r="AK171" s="18"/>
      <c r="AL171" s="68">
        <f t="shared" si="8"/>
        <v>26510.5</v>
      </c>
      <c r="AM171" s="33">
        <v>80</v>
      </c>
      <c r="AN171" s="34">
        <v>247</v>
      </c>
      <c r="AO171" s="16">
        <v>-11477.31</v>
      </c>
      <c r="AP171" s="25"/>
      <c r="AQ171" s="16">
        <v>0</v>
      </c>
      <c r="AR171" s="64">
        <v>1</v>
      </c>
      <c r="AS171" s="35"/>
      <c r="AT171" s="35"/>
      <c r="AU171" s="40"/>
      <c r="AV171" s="40"/>
      <c r="AW171" s="41"/>
      <c r="AX171" s="23"/>
      <c r="AZ171" s="40"/>
      <c r="BA171" s="40"/>
      <c r="BB171" s="41"/>
      <c r="BC171" s="42"/>
      <c r="BD171" s="42"/>
      <c r="BE171" s="42"/>
      <c r="BF171" s="42"/>
      <c r="BG171" s="42"/>
      <c r="BI171" s="38"/>
      <c r="BJ171" s="39"/>
      <c r="BK171" s="38"/>
      <c r="BL171" s="38"/>
      <c r="BM171" s="38"/>
    </row>
    <row r="172" spans="1:65" x14ac:dyDescent="0.25">
      <c r="A172" s="13">
        <v>5672</v>
      </c>
      <c r="B172" s="14" t="s">
        <v>134</v>
      </c>
      <c r="C172" s="16">
        <v>237236.47</v>
      </c>
      <c r="D172" s="15">
        <v>29107.24</v>
      </c>
      <c r="E172" s="16">
        <v>0</v>
      </c>
      <c r="F172" s="15">
        <v>0</v>
      </c>
      <c r="G172" s="16">
        <v>7519.85</v>
      </c>
      <c r="H172" s="15">
        <v>16.100000000000001</v>
      </c>
      <c r="I172" s="16">
        <v>0</v>
      </c>
      <c r="J172" s="15">
        <v>2192.0700000000002</v>
      </c>
      <c r="K172" s="17">
        <v>0</v>
      </c>
      <c r="L172" s="16">
        <v>12313.35</v>
      </c>
      <c r="M172" s="3">
        <f t="shared" si="6"/>
        <v>288385.07999999996</v>
      </c>
      <c r="N172" s="15" t="s">
        <v>512</v>
      </c>
      <c r="O172" s="16" t="s">
        <v>512</v>
      </c>
      <c r="P172" s="15">
        <v>9809.75</v>
      </c>
      <c r="Q172" s="16">
        <v>0</v>
      </c>
      <c r="R172" s="15">
        <v>18706.150000000001</v>
      </c>
      <c r="S172" s="16">
        <v>0</v>
      </c>
      <c r="T172" s="15">
        <v>0</v>
      </c>
      <c r="U172" s="16">
        <v>1012.5</v>
      </c>
      <c r="V172" s="15">
        <v>0</v>
      </c>
      <c r="W172" s="16">
        <v>0</v>
      </c>
      <c r="X172" s="2">
        <f t="shared" si="7"/>
        <v>317913.48</v>
      </c>
      <c r="Y172" s="18"/>
      <c r="Z172" s="25"/>
      <c r="AA172" s="18">
        <v>4585</v>
      </c>
      <c r="AB172" s="25"/>
      <c r="AC172" s="18">
        <v>6145</v>
      </c>
      <c r="AD172" s="25">
        <v>7200</v>
      </c>
      <c r="AE172" s="18"/>
      <c r="AF172" s="25"/>
      <c r="AG172" s="18"/>
      <c r="AH172" s="25"/>
      <c r="AI172" s="18"/>
      <c r="AJ172" s="25"/>
      <c r="AK172" s="18"/>
      <c r="AL172" s="68">
        <f t="shared" si="8"/>
        <v>17930</v>
      </c>
      <c r="AM172" s="33">
        <v>75</v>
      </c>
      <c r="AN172" s="34">
        <v>153</v>
      </c>
      <c r="AO172" s="16">
        <v>-2013.64</v>
      </c>
      <c r="AP172" s="25"/>
      <c r="AQ172" s="16">
        <v>-0.32</v>
      </c>
      <c r="AR172" s="64">
        <v>0.8</v>
      </c>
      <c r="AS172" s="35"/>
      <c r="AT172" s="35"/>
      <c r="AU172" s="40"/>
      <c r="AV172" s="40"/>
      <c r="AW172" s="41"/>
      <c r="AX172" s="23"/>
      <c r="AZ172" s="40"/>
      <c r="BA172" s="40"/>
      <c r="BB172" s="41"/>
      <c r="BC172" s="42"/>
      <c r="BD172" s="42"/>
      <c r="BE172" s="42"/>
      <c r="BF172" s="42"/>
      <c r="BG172" s="42"/>
      <c r="BI172" s="38"/>
      <c r="BJ172" s="39"/>
      <c r="BK172" s="38"/>
      <c r="BL172" s="38"/>
      <c r="BM172" s="38"/>
    </row>
    <row r="173" spans="1:65" x14ac:dyDescent="0.25">
      <c r="A173" s="13">
        <v>5673</v>
      </c>
      <c r="B173" s="14" t="s">
        <v>135</v>
      </c>
      <c r="C173" s="16">
        <v>563284.81000000006</v>
      </c>
      <c r="D173" s="15">
        <v>61829.73</v>
      </c>
      <c r="E173" s="16">
        <v>0</v>
      </c>
      <c r="F173" s="15">
        <v>1880</v>
      </c>
      <c r="G173" s="16">
        <v>2637.4</v>
      </c>
      <c r="H173" s="15">
        <v>140.05000000000001</v>
      </c>
      <c r="I173" s="16">
        <v>0</v>
      </c>
      <c r="J173" s="15">
        <v>12175.21</v>
      </c>
      <c r="K173" s="17">
        <v>7.5</v>
      </c>
      <c r="L173" s="16">
        <v>24715.3</v>
      </c>
      <c r="M173" s="3">
        <f t="shared" si="6"/>
        <v>666670.00000000012</v>
      </c>
      <c r="N173" s="15">
        <v>9321.9500000000007</v>
      </c>
      <c r="O173" s="16">
        <v>75859.199999999997</v>
      </c>
      <c r="P173" s="15">
        <v>23139.599999999999</v>
      </c>
      <c r="Q173" s="16">
        <v>1846.41</v>
      </c>
      <c r="R173" s="15">
        <v>15766.25</v>
      </c>
      <c r="S173" s="16">
        <v>0</v>
      </c>
      <c r="T173" s="15">
        <v>0</v>
      </c>
      <c r="U173" s="16">
        <v>1225</v>
      </c>
      <c r="V173" s="15">
        <v>0</v>
      </c>
      <c r="W173" s="16">
        <v>0</v>
      </c>
      <c r="X173" s="2">
        <f t="shared" si="7"/>
        <v>793828.41</v>
      </c>
      <c r="Y173" s="18">
        <v>24500</v>
      </c>
      <c r="Z173" s="25"/>
      <c r="AA173" s="18">
        <v>63274.85</v>
      </c>
      <c r="AB173" s="25"/>
      <c r="AC173" s="18">
        <v>29277.3</v>
      </c>
      <c r="AD173" s="25">
        <v>893.4</v>
      </c>
      <c r="AE173" s="18"/>
      <c r="AF173" s="25"/>
      <c r="AG173" s="18"/>
      <c r="AH173" s="25"/>
      <c r="AI173" s="18"/>
      <c r="AJ173" s="25"/>
      <c r="AK173" s="18"/>
      <c r="AL173" s="68">
        <f t="shared" si="8"/>
        <v>117945.55</v>
      </c>
      <c r="AM173" s="33">
        <v>71</v>
      </c>
      <c r="AN173" s="34">
        <v>376</v>
      </c>
      <c r="AO173" s="16">
        <v>-4518.3500000000004</v>
      </c>
      <c r="AP173" s="25"/>
      <c r="AQ173" s="16">
        <v>0</v>
      </c>
      <c r="AR173" s="64">
        <v>0.6</v>
      </c>
      <c r="AS173" s="35"/>
      <c r="AT173" s="35"/>
      <c r="AU173" s="40"/>
      <c r="AV173" s="40"/>
      <c r="AW173" s="41"/>
      <c r="AX173" s="23"/>
      <c r="AZ173" s="40"/>
      <c r="BA173" s="40"/>
      <c r="BB173" s="41"/>
      <c r="BC173" s="42"/>
      <c r="BD173" s="42"/>
      <c r="BE173" s="42"/>
      <c r="BF173" s="42"/>
      <c r="BG173" s="42"/>
      <c r="BI173" s="38"/>
      <c r="BJ173" s="39"/>
      <c r="BK173" s="38"/>
      <c r="BL173" s="38"/>
      <c r="BM173" s="38"/>
    </row>
    <row r="174" spans="1:65" x14ac:dyDescent="0.25">
      <c r="A174" s="13">
        <v>5674</v>
      </c>
      <c r="B174" s="14" t="s">
        <v>136</v>
      </c>
      <c r="C174" s="16">
        <v>408188.1</v>
      </c>
      <c r="D174" s="15">
        <v>0</v>
      </c>
      <c r="E174" s="16">
        <v>0</v>
      </c>
      <c r="F174" s="15">
        <v>0</v>
      </c>
      <c r="G174" s="16">
        <v>295.3</v>
      </c>
      <c r="H174" s="15">
        <v>13.8</v>
      </c>
      <c r="I174" s="16">
        <v>0</v>
      </c>
      <c r="J174" s="15">
        <v>504.42</v>
      </c>
      <c r="K174" s="17">
        <v>64</v>
      </c>
      <c r="L174" s="16">
        <v>11714.3</v>
      </c>
      <c r="M174" s="3">
        <f t="shared" si="6"/>
        <v>420779.91999999993</v>
      </c>
      <c r="N174" s="25"/>
      <c r="O174" s="18">
        <v>2509.4</v>
      </c>
      <c r="P174" s="25">
        <v>0</v>
      </c>
      <c r="Q174" s="18">
        <v>0</v>
      </c>
      <c r="R174" s="25">
        <v>1461.95</v>
      </c>
      <c r="S174" s="18">
        <v>0</v>
      </c>
      <c r="T174" s="25">
        <v>0</v>
      </c>
      <c r="U174" s="18">
        <v>600</v>
      </c>
      <c r="V174" s="25">
        <v>0</v>
      </c>
      <c r="W174" s="18">
        <v>0</v>
      </c>
      <c r="X174" s="2">
        <f t="shared" si="7"/>
        <v>425351.26999999996</v>
      </c>
      <c r="Y174" s="18"/>
      <c r="Z174" s="25"/>
      <c r="AA174" s="18">
        <v>7640</v>
      </c>
      <c r="AB174" s="25"/>
      <c r="AC174" s="18">
        <v>10354.950000000001</v>
      </c>
      <c r="AD174" s="25"/>
      <c r="AE174" s="18"/>
      <c r="AF174" s="25"/>
      <c r="AG174" s="18"/>
      <c r="AH174" s="25">
        <v>3548.3</v>
      </c>
      <c r="AI174" s="18"/>
      <c r="AJ174" s="25"/>
      <c r="AK174" s="18"/>
      <c r="AL174" s="68">
        <f t="shared" si="8"/>
        <v>21543.25</v>
      </c>
      <c r="AM174" s="33">
        <v>71</v>
      </c>
      <c r="AN174" s="34">
        <v>140</v>
      </c>
      <c r="AO174" s="16">
        <v>-16694.009999999998</v>
      </c>
      <c r="AP174" s="25"/>
      <c r="AQ174" s="16">
        <v>0</v>
      </c>
      <c r="AR174" s="64">
        <v>0.7</v>
      </c>
      <c r="AS174" s="35"/>
      <c r="AT174" s="35"/>
      <c r="AU174" s="40"/>
      <c r="AV174" s="40"/>
      <c r="AW174" s="41"/>
      <c r="AX174" s="23"/>
      <c r="AZ174" s="40"/>
      <c r="BA174" s="40"/>
      <c r="BB174" s="41"/>
      <c r="BC174" s="42"/>
      <c r="BD174" s="42"/>
      <c r="BE174" s="42"/>
      <c r="BF174" s="42"/>
      <c r="BG174" s="42"/>
      <c r="BI174" s="38"/>
      <c r="BJ174" s="39"/>
      <c r="BK174" s="38"/>
      <c r="BL174" s="38"/>
      <c r="BM174" s="38"/>
    </row>
    <row r="175" spans="1:65" x14ac:dyDescent="0.25">
      <c r="A175" s="13">
        <v>5675</v>
      </c>
      <c r="B175" s="14" t="s">
        <v>137</v>
      </c>
      <c r="C175" s="16">
        <v>3369410.48</v>
      </c>
      <c r="D175" s="15">
        <v>340485.22</v>
      </c>
      <c r="E175" s="16">
        <v>0</v>
      </c>
      <c r="F175" s="15">
        <v>0</v>
      </c>
      <c r="G175" s="16">
        <v>721972.4</v>
      </c>
      <c r="H175" s="15">
        <v>75892.5</v>
      </c>
      <c r="I175" s="16">
        <v>0</v>
      </c>
      <c r="J175" s="15">
        <v>317123.18</v>
      </c>
      <c r="K175" s="17">
        <v>47370</v>
      </c>
      <c r="L175" s="16">
        <v>489574.6</v>
      </c>
      <c r="M175" s="3">
        <f t="shared" si="6"/>
        <v>5361828.38</v>
      </c>
      <c r="N175" s="15">
        <v>37608.400000000001</v>
      </c>
      <c r="O175" s="16">
        <v>20033.900000000001</v>
      </c>
      <c r="P175" s="15">
        <v>175482</v>
      </c>
      <c r="Q175" s="16">
        <v>17235.62</v>
      </c>
      <c r="R175" s="15">
        <v>69718.100000000006</v>
      </c>
      <c r="S175" s="16">
        <v>5079</v>
      </c>
      <c r="T175" s="15">
        <v>0</v>
      </c>
      <c r="U175" s="16">
        <v>20900</v>
      </c>
      <c r="V175" s="15">
        <v>165.5</v>
      </c>
      <c r="W175" s="16">
        <v>0</v>
      </c>
      <c r="X175" s="2">
        <f t="shared" si="7"/>
        <v>5708050.9000000004</v>
      </c>
      <c r="Y175" s="18">
        <v>41153.25</v>
      </c>
      <c r="Z175" s="25"/>
      <c r="AA175" s="18">
        <v>220661.55</v>
      </c>
      <c r="AB175" s="25"/>
      <c r="AC175" s="18">
        <v>348715.75</v>
      </c>
      <c r="AD175" s="25">
        <v>23983.9</v>
      </c>
      <c r="AE175" s="18"/>
      <c r="AF175" s="25"/>
      <c r="AG175" s="18"/>
      <c r="AH175" s="25">
        <v>409118.25</v>
      </c>
      <c r="AI175" s="18"/>
      <c r="AJ175" s="25"/>
      <c r="AK175" s="18"/>
      <c r="AL175" s="68">
        <f t="shared" si="8"/>
        <v>1043632.7000000001</v>
      </c>
      <c r="AM175" s="33">
        <v>66</v>
      </c>
      <c r="AN175" s="34">
        <v>3262</v>
      </c>
      <c r="AO175" s="16">
        <v>-138632.14000000001</v>
      </c>
      <c r="AP175" s="25"/>
      <c r="AQ175" s="16">
        <v>-23.23</v>
      </c>
      <c r="AR175" s="64">
        <v>1.1000000000000001</v>
      </c>
      <c r="AS175" s="35"/>
      <c r="AT175" s="35"/>
      <c r="AU175" s="40"/>
      <c r="AV175" s="40"/>
      <c r="AW175" s="41"/>
      <c r="AX175" s="23"/>
      <c r="AZ175" s="40"/>
      <c r="BA175" s="40"/>
      <c r="BB175" s="41"/>
      <c r="BC175" s="42"/>
      <c r="BD175" s="42"/>
      <c r="BE175" s="42"/>
      <c r="BF175" s="42"/>
      <c r="BG175" s="42"/>
      <c r="BI175" s="38"/>
      <c r="BJ175" s="39"/>
      <c r="BK175" s="38"/>
      <c r="BL175" s="38"/>
      <c r="BM175" s="38"/>
    </row>
    <row r="176" spans="1:65" x14ac:dyDescent="0.25">
      <c r="A176" s="13">
        <v>5678</v>
      </c>
      <c r="B176" s="14" t="s">
        <v>138</v>
      </c>
      <c r="C176" s="16">
        <v>6551460.2999999998</v>
      </c>
      <c r="D176" s="15">
        <v>600441.96</v>
      </c>
      <c r="E176" s="16">
        <v>0</v>
      </c>
      <c r="F176" s="15">
        <v>29217.5</v>
      </c>
      <c r="G176" s="16">
        <v>844059.8</v>
      </c>
      <c r="H176" s="15">
        <v>14629.95</v>
      </c>
      <c r="I176" s="16">
        <v>0</v>
      </c>
      <c r="J176" s="15">
        <v>477379.88</v>
      </c>
      <c r="K176" s="17">
        <v>29797</v>
      </c>
      <c r="L176" s="16">
        <v>714705.55</v>
      </c>
      <c r="M176" s="3">
        <f t="shared" si="6"/>
        <v>9261691.9400000013</v>
      </c>
      <c r="N176" s="15">
        <v>63283.25</v>
      </c>
      <c r="O176" s="16">
        <v>19193.599999999999</v>
      </c>
      <c r="P176" s="15">
        <v>280927.40000000002</v>
      </c>
      <c r="Q176" s="16">
        <v>96029.23</v>
      </c>
      <c r="R176" s="15">
        <v>253793.9</v>
      </c>
      <c r="S176" s="16">
        <v>24323.200000000001</v>
      </c>
      <c r="T176" s="15">
        <v>0</v>
      </c>
      <c r="U176" s="16">
        <v>31860</v>
      </c>
      <c r="V176" s="15">
        <v>35366</v>
      </c>
      <c r="W176" s="16">
        <v>2113.5</v>
      </c>
      <c r="X176" s="2">
        <f t="shared" si="7"/>
        <v>10068582.020000001</v>
      </c>
      <c r="Y176" s="18">
        <v>205679.15</v>
      </c>
      <c r="Z176" s="25"/>
      <c r="AA176" s="18">
        <v>808106.4</v>
      </c>
      <c r="AB176" s="25"/>
      <c r="AC176" s="18">
        <v>428510.75</v>
      </c>
      <c r="AD176" s="25">
        <v>120926.55</v>
      </c>
      <c r="AE176" s="18"/>
      <c r="AF176" s="25"/>
      <c r="AG176" s="18">
        <v>5132.3999999999996</v>
      </c>
      <c r="AH176" s="25">
        <v>210888.55</v>
      </c>
      <c r="AI176" s="18"/>
      <c r="AJ176" s="25"/>
      <c r="AK176" s="18"/>
      <c r="AL176" s="68">
        <f t="shared" si="8"/>
        <v>1779243.8</v>
      </c>
      <c r="AM176" s="33">
        <v>75</v>
      </c>
      <c r="AN176" s="34">
        <v>5656</v>
      </c>
      <c r="AO176" s="16">
        <v>-427234.4</v>
      </c>
      <c r="AP176" s="25"/>
      <c r="AQ176" s="16">
        <v>-968.24</v>
      </c>
      <c r="AR176" s="64">
        <v>1</v>
      </c>
      <c r="AS176" s="35"/>
      <c r="AT176" s="35"/>
      <c r="AU176" s="40"/>
      <c r="AV176" s="40"/>
      <c r="AW176" s="41"/>
      <c r="AX176" s="23"/>
      <c r="AZ176" s="40"/>
      <c r="BA176" s="40"/>
      <c r="BB176" s="41"/>
      <c r="BC176" s="42"/>
      <c r="BD176" s="42"/>
      <c r="BE176" s="42"/>
      <c r="BF176" s="42"/>
      <c r="BG176" s="42"/>
      <c r="BI176" s="38"/>
      <c r="BJ176" s="39"/>
      <c r="BK176" s="38"/>
      <c r="BL176" s="38"/>
      <c r="BM176" s="38"/>
    </row>
    <row r="177" spans="1:65" x14ac:dyDescent="0.25">
      <c r="A177" s="13">
        <v>5680</v>
      </c>
      <c r="B177" s="14" t="s">
        <v>139</v>
      </c>
      <c r="C177" s="16">
        <v>434143.02</v>
      </c>
      <c r="D177" s="15">
        <v>41226.11</v>
      </c>
      <c r="E177" s="16">
        <v>0</v>
      </c>
      <c r="F177" s="15">
        <v>0</v>
      </c>
      <c r="G177" s="16">
        <v>-132.19999999999999</v>
      </c>
      <c r="H177" s="15">
        <v>53.6</v>
      </c>
      <c r="I177" s="16">
        <v>0</v>
      </c>
      <c r="J177" s="15">
        <v>3399.51</v>
      </c>
      <c r="K177" s="17">
        <v>55</v>
      </c>
      <c r="L177" s="16">
        <v>54387</v>
      </c>
      <c r="M177" s="3">
        <f t="shared" si="6"/>
        <v>533132.04</v>
      </c>
      <c r="N177" s="15" t="s">
        <v>512</v>
      </c>
      <c r="O177" s="16" t="s">
        <v>512</v>
      </c>
      <c r="P177" s="15">
        <v>5383.5</v>
      </c>
      <c r="Q177" s="16">
        <v>0</v>
      </c>
      <c r="R177" s="15">
        <v>16409.45</v>
      </c>
      <c r="S177" s="16">
        <v>0</v>
      </c>
      <c r="T177" s="15">
        <v>30</v>
      </c>
      <c r="U177" s="16">
        <v>2100</v>
      </c>
      <c r="V177" s="15">
        <v>0</v>
      </c>
      <c r="W177" s="16">
        <v>0</v>
      </c>
      <c r="X177" s="2">
        <f t="shared" si="7"/>
        <v>557054.99</v>
      </c>
      <c r="Y177" s="18"/>
      <c r="Z177" s="25"/>
      <c r="AA177" s="18">
        <v>26939.9</v>
      </c>
      <c r="AB177" s="25"/>
      <c r="AC177" s="18">
        <v>15061.95</v>
      </c>
      <c r="AD177" s="25"/>
      <c r="AE177" s="18"/>
      <c r="AF177" s="25"/>
      <c r="AG177" s="18"/>
      <c r="AH177" s="25">
        <v>6234.45</v>
      </c>
      <c r="AI177" s="18"/>
      <c r="AJ177" s="25"/>
      <c r="AK177" s="18"/>
      <c r="AL177" s="68">
        <f t="shared" si="8"/>
        <v>48236.3</v>
      </c>
      <c r="AM177" s="33">
        <v>78</v>
      </c>
      <c r="AN177" s="34">
        <v>261</v>
      </c>
      <c r="AO177" s="16">
        <v>-2684.43</v>
      </c>
      <c r="AP177" s="25"/>
      <c r="AQ177" s="16">
        <v>0</v>
      </c>
      <c r="AR177" s="64">
        <v>1.5</v>
      </c>
      <c r="AS177" s="35"/>
      <c r="AT177" s="35"/>
      <c r="AU177" s="40"/>
      <c r="AV177" s="40"/>
      <c r="AW177" s="41"/>
      <c r="AX177" s="23"/>
      <c r="AZ177" s="40"/>
      <c r="BA177" s="40"/>
      <c r="BB177" s="41"/>
      <c r="BC177" s="42"/>
      <c r="BD177" s="42"/>
      <c r="BE177" s="42"/>
      <c r="BF177" s="42"/>
      <c r="BG177" s="42"/>
      <c r="BI177" s="38"/>
      <c r="BJ177" s="39"/>
      <c r="BK177" s="38"/>
      <c r="BL177" s="38"/>
      <c r="BM177" s="38"/>
    </row>
    <row r="178" spans="1:65" x14ac:dyDescent="0.25">
      <c r="A178" s="13">
        <v>5683</v>
      </c>
      <c r="B178" s="14" t="s">
        <v>140</v>
      </c>
      <c r="C178" s="16">
        <v>228771.48</v>
      </c>
      <c r="D178" s="15">
        <v>21027.23</v>
      </c>
      <c r="E178" s="16">
        <v>0</v>
      </c>
      <c r="F178" s="15">
        <v>0</v>
      </c>
      <c r="G178" s="16">
        <v>14795.05</v>
      </c>
      <c r="H178" s="15">
        <v>45.95</v>
      </c>
      <c r="I178" s="16">
        <v>0</v>
      </c>
      <c r="J178" s="15">
        <v>7083.17</v>
      </c>
      <c r="K178" s="17">
        <v>28</v>
      </c>
      <c r="L178" s="16">
        <v>16192.55</v>
      </c>
      <c r="M178" s="3">
        <f t="shared" si="6"/>
        <v>287943.43</v>
      </c>
      <c r="N178" s="15" t="s">
        <v>512</v>
      </c>
      <c r="O178" s="16" t="s">
        <v>512</v>
      </c>
      <c r="P178" s="15">
        <v>8085</v>
      </c>
      <c r="Q178" s="16">
        <v>0</v>
      </c>
      <c r="R178" s="15" t="s">
        <v>512</v>
      </c>
      <c r="S178" s="16">
        <v>0</v>
      </c>
      <c r="T178" s="15">
        <v>0</v>
      </c>
      <c r="U178" s="16">
        <v>1075</v>
      </c>
      <c r="V178" s="15">
        <v>0</v>
      </c>
      <c r="W178" s="16">
        <v>0</v>
      </c>
      <c r="X178" s="2">
        <f t="shared" si="7"/>
        <v>297103.43</v>
      </c>
      <c r="Y178" s="18">
        <v>13500</v>
      </c>
      <c r="Z178" s="25"/>
      <c r="AA178" s="18">
        <v>9045.85</v>
      </c>
      <c r="AB178" s="25"/>
      <c r="AC178" s="18">
        <v>13121.85</v>
      </c>
      <c r="AD178" s="25"/>
      <c r="AE178" s="18"/>
      <c r="AF178" s="25"/>
      <c r="AG178" s="18"/>
      <c r="AH178" s="25"/>
      <c r="AI178" s="18"/>
      <c r="AJ178" s="25"/>
      <c r="AK178" s="18"/>
      <c r="AL178" s="68">
        <f t="shared" si="8"/>
        <v>35667.699999999997</v>
      </c>
      <c r="AM178" s="33">
        <v>74</v>
      </c>
      <c r="AN178" s="34">
        <v>173</v>
      </c>
      <c r="AO178" s="16">
        <v>-9666.58</v>
      </c>
      <c r="AP178" s="25"/>
      <c r="AQ178" s="16">
        <v>0</v>
      </c>
      <c r="AR178" s="64">
        <v>1</v>
      </c>
      <c r="AS178" s="35"/>
      <c r="AT178" s="35"/>
      <c r="AU178" s="40"/>
      <c r="AV178" s="40"/>
      <c r="AW178" s="41"/>
      <c r="AX178" s="23"/>
      <c r="AZ178" s="40"/>
      <c r="BA178" s="40"/>
      <c r="BB178" s="41"/>
      <c r="BC178" s="42"/>
      <c r="BD178" s="42"/>
      <c r="BE178" s="42"/>
      <c r="BF178" s="42"/>
      <c r="BG178" s="42"/>
      <c r="BI178" s="38"/>
      <c r="BJ178" s="39"/>
      <c r="BK178" s="38"/>
      <c r="BL178" s="38"/>
      <c r="BM178" s="38"/>
    </row>
    <row r="179" spans="1:65" x14ac:dyDescent="0.25">
      <c r="A179" s="13">
        <v>5684</v>
      </c>
      <c r="B179" s="14" t="s">
        <v>141</v>
      </c>
      <c r="C179" s="16">
        <v>56748.61</v>
      </c>
      <c r="D179" s="15">
        <v>9531.83</v>
      </c>
      <c r="E179" s="16">
        <v>0</v>
      </c>
      <c r="F179" s="15">
        <v>0</v>
      </c>
      <c r="G179" s="16">
        <v>1495.9</v>
      </c>
      <c r="H179" s="15">
        <v>3.85</v>
      </c>
      <c r="I179" s="16">
        <v>0</v>
      </c>
      <c r="J179" s="15">
        <v>1.1200000000000001</v>
      </c>
      <c r="K179" s="17">
        <v>0</v>
      </c>
      <c r="L179" s="16">
        <v>6133.9</v>
      </c>
      <c r="M179" s="3">
        <f t="shared" si="6"/>
        <v>73915.209999999992</v>
      </c>
      <c r="N179" s="25"/>
      <c r="O179" s="18"/>
      <c r="P179" s="25">
        <v>0</v>
      </c>
      <c r="Q179" s="18">
        <v>0</v>
      </c>
      <c r="R179" s="25"/>
      <c r="S179" s="18">
        <v>0</v>
      </c>
      <c r="T179" s="25">
        <v>0</v>
      </c>
      <c r="U179" s="18">
        <v>0</v>
      </c>
      <c r="V179" s="25">
        <v>0</v>
      </c>
      <c r="W179" s="18">
        <v>0</v>
      </c>
      <c r="X179" s="2">
        <f t="shared" si="7"/>
        <v>73915.209999999992</v>
      </c>
      <c r="Y179" s="18"/>
      <c r="Z179" s="25"/>
      <c r="AA179" s="18">
        <v>3429</v>
      </c>
      <c r="AB179" s="25"/>
      <c r="AC179" s="18">
        <v>6761</v>
      </c>
      <c r="AD179" s="25"/>
      <c r="AE179" s="18"/>
      <c r="AF179" s="25"/>
      <c r="AG179" s="18"/>
      <c r="AH179" s="25"/>
      <c r="AI179" s="18"/>
      <c r="AJ179" s="25"/>
      <c r="AK179" s="18"/>
      <c r="AL179" s="68">
        <f t="shared" si="8"/>
        <v>10190</v>
      </c>
      <c r="AM179" s="33">
        <v>60</v>
      </c>
      <c r="AN179" s="34">
        <v>63</v>
      </c>
      <c r="AO179" s="16">
        <v>-10.48</v>
      </c>
      <c r="AP179" s="25"/>
      <c r="AQ179" s="16">
        <v>0</v>
      </c>
      <c r="AR179" s="64">
        <v>0.8</v>
      </c>
      <c r="AS179" s="35"/>
      <c r="AT179" s="35"/>
      <c r="AU179" s="40"/>
      <c r="AV179" s="40"/>
      <c r="AW179" s="41"/>
      <c r="AX179" s="23"/>
      <c r="AZ179" s="40"/>
      <c r="BA179" s="40"/>
      <c r="BB179" s="41"/>
      <c r="BC179" s="42"/>
      <c r="BD179" s="42"/>
      <c r="BE179" s="42"/>
      <c r="BF179" s="42"/>
      <c r="BG179" s="42"/>
      <c r="BI179" s="38"/>
      <c r="BJ179" s="39"/>
      <c r="BK179" s="38"/>
      <c r="BL179" s="38"/>
      <c r="BM179" s="38"/>
    </row>
    <row r="180" spans="1:65" x14ac:dyDescent="0.25">
      <c r="A180" s="13">
        <v>5686</v>
      </c>
      <c r="B180" s="14" t="s">
        <v>142</v>
      </c>
      <c r="C180" s="16">
        <v>91879.69</v>
      </c>
      <c r="D180" s="15">
        <v>13699.76</v>
      </c>
      <c r="E180" s="16">
        <v>0</v>
      </c>
      <c r="F180" s="15">
        <v>0</v>
      </c>
      <c r="G180" s="16">
        <v>144.1</v>
      </c>
      <c r="H180" s="15">
        <v>5.25</v>
      </c>
      <c r="I180" s="16">
        <v>0</v>
      </c>
      <c r="J180" s="15">
        <v>1737.8</v>
      </c>
      <c r="K180" s="17">
        <v>0</v>
      </c>
      <c r="L180" s="16">
        <v>8989.0499999999993</v>
      </c>
      <c r="M180" s="3">
        <f t="shared" si="6"/>
        <v>116455.65000000001</v>
      </c>
      <c r="N180" s="15" t="s">
        <v>512</v>
      </c>
      <c r="O180" s="16">
        <v>4058.8</v>
      </c>
      <c r="P180" s="15">
        <v>16055.35</v>
      </c>
      <c r="Q180" s="16">
        <v>0</v>
      </c>
      <c r="R180" s="15" t="s">
        <v>512</v>
      </c>
      <c r="S180" s="16">
        <v>0</v>
      </c>
      <c r="T180" s="15">
        <v>0</v>
      </c>
      <c r="U180" s="16">
        <v>137.5</v>
      </c>
      <c r="V180" s="15">
        <v>0</v>
      </c>
      <c r="W180" s="16">
        <v>0</v>
      </c>
      <c r="X180" s="2">
        <f t="shared" si="7"/>
        <v>136707.30000000002</v>
      </c>
      <c r="Y180" s="18"/>
      <c r="Z180" s="25">
        <v>7500</v>
      </c>
      <c r="AA180" s="18">
        <v>3613.75</v>
      </c>
      <c r="AB180" s="25"/>
      <c r="AC180" s="18">
        <v>8525.9</v>
      </c>
      <c r="AD180" s="25"/>
      <c r="AE180" s="18"/>
      <c r="AF180" s="25"/>
      <c r="AG180" s="18"/>
      <c r="AH180" s="25"/>
      <c r="AI180" s="18"/>
      <c r="AJ180" s="25"/>
      <c r="AK180" s="18"/>
      <c r="AL180" s="68">
        <f t="shared" si="8"/>
        <v>19639.650000000001</v>
      </c>
      <c r="AM180" s="33">
        <v>76</v>
      </c>
      <c r="AN180" s="34">
        <v>87</v>
      </c>
      <c r="AO180" s="16">
        <v>-44.87</v>
      </c>
      <c r="AP180" s="25"/>
      <c r="AQ180" s="16">
        <v>0</v>
      </c>
      <c r="AR180" s="64">
        <v>1</v>
      </c>
      <c r="AS180" s="35"/>
      <c r="AT180" s="35"/>
      <c r="AU180" s="40"/>
      <c r="AV180" s="40"/>
      <c r="AW180" s="41"/>
      <c r="AX180" s="23"/>
      <c r="AZ180" s="40"/>
      <c r="BA180" s="40"/>
      <c r="BB180" s="41"/>
      <c r="BC180" s="42"/>
      <c r="BD180" s="42"/>
      <c r="BE180" s="42"/>
      <c r="BF180" s="42"/>
      <c r="BG180" s="42"/>
      <c r="BI180" s="38"/>
      <c r="BJ180" s="39"/>
      <c r="BK180" s="38"/>
      <c r="BL180" s="38"/>
      <c r="BM180" s="38"/>
    </row>
    <row r="181" spans="1:65" x14ac:dyDescent="0.25">
      <c r="A181" s="13">
        <v>5688</v>
      </c>
      <c r="B181" s="14" t="s">
        <v>143</v>
      </c>
      <c r="C181" s="16">
        <v>280574.28000000003</v>
      </c>
      <c r="D181" s="15">
        <v>21528.7</v>
      </c>
      <c r="E181" s="16">
        <v>0</v>
      </c>
      <c r="F181" s="15">
        <v>0</v>
      </c>
      <c r="G181" s="16">
        <v>13952.4</v>
      </c>
      <c r="H181" s="15">
        <v>146.05000000000001</v>
      </c>
      <c r="I181" s="16">
        <v>0</v>
      </c>
      <c r="J181" s="15">
        <v>12622.3</v>
      </c>
      <c r="K181" s="17">
        <v>240</v>
      </c>
      <c r="L181" s="16">
        <v>18909.400000000001</v>
      </c>
      <c r="M181" s="3">
        <f t="shared" si="6"/>
        <v>347973.13000000006</v>
      </c>
      <c r="N181" s="15" t="s">
        <v>512</v>
      </c>
      <c r="O181" s="16">
        <v>4</v>
      </c>
      <c r="P181" s="15">
        <v>14.7</v>
      </c>
      <c r="Q181" s="16">
        <v>0</v>
      </c>
      <c r="R181" s="15">
        <v>4618.55</v>
      </c>
      <c r="S181" s="16">
        <v>0</v>
      </c>
      <c r="T181" s="15">
        <v>0</v>
      </c>
      <c r="U181" s="16">
        <v>480</v>
      </c>
      <c r="V181" s="15">
        <v>0</v>
      </c>
      <c r="W181" s="16">
        <v>0</v>
      </c>
      <c r="X181" s="2">
        <f t="shared" si="7"/>
        <v>353090.38000000006</v>
      </c>
      <c r="Y181" s="18">
        <v>7590</v>
      </c>
      <c r="Z181" s="25"/>
      <c r="AA181" s="18">
        <v>6321.5</v>
      </c>
      <c r="AB181" s="25"/>
      <c r="AC181" s="18">
        <v>13088.5</v>
      </c>
      <c r="AD181" s="25"/>
      <c r="AE181" s="18"/>
      <c r="AF181" s="25"/>
      <c r="AG181" s="18"/>
      <c r="AH181" s="25"/>
      <c r="AI181" s="18"/>
      <c r="AJ181" s="25"/>
      <c r="AK181" s="18"/>
      <c r="AL181" s="68">
        <f t="shared" si="8"/>
        <v>27000</v>
      </c>
      <c r="AM181" s="33">
        <v>75.599999999999994</v>
      </c>
      <c r="AN181" s="34">
        <v>126</v>
      </c>
      <c r="AO181" s="16">
        <v>-0.77</v>
      </c>
      <c r="AP181" s="25"/>
      <c r="AQ181" s="16">
        <v>0</v>
      </c>
      <c r="AR181" s="64">
        <v>1</v>
      </c>
      <c r="AS181" s="35"/>
      <c r="AT181" s="35"/>
      <c r="AU181" s="40"/>
      <c r="AV181" s="40"/>
      <c r="AW181" s="41"/>
      <c r="AX181" s="23"/>
      <c r="AZ181" s="40"/>
      <c r="BA181" s="40"/>
      <c r="BB181" s="41"/>
      <c r="BC181" s="42"/>
      <c r="BD181" s="42"/>
      <c r="BE181" s="42"/>
      <c r="BF181" s="42"/>
      <c r="BG181" s="42"/>
      <c r="BI181" s="38"/>
      <c r="BJ181" s="39"/>
      <c r="BK181" s="38"/>
      <c r="BL181" s="38"/>
      <c r="BM181" s="38"/>
    </row>
    <row r="182" spans="1:65" x14ac:dyDescent="0.25">
      <c r="A182" s="13">
        <v>5690</v>
      </c>
      <c r="B182" s="14" t="s">
        <v>144</v>
      </c>
      <c r="C182" s="16">
        <v>188320.4</v>
      </c>
      <c r="D182" s="15">
        <v>34147.85</v>
      </c>
      <c r="E182" s="16">
        <v>0</v>
      </c>
      <c r="F182" s="15">
        <v>890</v>
      </c>
      <c r="G182" s="16">
        <v>812.1</v>
      </c>
      <c r="H182" s="15">
        <v>447.6</v>
      </c>
      <c r="I182" s="16">
        <v>0</v>
      </c>
      <c r="J182" s="15">
        <v>-60.29</v>
      </c>
      <c r="K182" s="17">
        <v>184</v>
      </c>
      <c r="L182" s="16">
        <v>27175.05</v>
      </c>
      <c r="M182" s="3">
        <f t="shared" si="6"/>
        <v>251916.71</v>
      </c>
      <c r="N182" s="15" t="s">
        <v>512</v>
      </c>
      <c r="O182" s="16" t="s">
        <v>512</v>
      </c>
      <c r="P182" s="15">
        <v>132</v>
      </c>
      <c r="Q182" s="16">
        <v>0</v>
      </c>
      <c r="R182" s="15">
        <v>362.5</v>
      </c>
      <c r="S182" s="16">
        <v>0</v>
      </c>
      <c r="T182" s="15">
        <v>0</v>
      </c>
      <c r="U182" s="16">
        <v>575</v>
      </c>
      <c r="V182" s="15">
        <v>0</v>
      </c>
      <c r="W182" s="16">
        <v>0</v>
      </c>
      <c r="X182" s="2">
        <f t="shared" si="7"/>
        <v>252986.21</v>
      </c>
      <c r="Y182" s="18"/>
      <c r="Z182" s="25"/>
      <c r="AA182" s="18">
        <v>20605</v>
      </c>
      <c r="AB182" s="25"/>
      <c r="AC182" s="18">
        <v>16080.95</v>
      </c>
      <c r="AD182" s="25"/>
      <c r="AE182" s="18"/>
      <c r="AF182" s="25"/>
      <c r="AG182" s="18"/>
      <c r="AH182" s="25"/>
      <c r="AI182" s="18"/>
      <c r="AJ182" s="25"/>
      <c r="AK182" s="18"/>
      <c r="AL182" s="68">
        <f t="shared" si="8"/>
        <v>36685.949999999997</v>
      </c>
      <c r="AM182" s="33">
        <v>76</v>
      </c>
      <c r="AN182" s="34">
        <v>153</v>
      </c>
      <c r="AO182" s="16">
        <v>-3984.79</v>
      </c>
      <c r="AP182" s="25"/>
      <c r="AQ182" s="16">
        <v>0</v>
      </c>
      <c r="AR182" s="64">
        <v>1.5</v>
      </c>
      <c r="AS182" s="35"/>
      <c r="AT182" s="35"/>
      <c r="AU182" s="40"/>
      <c r="AV182" s="40"/>
      <c r="AW182" s="41"/>
      <c r="AX182" s="23"/>
      <c r="AZ182" s="40"/>
      <c r="BA182" s="40"/>
      <c r="BB182" s="41"/>
      <c r="BC182" s="42"/>
      <c r="BD182" s="42"/>
      <c r="BE182" s="42"/>
      <c r="BF182" s="42"/>
      <c r="BG182" s="42"/>
      <c r="BI182" s="38"/>
      <c r="BJ182" s="39"/>
      <c r="BK182" s="38"/>
      <c r="BL182" s="38"/>
      <c r="BM182" s="38"/>
    </row>
    <row r="183" spans="1:65" x14ac:dyDescent="0.25">
      <c r="A183" s="13">
        <v>5692</v>
      </c>
      <c r="B183" s="14" t="s">
        <v>145</v>
      </c>
      <c r="C183" s="16">
        <v>1088886.08</v>
      </c>
      <c r="D183" s="15">
        <v>92196.72</v>
      </c>
      <c r="E183" s="16">
        <v>0</v>
      </c>
      <c r="F183" s="15">
        <v>0</v>
      </c>
      <c r="G183" s="16">
        <v>2929</v>
      </c>
      <c r="H183" s="15">
        <v>112.95</v>
      </c>
      <c r="I183" s="16">
        <v>0</v>
      </c>
      <c r="J183" s="15">
        <v>8307.0300000000007</v>
      </c>
      <c r="K183" s="17">
        <v>310</v>
      </c>
      <c r="L183" s="16">
        <v>79152.149999999994</v>
      </c>
      <c r="M183" s="3">
        <f t="shared" si="6"/>
        <v>1271893.93</v>
      </c>
      <c r="N183" s="15">
        <v>9598.6</v>
      </c>
      <c r="O183" s="16" t="s">
        <v>512</v>
      </c>
      <c r="P183" s="15">
        <v>9515</v>
      </c>
      <c r="Q183" s="16">
        <v>6191.44</v>
      </c>
      <c r="R183" s="15">
        <v>33919.699999999997</v>
      </c>
      <c r="S183" s="16">
        <v>30</v>
      </c>
      <c r="T183" s="15">
        <v>450</v>
      </c>
      <c r="U183" s="16">
        <v>6050</v>
      </c>
      <c r="V183" s="15">
        <v>0</v>
      </c>
      <c r="W183" s="16">
        <v>0</v>
      </c>
      <c r="X183" s="2">
        <f t="shared" si="7"/>
        <v>1337648.67</v>
      </c>
      <c r="Y183" s="18">
        <v>11089.95</v>
      </c>
      <c r="Z183" s="25"/>
      <c r="AA183" s="18">
        <v>70490</v>
      </c>
      <c r="AB183" s="25"/>
      <c r="AC183" s="18">
        <v>32399.95</v>
      </c>
      <c r="AD183" s="25">
        <v>10775.1</v>
      </c>
      <c r="AE183" s="18"/>
      <c r="AF183" s="25"/>
      <c r="AG183" s="18"/>
      <c r="AH183" s="25"/>
      <c r="AI183" s="18"/>
      <c r="AJ183" s="25">
        <v>4000</v>
      </c>
      <c r="AK183" s="18"/>
      <c r="AL183" s="68">
        <f t="shared" si="8"/>
        <v>128755</v>
      </c>
      <c r="AM183" s="33">
        <v>79</v>
      </c>
      <c r="AN183" s="34">
        <v>532</v>
      </c>
      <c r="AO183" s="16">
        <v>-14667.75</v>
      </c>
      <c r="AP183" s="25"/>
      <c r="AQ183" s="16">
        <v>-20.98</v>
      </c>
      <c r="AR183" s="64">
        <v>1</v>
      </c>
      <c r="AS183" s="35"/>
      <c r="AT183" s="35"/>
      <c r="AU183" s="40"/>
      <c r="AV183" s="40"/>
      <c r="AW183" s="41"/>
      <c r="AX183" s="23"/>
      <c r="AZ183" s="40"/>
      <c r="BA183" s="40"/>
      <c r="BB183" s="41"/>
      <c r="BC183" s="42"/>
      <c r="BD183" s="42"/>
      <c r="BE183" s="42"/>
      <c r="BF183" s="42"/>
      <c r="BG183" s="42"/>
      <c r="BI183" s="38"/>
      <c r="BJ183" s="39"/>
      <c r="BK183" s="38"/>
      <c r="BL183" s="38"/>
      <c r="BM183" s="38"/>
    </row>
    <row r="184" spans="1:65" x14ac:dyDescent="0.25">
      <c r="A184" s="13">
        <v>5693</v>
      </c>
      <c r="B184" s="14" t="s">
        <v>511</v>
      </c>
      <c r="C184" s="16">
        <v>3518801.97</v>
      </c>
      <c r="D184" s="15">
        <v>341471.93</v>
      </c>
      <c r="E184" s="16">
        <v>0</v>
      </c>
      <c r="F184" s="15">
        <v>0</v>
      </c>
      <c r="G184" s="16">
        <v>151283.45000000001</v>
      </c>
      <c r="H184" s="15">
        <v>89.6</v>
      </c>
      <c r="I184" s="16">
        <v>0</v>
      </c>
      <c r="J184" s="15">
        <v>51685.29</v>
      </c>
      <c r="K184" s="17">
        <v>2982.5</v>
      </c>
      <c r="L184" s="16">
        <v>295532.95</v>
      </c>
      <c r="M184" s="3">
        <f t="shared" si="6"/>
        <v>4361847.6900000004</v>
      </c>
      <c r="N184" s="15">
        <v>8948.9500000000007</v>
      </c>
      <c r="O184" s="16">
        <v>6697.1</v>
      </c>
      <c r="P184" s="15">
        <v>134871.54999999999</v>
      </c>
      <c r="Q184" s="16">
        <v>1983.24</v>
      </c>
      <c r="R184" s="15">
        <v>151722.45000000001</v>
      </c>
      <c r="S184" s="16">
        <v>662.5</v>
      </c>
      <c r="T184" s="15">
        <v>0</v>
      </c>
      <c r="U184" s="16">
        <v>14680</v>
      </c>
      <c r="V184" s="15">
        <v>0</v>
      </c>
      <c r="W184" s="16">
        <v>0</v>
      </c>
      <c r="X184" s="2">
        <f t="shared" si="7"/>
        <v>4681413.4800000004</v>
      </c>
      <c r="Y184" s="18">
        <v>79287.5</v>
      </c>
      <c r="Z184" s="25"/>
      <c r="AA184" s="18">
        <v>274520.25</v>
      </c>
      <c r="AB184" s="25"/>
      <c r="AC184" s="18">
        <v>125686.25</v>
      </c>
      <c r="AD184" s="25">
        <v>30194.6</v>
      </c>
      <c r="AE184" s="18"/>
      <c r="AF184" s="25"/>
      <c r="AG184" s="18"/>
      <c r="AH184" s="25">
        <v>30300.85</v>
      </c>
      <c r="AI184" s="18"/>
      <c r="AJ184" s="25"/>
      <c r="AK184" s="18"/>
      <c r="AL184" s="68">
        <f t="shared" si="8"/>
        <v>539989.44999999995</v>
      </c>
      <c r="AM184" s="33">
        <v>72</v>
      </c>
      <c r="AN184" s="34">
        <v>2436</v>
      </c>
      <c r="AO184" s="16">
        <v>-110513.88</v>
      </c>
      <c r="AP184" s="25">
        <v>-21.98</v>
      </c>
      <c r="AQ184" s="16"/>
      <c r="AR184" s="64">
        <v>1</v>
      </c>
      <c r="AS184" s="35"/>
      <c r="AT184" s="35"/>
      <c r="AU184" s="40"/>
      <c r="AV184" s="40"/>
      <c r="AW184" s="41"/>
      <c r="AX184" s="23"/>
      <c r="AZ184" s="40"/>
      <c r="BA184" s="40"/>
      <c r="BB184" s="41"/>
      <c r="BC184" s="42"/>
      <c r="BD184" s="42"/>
      <c r="BE184" s="42"/>
      <c r="BF184" s="42"/>
      <c r="BG184" s="42"/>
      <c r="BI184" s="38"/>
      <c r="BJ184" s="39"/>
      <c r="BK184" s="38"/>
      <c r="BL184" s="38"/>
      <c r="BM184" s="38"/>
    </row>
    <row r="185" spans="1:65" x14ac:dyDescent="0.25">
      <c r="A185" s="13">
        <v>5701</v>
      </c>
      <c r="B185" s="14" t="s">
        <v>146</v>
      </c>
      <c r="C185" s="16">
        <v>653601.43999999994</v>
      </c>
      <c r="D185" s="15">
        <v>118667.43</v>
      </c>
      <c r="E185" s="16">
        <v>0</v>
      </c>
      <c r="F185" s="15">
        <v>0</v>
      </c>
      <c r="G185" s="16">
        <v>17141.3</v>
      </c>
      <c r="H185" s="15">
        <v>39</v>
      </c>
      <c r="I185" s="16">
        <v>56595.75</v>
      </c>
      <c r="J185" s="15">
        <v>5010.6099999999997</v>
      </c>
      <c r="K185" s="17">
        <v>16</v>
      </c>
      <c r="L185" s="16">
        <v>62897.4</v>
      </c>
      <c r="M185" s="3">
        <f t="shared" si="6"/>
        <v>913968.92999999993</v>
      </c>
      <c r="N185" s="15">
        <v>599.70000000000005</v>
      </c>
      <c r="O185" s="16" t="s">
        <v>512</v>
      </c>
      <c r="P185" s="15">
        <v>188.2</v>
      </c>
      <c r="Q185" s="16">
        <v>0</v>
      </c>
      <c r="R185" s="15">
        <v>35950.9</v>
      </c>
      <c r="S185" s="16">
        <v>0</v>
      </c>
      <c r="T185" s="15">
        <v>0</v>
      </c>
      <c r="U185" s="16">
        <v>550</v>
      </c>
      <c r="V185" s="15">
        <v>0</v>
      </c>
      <c r="W185" s="16">
        <v>0</v>
      </c>
      <c r="X185" s="2">
        <f t="shared" si="7"/>
        <v>951257.72999999986</v>
      </c>
      <c r="Y185" s="18">
        <v>14102.9</v>
      </c>
      <c r="Z185" s="25"/>
      <c r="AA185" s="18">
        <v>20987.95</v>
      </c>
      <c r="AB185" s="25"/>
      <c r="AC185" s="18">
        <v>18693</v>
      </c>
      <c r="AD185" s="25">
        <v>350</v>
      </c>
      <c r="AE185" s="18"/>
      <c r="AF185" s="25"/>
      <c r="AG185" s="18"/>
      <c r="AH185" s="25"/>
      <c r="AI185" s="18"/>
      <c r="AJ185" s="25"/>
      <c r="AK185" s="18"/>
      <c r="AL185" s="68">
        <f t="shared" si="8"/>
        <v>54133.85</v>
      </c>
      <c r="AM185" s="33">
        <v>63</v>
      </c>
      <c r="AN185" s="34">
        <v>190</v>
      </c>
      <c r="AO185" s="16">
        <v>-5185.51</v>
      </c>
      <c r="AP185" s="25"/>
      <c r="AQ185" s="16">
        <v>-36.81</v>
      </c>
      <c r="AR185" s="64">
        <v>1</v>
      </c>
      <c r="AS185" s="35"/>
      <c r="AT185" s="35"/>
      <c r="AU185" s="40"/>
      <c r="AV185" s="40"/>
      <c r="AW185" s="41"/>
      <c r="AX185" s="23"/>
      <c r="AZ185" s="40"/>
      <c r="BA185" s="40"/>
      <c r="BB185" s="41"/>
      <c r="BC185" s="42"/>
      <c r="BD185" s="42"/>
      <c r="BE185" s="42"/>
      <c r="BF185" s="42"/>
      <c r="BG185" s="42"/>
      <c r="BI185" s="38"/>
      <c r="BJ185" s="39"/>
      <c r="BK185" s="38"/>
      <c r="BL185" s="38"/>
      <c r="BM185" s="38"/>
    </row>
    <row r="186" spans="1:65" x14ac:dyDescent="0.25">
      <c r="A186" s="13">
        <v>5702</v>
      </c>
      <c r="B186" s="14" t="s">
        <v>510</v>
      </c>
      <c r="C186" s="16">
        <v>5872610.5800000001</v>
      </c>
      <c r="D186" s="15">
        <v>826317.28</v>
      </c>
      <c r="E186" s="16">
        <v>0</v>
      </c>
      <c r="F186" s="15">
        <v>0</v>
      </c>
      <c r="G186" s="16">
        <v>84631.05</v>
      </c>
      <c r="H186" s="15">
        <v>9608.6</v>
      </c>
      <c r="I186" s="16">
        <v>475691.88</v>
      </c>
      <c r="J186" s="15">
        <v>135746.99</v>
      </c>
      <c r="K186" s="17">
        <v>9605</v>
      </c>
      <c r="L186" s="16">
        <v>848728.55</v>
      </c>
      <c r="M186" s="3">
        <f t="shared" si="6"/>
        <v>8262939.9299999997</v>
      </c>
      <c r="N186" s="15">
        <v>58335.3</v>
      </c>
      <c r="O186" s="16">
        <v>146893.79999999999</v>
      </c>
      <c r="P186" s="15">
        <v>342395.25</v>
      </c>
      <c r="Q186" s="16">
        <v>15224.72</v>
      </c>
      <c r="R186" s="15">
        <v>234658.7</v>
      </c>
      <c r="S186" s="16">
        <v>0</v>
      </c>
      <c r="T186" s="15">
        <v>0</v>
      </c>
      <c r="U186" s="16">
        <v>22380</v>
      </c>
      <c r="V186" s="15">
        <v>0</v>
      </c>
      <c r="W186" s="16">
        <v>0</v>
      </c>
      <c r="X186" s="2">
        <f t="shared" si="7"/>
        <v>9082827.6999999993</v>
      </c>
      <c r="Y186" s="18">
        <v>133122.70000000001</v>
      </c>
      <c r="Z186" s="25"/>
      <c r="AA186" s="18">
        <v>182486.75</v>
      </c>
      <c r="AB186" s="25"/>
      <c r="AC186" s="18">
        <v>220735.35</v>
      </c>
      <c r="AD186" s="25">
        <v>266582.2</v>
      </c>
      <c r="AE186" s="18"/>
      <c r="AF186" s="25"/>
      <c r="AG186" s="18">
        <v>27172.15</v>
      </c>
      <c r="AH186" s="25"/>
      <c r="AI186" s="18"/>
      <c r="AJ186" s="25"/>
      <c r="AK186" s="18"/>
      <c r="AL186" s="68">
        <f t="shared" si="8"/>
        <v>830099.15</v>
      </c>
      <c r="AM186" s="33">
        <v>64</v>
      </c>
      <c r="AN186" s="34">
        <v>2442</v>
      </c>
      <c r="AO186" s="16">
        <v>-61354.97</v>
      </c>
      <c r="AP186" s="25"/>
      <c r="AQ186" s="16">
        <v>-3461.23</v>
      </c>
      <c r="AR186" s="64">
        <v>1.5</v>
      </c>
      <c r="AS186" s="35"/>
      <c r="AT186" s="35"/>
      <c r="AU186" s="40"/>
      <c r="AV186" s="40"/>
      <c r="AW186" s="41"/>
      <c r="AX186" s="23"/>
      <c r="AZ186" s="40"/>
      <c r="BA186" s="40"/>
      <c r="BB186" s="41"/>
      <c r="BC186" s="42"/>
      <c r="BD186" s="42"/>
      <c r="BE186" s="42"/>
      <c r="BF186" s="42"/>
      <c r="BG186" s="42"/>
      <c r="BI186" s="38"/>
      <c r="BJ186" s="39"/>
      <c r="BK186" s="38"/>
      <c r="BL186" s="38"/>
      <c r="BM186" s="38"/>
    </row>
    <row r="187" spans="1:65" x14ac:dyDescent="0.25">
      <c r="A187" s="13">
        <v>5703</v>
      </c>
      <c r="B187" s="14" t="s">
        <v>147</v>
      </c>
      <c r="C187" s="16">
        <v>3006453.02</v>
      </c>
      <c r="D187" s="15">
        <v>302260.53000000003</v>
      </c>
      <c r="E187" s="16">
        <v>0</v>
      </c>
      <c r="F187" s="15">
        <v>0</v>
      </c>
      <c r="G187" s="16">
        <v>-1517</v>
      </c>
      <c r="H187" s="15">
        <v>1716.7</v>
      </c>
      <c r="I187" s="16">
        <v>75856.3</v>
      </c>
      <c r="J187" s="15">
        <v>47027.1</v>
      </c>
      <c r="K187" s="17">
        <v>-41</v>
      </c>
      <c r="L187" s="16">
        <v>263355.90000000002</v>
      </c>
      <c r="M187" s="3">
        <f t="shared" si="6"/>
        <v>3695111.55</v>
      </c>
      <c r="N187" s="15">
        <v>34327.199999999997</v>
      </c>
      <c r="O187" s="16">
        <v>14092.6</v>
      </c>
      <c r="P187" s="15">
        <v>189785.7</v>
      </c>
      <c r="Q187" s="16">
        <v>3792.95</v>
      </c>
      <c r="R187" s="15">
        <v>155556.9</v>
      </c>
      <c r="S187" s="16">
        <v>125</v>
      </c>
      <c r="T187" s="15">
        <v>0</v>
      </c>
      <c r="U187" s="16">
        <v>6650</v>
      </c>
      <c r="V187" s="15">
        <v>0</v>
      </c>
      <c r="W187" s="16">
        <v>0</v>
      </c>
      <c r="X187" s="2">
        <f t="shared" si="7"/>
        <v>4099441.9000000004</v>
      </c>
      <c r="Y187" s="18">
        <v>15084.5</v>
      </c>
      <c r="Z187" s="25"/>
      <c r="AA187" s="18">
        <v>158908</v>
      </c>
      <c r="AB187" s="25"/>
      <c r="AC187" s="18">
        <v>76332.95</v>
      </c>
      <c r="AD187" s="25">
        <v>17403.25</v>
      </c>
      <c r="AE187" s="18"/>
      <c r="AF187" s="25"/>
      <c r="AG187" s="18"/>
      <c r="AH187" s="25"/>
      <c r="AI187" s="18"/>
      <c r="AJ187" s="25"/>
      <c r="AK187" s="18"/>
      <c r="AL187" s="68">
        <f t="shared" si="8"/>
        <v>267728.7</v>
      </c>
      <c r="AM187" s="33">
        <v>70</v>
      </c>
      <c r="AN187" s="34">
        <v>1318</v>
      </c>
      <c r="AO187" s="16">
        <v>-11133.79</v>
      </c>
      <c r="AP187" s="25"/>
      <c r="AQ187" s="16">
        <v>-117.6</v>
      </c>
      <c r="AR187" s="64">
        <v>1</v>
      </c>
      <c r="AS187" s="35"/>
      <c r="AT187" s="35"/>
      <c r="AU187" s="40"/>
      <c r="AV187" s="40"/>
      <c r="AW187" s="41"/>
      <c r="AX187" s="23"/>
      <c r="AZ187" s="40"/>
      <c r="BA187" s="40"/>
      <c r="BB187" s="41"/>
      <c r="BC187" s="42"/>
      <c r="BD187" s="42"/>
      <c r="BE187" s="42"/>
      <c r="BF187" s="42"/>
      <c r="BG187" s="42"/>
      <c r="BI187" s="38"/>
      <c r="BJ187" s="39"/>
      <c r="BK187" s="38"/>
      <c r="BL187" s="38"/>
      <c r="BM187" s="38"/>
    </row>
    <row r="188" spans="1:65" x14ac:dyDescent="0.25">
      <c r="A188" s="13">
        <v>5704</v>
      </c>
      <c r="B188" s="14" t="s">
        <v>259</v>
      </c>
      <c r="C188" s="16">
        <v>4344117.6500000004</v>
      </c>
      <c r="D188" s="15">
        <v>1672214.26</v>
      </c>
      <c r="E188" s="16">
        <v>0</v>
      </c>
      <c r="F188" s="15">
        <v>0</v>
      </c>
      <c r="G188" s="16">
        <v>79957.149999999994</v>
      </c>
      <c r="H188" s="15">
        <v>6344.75</v>
      </c>
      <c r="I188" s="16">
        <v>43189.55</v>
      </c>
      <c r="J188" s="15">
        <v>91439.22</v>
      </c>
      <c r="K188" s="17">
        <v>8994</v>
      </c>
      <c r="L188" s="16">
        <v>576458.65</v>
      </c>
      <c r="M188" s="3">
        <f t="shared" si="6"/>
        <v>6822715.2300000004</v>
      </c>
      <c r="N188" s="15">
        <v>55254.7</v>
      </c>
      <c r="O188" s="16">
        <v>7385.6</v>
      </c>
      <c r="P188" s="15">
        <v>649560.6</v>
      </c>
      <c r="Q188" s="16">
        <v>10483.870000000001</v>
      </c>
      <c r="R188" s="15">
        <v>783038.55</v>
      </c>
      <c r="S188" s="16">
        <v>93.75</v>
      </c>
      <c r="T188" s="15">
        <v>0</v>
      </c>
      <c r="U188" s="16">
        <v>8200</v>
      </c>
      <c r="V188" s="15">
        <v>0</v>
      </c>
      <c r="W188" s="16">
        <v>0</v>
      </c>
      <c r="X188" s="2">
        <f t="shared" si="7"/>
        <v>8336732.2999999998</v>
      </c>
      <c r="Y188" s="18">
        <v>139198.9</v>
      </c>
      <c r="Z188" s="25"/>
      <c r="AA188" s="18">
        <v>115795.9</v>
      </c>
      <c r="AB188" s="25"/>
      <c r="AC188" s="18">
        <v>93289.71</v>
      </c>
      <c r="AD188" s="25">
        <v>252372.79</v>
      </c>
      <c r="AE188" s="18"/>
      <c r="AF188" s="25"/>
      <c r="AG188" s="18">
        <v>10746.68</v>
      </c>
      <c r="AH188" s="25">
        <v>45683.199999999997</v>
      </c>
      <c r="AI188" s="18">
        <v>26103.68</v>
      </c>
      <c r="AJ188" s="25"/>
      <c r="AK188" s="18"/>
      <c r="AL188" s="68">
        <f t="shared" si="8"/>
        <v>683190.8600000001</v>
      </c>
      <c r="AM188" s="33">
        <v>67</v>
      </c>
      <c r="AN188" s="34">
        <v>1698</v>
      </c>
      <c r="AO188" s="16">
        <v>-32793.26</v>
      </c>
      <c r="AP188" s="25"/>
      <c r="AQ188" s="16">
        <v>-3183.17</v>
      </c>
      <c r="AR188" s="64">
        <v>1.5</v>
      </c>
      <c r="AS188" s="35"/>
      <c r="AT188" s="35"/>
      <c r="AU188" s="40"/>
      <c r="AV188" s="40"/>
      <c r="AW188" s="41"/>
      <c r="AX188" s="23"/>
      <c r="AZ188" s="40"/>
      <c r="BA188" s="40"/>
      <c r="BB188" s="41"/>
      <c r="BC188" s="42"/>
      <c r="BD188" s="42"/>
      <c r="BE188" s="42"/>
      <c r="BF188" s="42"/>
      <c r="BG188" s="42"/>
      <c r="BI188" s="38"/>
      <c r="BJ188" s="39"/>
      <c r="BK188" s="38"/>
      <c r="BL188" s="38"/>
      <c r="BM188" s="38"/>
    </row>
    <row r="189" spans="1:65" x14ac:dyDescent="0.25">
      <c r="A189" s="13">
        <v>5705</v>
      </c>
      <c r="B189" s="14" t="s">
        <v>260</v>
      </c>
      <c r="C189" s="16">
        <v>2095082.66</v>
      </c>
      <c r="D189" s="15">
        <v>328691.25</v>
      </c>
      <c r="E189" s="16">
        <v>0</v>
      </c>
      <c r="F189" s="15">
        <v>0</v>
      </c>
      <c r="G189" s="16">
        <v>34832.6</v>
      </c>
      <c r="H189" s="15">
        <v>322.25</v>
      </c>
      <c r="I189" s="16">
        <v>20073.95</v>
      </c>
      <c r="J189" s="15">
        <v>111635.05</v>
      </c>
      <c r="K189" s="17">
        <v>6516.5</v>
      </c>
      <c r="L189" s="16">
        <v>193742.9</v>
      </c>
      <c r="M189" s="3">
        <f t="shared" si="6"/>
        <v>2790897.16</v>
      </c>
      <c r="N189" s="15">
        <v>23316.55</v>
      </c>
      <c r="O189" s="16" t="s">
        <v>512</v>
      </c>
      <c r="P189" s="15">
        <v>91970.25</v>
      </c>
      <c r="Q189" s="16">
        <v>561.47</v>
      </c>
      <c r="R189" s="15">
        <v>61936.45</v>
      </c>
      <c r="S189" s="16">
        <v>0</v>
      </c>
      <c r="T189" s="15">
        <v>0</v>
      </c>
      <c r="U189" s="16">
        <v>2070</v>
      </c>
      <c r="V189" s="15">
        <v>0</v>
      </c>
      <c r="W189" s="16">
        <v>0</v>
      </c>
      <c r="X189" s="2">
        <f t="shared" si="7"/>
        <v>2970751.8800000004</v>
      </c>
      <c r="Y189" s="18">
        <v>8473.15</v>
      </c>
      <c r="Z189" s="25"/>
      <c r="AA189" s="18">
        <v>55893.9</v>
      </c>
      <c r="AB189" s="25"/>
      <c r="AC189" s="18"/>
      <c r="AD189" s="25"/>
      <c r="AE189" s="18"/>
      <c r="AF189" s="25"/>
      <c r="AG189" s="18"/>
      <c r="AH189" s="25"/>
      <c r="AI189" s="18"/>
      <c r="AJ189" s="25"/>
      <c r="AK189" s="18"/>
      <c r="AL189" s="68">
        <f t="shared" si="8"/>
        <v>64367.05</v>
      </c>
      <c r="AM189" s="33">
        <v>64</v>
      </c>
      <c r="AN189" s="34">
        <v>830</v>
      </c>
      <c r="AO189" s="16">
        <v>-7070.94</v>
      </c>
      <c r="AP189" s="25"/>
      <c r="AQ189" s="16">
        <v>-2451.1799999999998</v>
      </c>
      <c r="AR189" s="64">
        <v>1</v>
      </c>
      <c r="AS189" s="35"/>
      <c r="AT189" s="35"/>
      <c r="AU189" s="40"/>
      <c r="AV189" s="40"/>
      <c r="AW189" s="41"/>
      <c r="AX189" s="23"/>
      <c r="AZ189" s="40"/>
      <c r="BA189" s="40"/>
      <c r="BB189" s="41"/>
      <c r="BC189" s="42"/>
      <c r="BD189" s="42"/>
      <c r="BE189" s="42"/>
      <c r="BF189" s="42"/>
      <c r="BG189" s="42"/>
      <c r="BI189" s="38"/>
      <c r="BJ189" s="39"/>
      <c r="BK189" s="38"/>
      <c r="BL189" s="38"/>
      <c r="BM189" s="38"/>
    </row>
    <row r="190" spans="1:65" x14ac:dyDescent="0.25">
      <c r="A190" s="13">
        <v>5706</v>
      </c>
      <c r="B190" s="14" t="s">
        <v>261</v>
      </c>
      <c r="C190" s="16">
        <v>4215428.05</v>
      </c>
      <c r="D190" s="15">
        <v>694846.47</v>
      </c>
      <c r="E190" s="16">
        <v>0</v>
      </c>
      <c r="F190" s="15">
        <v>0</v>
      </c>
      <c r="G190" s="16">
        <v>8893.35</v>
      </c>
      <c r="H190" s="15">
        <v>109.2</v>
      </c>
      <c r="I190" s="16">
        <v>91992.6</v>
      </c>
      <c r="J190" s="15">
        <v>73512.759999999995</v>
      </c>
      <c r="K190" s="17">
        <v>4102.5</v>
      </c>
      <c r="L190" s="16">
        <v>322392.90000000002</v>
      </c>
      <c r="M190" s="3">
        <f t="shared" si="6"/>
        <v>5411277.8299999991</v>
      </c>
      <c r="N190" s="15">
        <v>13308.1</v>
      </c>
      <c r="O190" s="16">
        <v>23005.1</v>
      </c>
      <c r="P190" s="15">
        <v>114540.25</v>
      </c>
      <c r="Q190" s="16">
        <v>1984.5</v>
      </c>
      <c r="R190" s="15">
        <v>260114.2</v>
      </c>
      <c r="S190" s="16">
        <v>0</v>
      </c>
      <c r="T190" s="15">
        <v>80</v>
      </c>
      <c r="U190" s="16">
        <v>3100</v>
      </c>
      <c r="V190" s="15">
        <v>0</v>
      </c>
      <c r="W190" s="16">
        <v>0</v>
      </c>
      <c r="X190" s="2">
        <f t="shared" si="7"/>
        <v>5827409.9799999986</v>
      </c>
      <c r="Y190" s="18">
        <v>11636.4</v>
      </c>
      <c r="Z190" s="25"/>
      <c r="AA190" s="18">
        <v>126411.76</v>
      </c>
      <c r="AB190" s="25"/>
      <c r="AC190" s="18">
        <v>69399.75</v>
      </c>
      <c r="AD190" s="25"/>
      <c r="AE190" s="18"/>
      <c r="AF190" s="25"/>
      <c r="AG190" s="18">
        <v>140</v>
      </c>
      <c r="AH190" s="25">
        <v>33473.15</v>
      </c>
      <c r="AI190" s="18"/>
      <c r="AJ190" s="25"/>
      <c r="AK190" s="18"/>
      <c r="AL190" s="68">
        <f t="shared" si="8"/>
        <v>241061.06</v>
      </c>
      <c r="AM190" s="33">
        <v>57</v>
      </c>
      <c r="AN190" s="34">
        <v>919</v>
      </c>
      <c r="AO190" s="16">
        <v>-5544.51</v>
      </c>
      <c r="AP190" s="25"/>
      <c r="AQ190" s="16">
        <v>-2763.51</v>
      </c>
      <c r="AR190" s="64">
        <v>1.5</v>
      </c>
      <c r="AS190" s="35"/>
      <c r="AT190" s="35"/>
      <c r="AU190" s="40"/>
      <c r="AV190" s="40"/>
      <c r="AW190" s="41"/>
      <c r="AX190" s="23"/>
      <c r="AZ190" s="40"/>
      <c r="BA190" s="40"/>
      <c r="BB190" s="41"/>
      <c r="BC190" s="42"/>
      <c r="BD190" s="42"/>
      <c r="BE190" s="42"/>
      <c r="BF190" s="42"/>
      <c r="BG190" s="42"/>
      <c r="BI190" s="38"/>
      <c r="BJ190" s="39"/>
      <c r="BK190" s="38"/>
      <c r="BL190" s="38"/>
      <c r="BM190" s="38"/>
    </row>
    <row r="191" spans="1:65" x14ac:dyDescent="0.25">
      <c r="A191" s="13">
        <v>5707</v>
      </c>
      <c r="B191" s="14" t="s">
        <v>262</v>
      </c>
      <c r="C191" s="16">
        <v>4325875.1900000004</v>
      </c>
      <c r="D191" s="15">
        <v>478286.55</v>
      </c>
      <c r="E191" s="16">
        <v>0</v>
      </c>
      <c r="F191" s="15">
        <v>0</v>
      </c>
      <c r="G191" s="16">
        <v>530224.9</v>
      </c>
      <c r="H191" s="15">
        <v>4516.05</v>
      </c>
      <c r="I191" s="16">
        <v>72353.399999999994</v>
      </c>
      <c r="J191" s="15">
        <v>-87178.94</v>
      </c>
      <c r="K191" s="17">
        <v>67210</v>
      </c>
      <c r="L191" s="16">
        <v>600086.80000000005</v>
      </c>
      <c r="M191" s="3">
        <f t="shared" si="6"/>
        <v>5991373.9500000002</v>
      </c>
      <c r="N191" s="15">
        <v>500588.3</v>
      </c>
      <c r="O191" s="16" t="s">
        <v>512</v>
      </c>
      <c r="P191" s="15">
        <v>219633.4</v>
      </c>
      <c r="Q191" s="16">
        <v>9931.39</v>
      </c>
      <c r="R191" s="15">
        <v>104649.5</v>
      </c>
      <c r="S191" s="16">
        <v>562.6</v>
      </c>
      <c r="T191" s="15">
        <v>0</v>
      </c>
      <c r="U191" s="16">
        <v>3750</v>
      </c>
      <c r="V191" s="15">
        <v>0</v>
      </c>
      <c r="W191" s="16">
        <v>0</v>
      </c>
      <c r="X191" s="2">
        <f t="shared" si="7"/>
        <v>6830489.1399999997</v>
      </c>
      <c r="Y191" s="18">
        <v>35911</v>
      </c>
      <c r="Z191" s="25"/>
      <c r="AA191" s="18">
        <v>170227.49</v>
      </c>
      <c r="AB191" s="25"/>
      <c r="AC191" s="18">
        <v>124005.9</v>
      </c>
      <c r="AD191" s="25"/>
      <c r="AE191" s="18"/>
      <c r="AF191" s="25"/>
      <c r="AG191" s="18">
        <v>178668</v>
      </c>
      <c r="AH191" s="25">
        <v>118531.6</v>
      </c>
      <c r="AI191" s="18"/>
      <c r="AJ191" s="25"/>
      <c r="AK191" s="18"/>
      <c r="AL191" s="68">
        <f t="shared" si="8"/>
        <v>627343.99</v>
      </c>
      <c r="AM191" s="33">
        <v>59</v>
      </c>
      <c r="AN191" s="34">
        <v>1125</v>
      </c>
      <c r="AO191" s="16">
        <v>-18155.72</v>
      </c>
      <c r="AP191" s="25"/>
      <c r="AQ191" s="16">
        <v>-1124.02</v>
      </c>
      <c r="AR191" s="64">
        <v>1.5</v>
      </c>
      <c r="AS191" s="35"/>
      <c r="AT191" s="35"/>
      <c r="AU191" s="40"/>
      <c r="AV191" s="40"/>
      <c r="AW191" s="41"/>
      <c r="AX191" s="23"/>
      <c r="AZ191" s="40"/>
      <c r="BA191" s="40"/>
      <c r="BB191" s="41"/>
      <c r="BC191" s="42"/>
      <c r="BD191" s="42"/>
      <c r="BE191" s="42"/>
      <c r="BF191" s="42"/>
      <c r="BG191" s="42"/>
      <c r="BI191" s="38"/>
      <c r="BJ191" s="39"/>
      <c r="BK191" s="38"/>
      <c r="BL191" s="38"/>
      <c r="BM191" s="38"/>
    </row>
    <row r="192" spans="1:65" x14ac:dyDescent="0.25">
      <c r="A192" s="13">
        <v>5708</v>
      </c>
      <c r="B192" s="14" t="s">
        <v>263</v>
      </c>
      <c r="C192" s="16">
        <v>2979728.7</v>
      </c>
      <c r="D192" s="15">
        <v>266717.21999999997</v>
      </c>
      <c r="E192" s="16">
        <v>0</v>
      </c>
      <c r="F192" s="15">
        <v>0</v>
      </c>
      <c r="G192" s="16">
        <v>12601</v>
      </c>
      <c r="H192" s="15">
        <v>1394.3</v>
      </c>
      <c r="I192" s="16">
        <v>40576.9</v>
      </c>
      <c r="J192" s="15">
        <v>138930.4</v>
      </c>
      <c r="K192" s="17">
        <v>13405</v>
      </c>
      <c r="L192" s="16">
        <v>339000.9</v>
      </c>
      <c r="M192" s="3">
        <f t="shared" si="6"/>
        <v>3792354.4199999995</v>
      </c>
      <c r="N192" s="15">
        <v>3614.65</v>
      </c>
      <c r="O192" s="16" t="s">
        <v>512</v>
      </c>
      <c r="P192" s="15">
        <v>115192.15</v>
      </c>
      <c r="Q192" s="16">
        <v>0</v>
      </c>
      <c r="R192" s="15">
        <v>181147</v>
      </c>
      <c r="S192" s="16">
        <v>0</v>
      </c>
      <c r="T192" s="15">
        <v>0</v>
      </c>
      <c r="U192" s="16">
        <v>2080</v>
      </c>
      <c r="V192" s="15">
        <v>0</v>
      </c>
      <c r="W192" s="16">
        <v>0</v>
      </c>
      <c r="X192" s="2">
        <f t="shared" si="7"/>
        <v>4094388.2199999993</v>
      </c>
      <c r="Y192" s="18">
        <v>241202.5</v>
      </c>
      <c r="Z192" s="25"/>
      <c r="AA192" s="18">
        <v>69421.75</v>
      </c>
      <c r="AB192" s="25"/>
      <c r="AC192" s="18">
        <v>63336.77</v>
      </c>
      <c r="AD192" s="25"/>
      <c r="AE192" s="18"/>
      <c r="AF192" s="25"/>
      <c r="AG192" s="18"/>
      <c r="AH192" s="25"/>
      <c r="AI192" s="18"/>
      <c r="AJ192" s="25"/>
      <c r="AK192" s="18"/>
      <c r="AL192" s="68">
        <f t="shared" si="8"/>
        <v>373961.02</v>
      </c>
      <c r="AM192" s="33">
        <v>61</v>
      </c>
      <c r="AN192" s="34">
        <v>797</v>
      </c>
      <c r="AO192" s="16">
        <v>-7067.54</v>
      </c>
      <c r="AP192" s="25"/>
      <c r="AQ192" s="16">
        <v>-121.83</v>
      </c>
      <c r="AR192" s="64">
        <v>1.5</v>
      </c>
      <c r="AS192" s="35"/>
      <c r="AT192" s="35"/>
      <c r="AU192" s="40"/>
      <c r="AV192" s="40"/>
      <c r="AW192" s="41"/>
      <c r="AX192" s="23"/>
      <c r="AZ192" s="40"/>
      <c r="BA192" s="40"/>
      <c r="BB192" s="41"/>
      <c r="BC192" s="42"/>
      <c r="BD192" s="42"/>
      <c r="BE192" s="42"/>
      <c r="BF192" s="42"/>
      <c r="BG192" s="42"/>
      <c r="BI192" s="38"/>
      <c r="BJ192" s="39"/>
      <c r="BK192" s="38"/>
      <c r="BL192" s="38"/>
      <c r="BM192" s="38"/>
    </row>
    <row r="193" spans="1:65" x14ac:dyDescent="0.25">
      <c r="A193" s="13">
        <v>5709</v>
      </c>
      <c r="B193" s="14" t="s">
        <v>264</v>
      </c>
      <c r="C193" s="16">
        <v>3136495.13</v>
      </c>
      <c r="D193" s="15">
        <v>2311835.5</v>
      </c>
      <c r="E193" s="16">
        <v>0</v>
      </c>
      <c r="F193" s="15">
        <v>0</v>
      </c>
      <c r="G193" s="16">
        <v>602185.9</v>
      </c>
      <c r="H193" s="15">
        <v>1060574.6499999999</v>
      </c>
      <c r="I193" s="16">
        <v>25328.95</v>
      </c>
      <c r="J193" s="15">
        <v>169400.71</v>
      </c>
      <c r="K193" s="17">
        <v>1077</v>
      </c>
      <c r="L193" s="16">
        <v>287067.2</v>
      </c>
      <c r="M193" s="3">
        <f t="shared" si="6"/>
        <v>7593965.04</v>
      </c>
      <c r="N193" s="15">
        <v>17582.150000000001</v>
      </c>
      <c r="O193" s="16" t="s">
        <v>512</v>
      </c>
      <c r="P193" s="15">
        <v>116479.9</v>
      </c>
      <c r="Q193" s="16">
        <v>7311.68</v>
      </c>
      <c r="R193" s="15">
        <v>190672.3</v>
      </c>
      <c r="S193" s="16">
        <v>140.85</v>
      </c>
      <c r="T193" s="15">
        <v>1266.6500000000001</v>
      </c>
      <c r="U193" s="16">
        <v>8925</v>
      </c>
      <c r="V193" s="15">
        <v>0</v>
      </c>
      <c r="W193" s="16">
        <v>0</v>
      </c>
      <c r="X193" s="2">
        <f t="shared" si="7"/>
        <v>7936343.5700000003</v>
      </c>
      <c r="Y193" s="18">
        <v>69339</v>
      </c>
      <c r="Z193" s="25">
        <v>158290.15</v>
      </c>
      <c r="AA193" s="18">
        <v>39656</v>
      </c>
      <c r="AB193" s="25"/>
      <c r="AC193" s="18">
        <v>76414.55</v>
      </c>
      <c r="AD193" s="25"/>
      <c r="AE193" s="18"/>
      <c r="AF193" s="25"/>
      <c r="AG193" s="18">
        <v>6646.3</v>
      </c>
      <c r="AH193" s="25"/>
      <c r="AI193" s="18"/>
      <c r="AJ193" s="25"/>
      <c r="AK193" s="18"/>
      <c r="AL193" s="68">
        <f t="shared" si="8"/>
        <v>350346</v>
      </c>
      <c r="AM193" s="33">
        <v>52</v>
      </c>
      <c r="AN193" s="34">
        <v>1225</v>
      </c>
      <c r="AO193" s="16">
        <v>-10175.629999999999</v>
      </c>
      <c r="AP193" s="25"/>
      <c r="AQ193" s="16">
        <v>-770.14</v>
      </c>
      <c r="AR193" s="64">
        <v>1</v>
      </c>
      <c r="AS193" s="35"/>
      <c r="AT193" s="35"/>
      <c r="AU193" s="40"/>
      <c r="AV193" s="40"/>
      <c r="AW193" s="41"/>
      <c r="AX193" s="23"/>
      <c r="AZ193" s="40"/>
      <c r="BA193" s="40"/>
      <c r="BB193" s="41"/>
      <c r="BC193" s="42"/>
      <c r="BD193" s="42"/>
      <c r="BE193" s="42"/>
      <c r="BF193" s="42"/>
      <c r="BG193" s="42"/>
      <c r="BI193" s="38"/>
      <c r="BJ193" s="39"/>
      <c r="BK193" s="38"/>
      <c r="BL193" s="38"/>
      <c r="BM193" s="38"/>
    </row>
    <row r="194" spans="1:65" x14ac:dyDescent="0.25">
      <c r="A194" s="13">
        <v>5710</v>
      </c>
      <c r="B194" s="14" t="s">
        <v>265</v>
      </c>
      <c r="C194" s="16">
        <v>949481.39</v>
      </c>
      <c r="D194" s="15">
        <v>389773.4</v>
      </c>
      <c r="E194" s="16">
        <v>0</v>
      </c>
      <c r="F194" s="15">
        <v>0</v>
      </c>
      <c r="G194" s="16">
        <v>2297133.4</v>
      </c>
      <c r="H194" s="15">
        <v>288</v>
      </c>
      <c r="I194" s="16">
        <v>85756.6</v>
      </c>
      <c r="J194" s="15">
        <v>167010.85</v>
      </c>
      <c r="K194" s="17">
        <v>5016.6000000000004</v>
      </c>
      <c r="L194" s="16">
        <v>106917.2</v>
      </c>
      <c r="M194" s="3">
        <f t="shared" si="6"/>
        <v>4001377.4400000004</v>
      </c>
      <c r="N194" s="15">
        <v>30789.45</v>
      </c>
      <c r="O194" s="16"/>
      <c r="P194" s="15">
        <v>83705.8</v>
      </c>
      <c r="Q194" s="16">
        <v>4332.92</v>
      </c>
      <c r="R194" s="15">
        <v>14150.6</v>
      </c>
      <c r="S194" s="16">
        <v>62.5</v>
      </c>
      <c r="T194" s="15">
        <v>0</v>
      </c>
      <c r="U194" s="16">
        <v>0</v>
      </c>
      <c r="V194" s="15">
        <v>0</v>
      </c>
      <c r="W194" s="16">
        <v>0</v>
      </c>
      <c r="X194" s="2">
        <f t="shared" si="7"/>
        <v>4134418.7100000004</v>
      </c>
      <c r="Y194" s="18"/>
      <c r="Z194" s="25">
        <v>49546.9</v>
      </c>
      <c r="AA194" s="18">
        <v>63126.75</v>
      </c>
      <c r="AB194" s="25"/>
      <c r="AC194" s="18">
        <v>13137.05</v>
      </c>
      <c r="AD194" s="25">
        <v>47454.35</v>
      </c>
      <c r="AE194" s="18"/>
      <c r="AF194" s="25"/>
      <c r="AG194" s="18">
        <v>7467</v>
      </c>
      <c r="AH194" s="25"/>
      <c r="AI194" s="18"/>
      <c r="AJ194" s="25"/>
      <c r="AK194" s="18"/>
      <c r="AL194" s="68">
        <f t="shared" si="8"/>
        <v>180732.05</v>
      </c>
      <c r="AM194" s="33">
        <v>39</v>
      </c>
      <c r="AN194" s="34">
        <v>427</v>
      </c>
      <c r="AO194" s="16">
        <v>-3077.09</v>
      </c>
      <c r="AP194" s="25"/>
      <c r="AQ194" s="16">
        <v>-5370.89</v>
      </c>
      <c r="AR194" s="64">
        <v>1</v>
      </c>
      <c r="AS194" s="35"/>
      <c r="AT194" s="35"/>
      <c r="AU194" s="40"/>
      <c r="AV194" s="40"/>
      <c r="AW194" s="41"/>
      <c r="AX194" s="23"/>
      <c r="AZ194" s="40"/>
      <c r="BA194" s="40"/>
      <c r="BB194" s="41"/>
      <c r="BC194" s="42"/>
      <c r="BD194" s="42"/>
      <c r="BE194" s="42"/>
      <c r="BF194" s="42"/>
      <c r="BG194" s="42"/>
      <c r="BI194" s="38"/>
      <c r="BJ194" s="39"/>
      <c r="BK194" s="38"/>
      <c r="BL194" s="38"/>
      <c r="BM194" s="38"/>
    </row>
    <row r="195" spans="1:65" x14ac:dyDescent="0.25">
      <c r="A195" s="13">
        <v>5711</v>
      </c>
      <c r="B195" s="14" t="s">
        <v>266</v>
      </c>
      <c r="C195" s="16">
        <v>11132247.050000001</v>
      </c>
      <c r="D195" s="15">
        <v>1439632.02</v>
      </c>
      <c r="E195" s="16">
        <v>0</v>
      </c>
      <c r="F195" s="15">
        <v>0</v>
      </c>
      <c r="G195" s="16">
        <v>48480.45</v>
      </c>
      <c r="H195" s="15">
        <v>1393.9</v>
      </c>
      <c r="I195" s="16">
        <v>137221.47</v>
      </c>
      <c r="J195" s="15">
        <v>172165.9</v>
      </c>
      <c r="K195" s="17">
        <v>7542.5</v>
      </c>
      <c r="L195" s="16">
        <v>980342.15</v>
      </c>
      <c r="M195" s="3">
        <f t="shared" si="6"/>
        <v>13919025.440000001</v>
      </c>
      <c r="N195" s="15">
        <v>27071.55</v>
      </c>
      <c r="O195" s="16">
        <v>0</v>
      </c>
      <c r="P195" s="15">
        <v>412478.7</v>
      </c>
      <c r="Q195" s="16">
        <v>41674.400000000001</v>
      </c>
      <c r="R195" s="15">
        <v>618840.65</v>
      </c>
      <c r="S195" s="16">
        <v>62.5</v>
      </c>
      <c r="T195" s="15">
        <v>0</v>
      </c>
      <c r="U195" s="16">
        <v>16650</v>
      </c>
      <c r="V195" s="15">
        <v>0</v>
      </c>
      <c r="W195" s="16">
        <v>0</v>
      </c>
      <c r="X195" s="2">
        <f t="shared" si="7"/>
        <v>15035803.240000002</v>
      </c>
      <c r="Y195" s="18">
        <v>56073.5</v>
      </c>
      <c r="Z195" s="25"/>
      <c r="AA195" s="18">
        <v>169322.26</v>
      </c>
      <c r="AB195" s="25"/>
      <c r="AC195" s="18">
        <v>183592.52</v>
      </c>
      <c r="AD195" s="25">
        <v>74068.240000000005</v>
      </c>
      <c r="AE195" s="18"/>
      <c r="AF195" s="25"/>
      <c r="AG195" s="18">
        <v>15009</v>
      </c>
      <c r="AH195" s="25"/>
      <c r="AI195" s="18"/>
      <c r="AJ195" s="25"/>
      <c r="AK195" s="18"/>
      <c r="AL195" s="68">
        <f t="shared" si="8"/>
        <v>498065.52</v>
      </c>
      <c r="AM195" s="33">
        <v>58</v>
      </c>
      <c r="AN195" s="34">
        <v>2524</v>
      </c>
      <c r="AO195" s="16">
        <v>-28034.799999999999</v>
      </c>
      <c r="AP195" s="25"/>
      <c r="AQ195" s="16">
        <v>-21230.62</v>
      </c>
      <c r="AR195" s="64">
        <v>1.3</v>
      </c>
      <c r="AS195" s="35"/>
      <c r="AT195" s="35"/>
      <c r="AU195" s="40"/>
      <c r="AV195" s="40"/>
      <c r="AW195" s="41"/>
      <c r="AX195" s="23"/>
      <c r="AZ195" s="40"/>
      <c r="BA195" s="40"/>
      <c r="BB195" s="41"/>
      <c r="BC195" s="42"/>
      <c r="BD195" s="42"/>
      <c r="BE195" s="42"/>
      <c r="BF195" s="42"/>
      <c r="BG195" s="42"/>
      <c r="BI195" s="38"/>
      <c r="BJ195" s="39"/>
      <c r="BK195" s="38"/>
      <c r="BL195" s="38"/>
      <c r="BM195" s="38"/>
    </row>
    <row r="196" spans="1:65" x14ac:dyDescent="0.25">
      <c r="A196" s="13">
        <v>5712</v>
      </c>
      <c r="B196" s="14" t="s">
        <v>267</v>
      </c>
      <c r="C196" s="16">
        <v>10798901.18</v>
      </c>
      <c r="D196" s="15">
        <v>2291512.5299999998</v>
      </c>
      <c r="E196" s="16">
        <v>0</v>
      </c>
      <c r="F196" s="15">
        <v>0</v>
      </c>
      <c r="G196" s="16">
        <v>128898.65</v>
      </c>
      <c r="H196" s="15">
        <v>11815.25</v>
      </c>
      <c r="I196" s="16">
        <v>1196611.8999999999</v>
      </c>
      <c r="J196" s="15">
        <v>227517.83</v>
      </c>
      <c r="K196" s="17">
        <v>26587.5</v>
      </c>
      <c r="L196" s="16">
        <v>1478063.3</v>
      </c>
      <c r="M196" s="3">
        <f t="shared" si="6"/>
        <v>16159908.140000001</v>
      </c>
      <c r="N196" s="15">
        <v>118944.8</v>
      </c>
      <c r="O196" s="16">
        <v>129106.1</v>
      </c>
      <c r="P196" s="15">
        <v>925995.65</v>
      </c>
      <c r="Q196" s="16">
        <v>8037.53</v>
      </c>
      <c r="R196" s="15">
        <v>1012967.1</v>
      </c>
      <c r="S196" s="16">
        <v>287.5</v>
      </c>
      <c r="T196" s="15">
        <v>0</v>
      </c>
      <c r="U196" s="16">
        <v>7450</v>
      </c>
      <c r="V196" s="15">
        <v>0</v>
      </c>
      <c r="W196" s="16">
        <v>0</v>
      </c>
      <c r="X196" s="2">
        <f t="shared" si="7"/>
        <v>18362696.820000004</v>
      </c>
      <c r="Y196" s="18">
        <v>154375.6</v>
      </c>
      <c r="Z196" s="25"/>
      <c r="AA196" s="18">
        <v>238736.75</v>
      </c>
      <c r="AB196" s="25"/>
      <c r="AC196" s="18">
        <v>546507</v>
      </c>
      <c r="AD196" s="25"/>
      <c r="AE196" s="18"/>
      <c r="AF196" s="25"/>
      <c r="AG196" s="18"/>
      <c r="AH196" s="25"/>
      <c r="AI196" s="18"/>
      <c r="AJ196" s="25"/>
      <c r="AK196" s="18"/>
      <c r="AL196" s="68">
        <f t="shared" si="8"/>
        <v>939619.35</v>
      </c>
      <c r="AM196" s="33">
        <v>53</v>
      </c>
      <c r="AN196" s="34">
        <v>2892</v>
      </c>
      <c r="AO196" s="16">
        <v>-142819.73000000001</v>
      </c>
      <c r="AP196" s="25"/>
      <c r="AQ196" s="16">
        <v>-22713.97</v>
      </c>
      <c r="AR196" s="64">
        <v>1.5</v>
      </c>
      <c r="AS196" s="35"/>
      <c r="AT196" s="35"/>
      <c r="AU196" s="40"/>
      <c r="AV196" s="40"/>
      <c r="AW196" s="41"/>
      <c r="AX196" s="23"/>
      <c r="AZ196" s="40"/>
      <c r="BA196" s="40"/>
      <c r="BB196" s="41"/>
      <c r="BC196" s="42"/>
      <c r="BD196" s="42"/>
      <c r="BE196" s="42"/>
      <c r="BF196" s="42"/>
      <c r="BG196" s="42"/>
      <c r="BI196" s="38"/>
      <c r="BJ196" s="39"/>
      <c r="BK196" s="38"/>
      <c r="BL196" s="38"/>
      <c r="BM196" s="38"/>
    </row>
    <row r="197" spans="1:65" x14ac:dyDescent="0.25">
      <c r="A197" s="13">
        <v>5713</v>
      </c>
      <c r="B197" s="14" t="s">
        <v>268</v>
      </c>
      <c r="C197" s="16">
        <v>9988468.6699999999</v>
      </c>
      <c r="D197" s="15">
        <v>6464449.46</v>
      </c>
      <c r="E197" s="16">
        <v>0</v>
      </c>
      <c r="F197" s="15">
        <v>0</v>
      </c>
      <c r="G197" s="16">
        <v>51062.6</v>
      </c>
      <c r="H197" s="15">
        <v>2381</v>
      </c>
      <c r="I197" s="16">
        <v>410153.08</v>
      </c>
      <c r="J197" s="15">
        <v>241140.4</v>
      </c>
      <c r="K197" s="17">
        <v>6810</v>
      </c>
      <c r="L197" s="16">
        <v>666752.30000000005</v>
      </c>
      <c r="M197" s="3">
        <f t="shared" si="6"/>
        <v>17831217.509999998</v>
      </c>
      <c r="N197" s="15">
        <v>27235.75</v>
      </c>
      <c r="O197" s="16">
        <v>20431.2</v>
      </c>
      <c r="P197" s="15">
        <v>445342.3</v>
      </c>
      <c r="Q197" s="16">
        <v>7621.97</v>
      </c>
      <c r="R197" s="15">
        <v>1401192.05</v>
      </c>
      <c r="S197" s="16">
        <v>44.75</v>
      </c>
      <c r="T197" s="15">
        <v>0</v>
      </c>
      <c r="U197" s="16">
        <v>11550</v>
      </c>
      <c r="V197" s="15">
        <v>0</v>
      </c>
      <c r="W197" s="16">
        <v>0</v>
      </c>
      <c r="X197" s="2">
        <f t="shared" si="7"/>
        <v>19744635.529999997</v>
      </c>
      <c r="Y197" s="18">
        <v>48300</v>
      </c>
      <c r="Z197" s="25"/>
      <c r="AA197" s="18">
        <v>343788.94</v>
      </c>
      <c r="AB197" s="25"/>
      <c r="AC197" s="18">
        <v>209293.47</v>
      </c>
      <c r="AD197" s="25"/>
      <c r="AE197" s="18"/>
      <c r="AF197" s="25"/>
      <c r="AG197" s="18"/>
      <c r="AH197" s="25">
        <v>87959.5</v>
      </c>
      <c r="AI197" s="18"/>
      <c r="AJ197" s="25"/>
      <c r="AK197" s="18"/>
      <c r="AL197" s="68">
        <f t="shared" si="8"/>
        <v>689341.91</v>
      </c>
      <c r="AM197" s="33">
        <v>53</v>
      </c>
      <c r="AN197" s="34">
        <v>2048</v>
      </c>
      <c r="AO197" s="16">
        <v>-18757.009999999998</v>
      </c>
      <c r="AP197" s="25"/>
      <c r="AQ197" s="16">
        <v>-13189.44</v>
      </c>
      <c r="AR197" s="64">
        <v>1</v>
      </c>
      <c r="AS197" s="35"/>
      <c r="AT197" s="35"/>
      <c r="AU197" s="40"/>
      <c r="AV197" s="40"/>
      <c r="AW197" s="41"/>
      <c r="AX197" s="23"/>
      <c r="AZ197" s="40"/>
      <c r="BA197" s="40"/>
      <c r="BB197" s="41"/>
      <c r="BC197" s="42"/>
      <c r="BD197" s="42"/>
      <c r="BE197" s="42"/>
      <c r="BF197" s="42"/>
      <c r="BG197" s="42"/>
      <c r="BI197" s="38"/>
      <c r="BJ197" s="39"/>
      <c r="BK197" s="38"/>
      <c r="BL197" s="38"/>
      <c r="BM197" s="38"/>
    </row>
    <row r="198" spans="1:65" x14ac:dyDescent="0.25">
      <c r="A198" s="13">
        <v>5714</v>
      </c>
      <c r="B198" s="14" t="s">
        <v>269</v>
      </c>
      <c r="C198" s="16">
        <v>3205305.33</v>
      </c>
      <c r="D198" s="15">
        <v>344509.97</v>
      </c>
      <c r="E198" s="16">
        <v>0</v>
      </c>
      <c r="F198" s="15">
        <v>0</v>
      </c>
      <c r="G198" s="16">
        <v>228527.4</v>
      </c>
      <c r="H198" s="15">
        <v>601.45000000000005</v>
      </c>
      <c r="I198" s="16">
        <v>171300.65</v>
      </c>
      <c r="J198" s="15">
        <v>-44674.95</v>
      </c>
      <c r="K198" s="17">
        <v>6322.5</v>
      </c>
      <c r="L198" s="16">
        <v>237418.65</v>
      </c>
      <c r="M198" s="3">
        <f t="shared" si="6"/>
        <v>4149310.9999999995</v>
      </c>
      <c r="N198" s="15">
        <v>96409.9</v>
      </c>
      <c r="O198" s="16">
        <v>47885.3</v>
      </c>
      <c r="P198" s="15">
        <v>332134.95</v>
      </c>
      <c r="Q198" s="16">
        <v>3916.78</v>
      </c>
      <c r="R198" s="15">
        <v>120662.7</v>
      </c>
      <c r="S198" s="16">
        <v>62.5</v>
      </c>
      <c r="T198" s="15">
        <v>450</v>
      </c>
      <c r="U198" s="16">
        <v>3810</v>
      </c>
      <c r="V198" s="15">
        <v>0</v>
      </c>
      <c r="W198" s="16">
        <v>0</v>
      </c>
      <c r="X198" s="2">
        <f t="shared" si="7"/>
        <v>4754643.13</v>
      </c>
      <c r="Y198" s="18">
        <v>10078.85</v>
      </c>
      <c r="Z198" s="25"/>
      <c r="AA198" s="18">
        <v>38462.050000000003</v>
      </c>
      <c r="AB198" s="25"/>
      <c r="AC198" s="18">
        <v>107670.95</v>
      </c>
      <c r="AD198" s="25">
        <v>3269.25</v>
      </c>
      <c r="AE198" s="18"/>
      <c r="AF198" s="25"/>
      <c r="AG198" s="18">
        <v>1637</v>
      </c>
      <c r="AH198" s="25">
        <v>34617.050000000003</v>
      </c>
      <c r="AI198" s="18"/>
      <c r="AJ198" s="25"/>
      <c r="AK198" s="18"/>
      <c r="AL198" s="68">
        <f t="shared" si="8"/>
        <v>195735.15000000002</v>
      </c>
      <c r="AM198" s="33">
        <v>64</v>
      </c>
      <c r="AN198" s="34">
        <v>1114</v>
      </c>
      <c r="AO198" s="16">
        <v>-30851.39</v>
      </c>
      <c r="AP198" s="25"/>
      <c r="AQ198" s="16">
        <v>-1120.58</v>
      </c>
      <c r="AR198" s="64">
        <v>1</v>
      </c>
      <c r="AS198" s="35"/>
      <c r="AT198" s="35"/>
      <c r="AU198" s="40"/>
      <c r="AV198" s="40"/>
      <c r="AW198" s="41"/>
      <c r="AX198" s="23"/>
      <c r="AZ198" s="40"/>
      <c r="BA198" s="40"/>
      <c r="BB198" s="41"/>
      <c r="BC198" s="42"/>
      <c r="BD198" s="42"/>
      <c r="BE198" s="42"/>
      <c r="BF198" s="42"/>
      <c r="BG198" s="42"/>
      <c r="BI198" s="38"/>
      <c r="BJ198" s="39"/>
      <c r="BK198" s="38"/>
      <c r="BL198" s="38"/>
      <c r="BM198" s="38"/>
    </row>
    <row r="199" spans="1:65" x14ac:dyDescent="0.25">
      <c r="A199" s="13">
        <v>5715</v>
      </c>
      <c r="B199" s="14" t="s">
        <v>270</v>
      </c>
      <c r="C199" s="16">
        <v>2983627.21</v>
      </c>
      <c r="D199" s="15">
        <v>533456.75</v>
      </c>
      <c r="E199" s="16">
        <v>0</v>
      </c>
      <c r="F199" s="15">
        <v>0</v>
      </c>
      <c r="G199" s="16">
        <v>55304.4</v>
      </c>
      <c r="H199" s="15">
        <v>207.4</v>
      </c>
      <c r="I199" s="16">
        <v>45844.6</v>
      </c>
      <c r="J199" s="15">
        <v>176658.68</v>
      </c>
      <c r="K199" s="17">
        <v>555.5</v>
      </c>
      <c r="L199" s="16">
        <v>229500.3</v>
      </c>
      <c r="M199" s="3">
        <f t="shared" si="6"/>
        <v>4025154.84</v>
      </c>
      <c r="N199" s="15">
        <v>40511.949999999997</v>
      </c>
      <c r="O199" s="16"/>
      <c r="P199" s="15">
        <v>39419.300000000003</v>
      </c>
      <c r="Q199" s="16">
        <v>8810.9699999999993</v>
      </c>
      <c r="R199" s="15">
        <v>2178.6</v>
      </c>
      <c r="S199" s="16">
        <v>0</v>
      </c>
      <c r="T199" s="15">
        <v>0</v>
      </c>
      <c r="U199" s="16">
        <v>5650</v>
      </c>
      <c r="V199" s="15">
        <v>0</v>
      </c>
      <c r="W199" s="16">
        <v>0</v>
      </c>
      <c r="X199" s="2">
        <f t="shared" si="7"/>
        <v>4121725.66</v>
      </c>
      <c r="Y199" s="18">
        <v>52830</v>
      </c>
      <c r="Z199" s="25"/>
      <c r="AA199" s="18">
        <v>87598.7</v>
      </c>
      <c r="AB199" s="25"/>
      <c r="AC199" s="18">
        <v>98478.68</v>
      </c>
      <c r="AD199" s="25">
        <v>20942</v>
      </c>
      <c r="AE199" s="18"/>
      <c r="AF199" s="25"/>
      <c r="AG199" s="18">
        <v>5813</v>
      </c>
      <c r="AH199" s="25">
        <v>60444.74</v>
      </c>
      <c r="AI199" s="18"/>
      <c r="AJ199" s="25"/>
      <c r="AK199" s="18"/>
      <c r="AL199" s="68">
        <f t="shared" si="8"/>
        <v>326107.12</v>
      </c>
      <c r="AM199" s="33">
        <v>66</v>
      </c>
      <c r="AN199" s="34">
        <v>1014</v>
      </c>
      <c r="AO199" s="16">
        <v>-44725.06</v>
      </c>
      <c r="AP199" s="25"/>
      <c r="AQ199" s="16">
        <v>-827.1</v>
      </c>
      <c r="AR199" s="64">
        <v>1</v>
      </c>
      <c r="AS199" s="35"/>
      <c r="AT199" s="35"/>
      <c r="AU199" s="40"/>
      <c r="AV199" s="40"/>
      <c r="AW199" s="41"/>
      <c r="AX199" s="23"/>
      <c r="AZ199" s="40"/>
      <c r="BA199" s="40"/>
      <c r="BB199" s="41"/>
      <c r="BC199" s="42"/>
      <c r="BD199" s="42"/>
      <c r="BE199" s="42"/>
      <c r="BF199" s="42"/>
      <c r="BG199" s="42"/>
      <c r="BI199" s="38"/>
      <c r="BJ199" s="39"/>
      <c r="BK199" s="38"/>
      <c r="BL199" s="38"/>
      <c r="BM199" s="38"/>
    </row>
    <row r="200" spans="1:65" x14ac:dyDescent="0.25">
      <c r="A200" s="13">
        <v>5716</v>
      </c>
      <c r="B200" s="14" t="s">
        <v>271</v>
      </c>
      <c r="C200" s="16">
        <v>3927836.42</v>
      </c>
      <c r="D200" s="15">
        <v>411483.69</v>
      </c>
      <c r="E200" s="16">
        <v>0</v>
      </c>
      <c r="F200" s="15">
        <v>0</v>
      </c>
      <c r="G200" s="16">
        <v>2194563.7000000002</v>
      </c>
      <c r="H200" s="15">
        <v>118288</v>
      </c>
      <c r="I200" s="16">
        <v>46425.8</v>
      </c>
      <c r="J200" s="15">
        <v>1262707.0900000001</v>
      </c>
      <c r="K200" s="17">
        <v>112177</v>
      </c>
      <c r="L200" s="16">
        <v>485008.55</v>
      </c>
      <c r="M200" s="3">
        <f t="shared" ref="M200:M263" si="9">SUM(C200:L200)</f>
        <v>8558490.25</v>
      </c>
      <c r="N200" s="15">
        <v>622531.44999999995</v>
      </c>
      <c r="O200" s="16">
        <v>723</v>
      </c>
      <c r="P200" s="15">
        <v>435198.55</v>
      </c>
      <c r="Q200" s="16">
        <v>8833.2999999999993</v>
      </c>
      <c r="R200" s="15">
        <v>187850.9</v>
      </c>
      <c r="S200" s="16">
        <v>56.25</v>
      </c>
      <c r="T200" s="15">
        <v>0</v>
      </c>
      <c r="U200" s="16">
        <v>8050</v>
      </c>
      <c r="V200" s="15">
        <v>0</v>
      </c>
      <c r="W200" s="16">
        <v>0</v>
      </c>
      <c r="X200" s="2">
        <f t="shared" ref="X200:X263" si="10">SUM(M200:W200)</f>
        <v>9821733.7000000011</v>
      </c>
      <c r="Y200" s="18">
        <v>203065.79</v>
      </c>
      <c r="Z200" s="25"/>
      <c r="AA200" s="18">
        <v>205033</v>
      </c>
      <c r="AB200" s="25"/>
      <c r="AC200" s="18">
        <v>190855</v>
      </c>
      <c r="AD200" s="25"/>
      <c r="AE200" s="18"/>
      <c r="AF200" s="25"/>
      <c r="AG200" s="18"/>
      <c r="AH200" s="25">
        <v>64075.15</v>
      </c>
      <c r="AI200" s="18"/>
      <c r="AJ200" s="25"/>
      <c r="AK200" s="18"/>
      <c r="AL200" s="68">
        <f t="shared" ref="AL200:AL263" si="11">SUM(Y200:AK200)</f>
        <v>663028.94000000006</v>
      </c>
      <c r="AM200" s="33">
        <v>61</v>
      </c>
      <c r="AN200" s="34">
        <v>1462</v>
      </c>
      <c r="AO200" s="16">
        <v>-156887.17000000001</v>
      </c>
      <c r="AP200" s="25"/>
      <c r="AQ200" s="16">
        <v>-16601.55</v>
      </c>
      <c r="AR200" s="64">
        <v>1</v>
      </c>
      <c r="AS200" s="35"/>
      <c r="AT200" s="35"/>
      <c r="AU200" s="40"/>
      <c r="AV200" s="40"/>
      <c r="AW200" s="41"/>
      <c r="AX200" s="23"/>
      <c r="AZ200" s="40"/>
      <c r="BA200" s="40"/>
      <c r="BB200" s="41"/>
      <c r="BC200" s="42"/>
      <c r="BD200" s="42"/>
      <c r="BE200" s="42"/>
      <c r="BF200" s="42"/>
      <c r="BG200" s="42"/>
      <c r="BI200" s="38"/>
      <c r="BJ200" s="39"/>
      <c r="BK200" s="38"/>
      <c r="BL200" s="38"/>
      <c r="BM200" s="38"/>
    </row>
    <row r="201" spans="1:65" x14ac:dyDescent="0.25">
      <c r="A201" s="13">
        <v>5717</v>
      </c>
      <c r="B201" s="14" t="s">
        <v>272</v>
      </c>
      <c r="C201" s="16">
        <v>13319051.24</v>
      </c>
      <c r="D201" s="15">
        <v>2726864.05</v>
      </c>
      <c r="E201" s="16">
        <v>0</v>
      </c>
      <c r="F201" s="15">
        <v>0</v>
      </c>
      <c r="G201" s="16">
        <v>241588.65</v>
      </c>
      <c r="H201" s="15">
        <v>-13953.6</v>
      </c>
      <c r="I201" s="16">
        <v>1226654.31</v>
      </c>
      <c r="J201" s="15">
        <v>592624.28</v>
      </c>
      <c r="K201" s="17">
        <v>40242.5</v>
      </c>
      <c r="L201" s="16">
        <v>1079574.2</v>
      </c>
      <c r="M201" s="3">
        <f t="shared" si="9"/>
        <v>19212645.629999999</v>
      </c>
      <c r="N201" s="15">
        <v>171235.5</v>
      </c>
      <c r="O201" s="16">
        <v>320762.59999999998</v>
      </c>
      <c r="P201" s="15">
        <v>1120948.8</v>
      </c>
      <c r="Q201" s="16">
        <v>1665.76</v>
      </c>
      <c r="R201" s="15">
        <v>1136755.7</v>
      </c>
      <c r="S201" s="16">
        <v>125</v>
      </c>
      <c r="T201" s="15">
        <v>1100</v>
      </c>
      <c r="U201" s="16">
        <v>17185</v>
      </c>
      <c r="V201" s="15">
        <v>0</v>
      </c>
      <c r="W201" s="16">
        <v>0</v>
      </c>
      <c r="X201" s="2">
        <f t="shared" si="10"/>
        <v>21982423.990000002</v>
      </c>
      <c r="Y201" s="18">
        <v>353636.25</v>
      </c>
      <c r="Z201" s="25"/>
      <c r="AA201" s="18">
        <v>183746.9</v>
      </c>
      <c r="AB201" s="25"/>
      <c r="AC201" s="18">
        <v>476497.4</v>
      </c>
      <c r="AD201" s="25"/>
      <c r="AE201" s="18"/>
      <c r="AF201" s="25"/>
      <c r="AG201" s="18">
        <v>3586.1</v>
      </c>
      <c r="AH201" s="25"/>
      <c r="AI201" s="18"/>
      <c r="AJ201" s="25"/>
      <c r="AK201" s="18"/>
      <c r="AL201" s="68">
        <f t="shared" si="11"/>
        <v>1017466.65</v>
      </c>
      <c r="AM201" s="33">
        <v>57</v>
      </c>
      <c r="AN201" s="34">
        <v>3276</v>
      </c>
      <c r="AO201" s="16">
        <v>-214136.61</v>
      </c>
      <c r="AP201" s="25">
        <v>-22553.5</v>
      </c>
      <c r="AQ201" s="16">
        <v>-69110.11</v>
      </c>
      <c r="AR201" s="64">
        <v>1</v>
      </c>
      <c r="AS201" s="35"/>
      <c r="AT201" s="35"/>
      <c r="AU201" s="40"/>
      <c r="AV201" s="40"/>
      <c r="AW201" s="41"/>
      <c r="AX201" s="23"/>
      <c r="AZ201" s="40"/>
      <c r="BA201" s="40"/>
      <c r="BB201" s="41"/>
      <c r="BC201" s="42"/>
      <c r="BD201" s="42"/>
      <c r="BE201" s="42"/>
      <c r="BF201" s="42"/>
      <c r="BG201" s="42"/>
      <c r="BI201" s="38"/>
      <c r="BJ201" s="39"/>
      <c r="BK201" s="38"/>
      <c r="BL201" s="38"/>
      <c r="BM201" s="38"/>
    </row>
    <row r="202" spans="1:65" x14ac:dyDescent="0.25">
      <c r="A202" s="13">
        <v>5718</v>
      </c>
      <c r="B202" s="14" t="s">
        <v>273</v>
      </c>
      <c r="C202" s="16">
        <v>7040282.2000000002</v>
      </c>
      <c r="D202" s="15">
        <v>1228723.28</v>
      </c>
      <c r="E202" s="16">
        <v>0</v>
      </c>
      <c r="F202" s="15">
        <v>0</v>
      </c>
      <c r="G202" s="16">
        <v>522910.1</v>
      </c>
      <c r="H202" s="15">
        <v>387.3</v>
      </c>
      <c r="I202" s="16">
        <v>242459.2</v>
      </c>
      <c r="J202" s="15">
        <v>209610.47</v>
      </c>
      <c r="K202" s="17">
        <v>30301</v>
      </c>
      <c r="L202" s="16">
        <v>557310.5</v>
      </c>
      <c r="M202" s="3">
        <f t="shared" si="9"/>
        <v>9831984.0500000007</v>
      </c>
      <c r="N202" s="15">
        <v>308788.84999999998</v>
      </c>
      <c r="O202" s="16">
        <v>26160.400000000001</v>
      </c>
      <c r="P202" s="15">
        <v>340760.4</v>
      </c>
      <c r="Q202" s="16">
        <v>-32806.519999999997</v>
      </c>
      <c r="R202" s="15">
        <v>689674.25</v>
      </c>
      <c r="S202" s="16">
        <v>62.6</v>
      </c>
      <c r="T202" s="15">
        <v>0</v>
      </c>
      <c r="U202" s="16">
        <v>6275</v>
      </c>
      <c r="V202" s="15">
        <v>0</v>
      </c>
      <c r="W202" s="16">
        <v>0</v>
      </c>
      <c r="X202" s="2">
        <f t="shared" si="10"/>
        <v>11170899.030000001</v>
      </c>
      <c r="Y202" s="18">
        <v>84326.95</v>
      </c>
      <c r="Z202" s="25"/>
      <c r="AA202" s="18">
        <v>191285.2</v>
      </c>
      <c r="AB202" s="25"/>
      <c r="AC202" s="18">
        <v>160670.1</v>
      </c>
      <c r="AD202" s="25">
        <v>187393.2</v>
      </c>
      <c r="AE202" s="18"/>
      <c r="AF202" s="25"/>
      <c r="AG202" s="18">
        <v>26844.5</v>
      </c>
      <c r="AH202" s="25"/>
      <c r="AI202" s="18"/>
      <c r="AJ202" s="25"/>
      <c r="AK202" s="18"/>
      <c r="AL202" s="68">
        <f t="shared" si="11"/>
        <v>650519.94999999995</v>
      </c>
      <c r="AM202" s="33">
        <v>55</v>
      </c>
      <c r="AN202" s="34">
        <v>1875</v>
      </c>
      <c r="AO202" s="16">
        <v>32563.03</v>
      </c>
      <c r="AP202" s="25"/>
      <c r="AQ202" s="16">
        <v>-5460.87</v>
      </c>
      <c r="AR202" s="64">
        <v>1</v>
      </c>
      <c r="AS202" s="35"/>
      <c r="AT202" s="35"/>
      <c r="AU202" s="40"/>
      <c r="AV202" s="40"/>
      <c r="AW202" s="41"/>
      <c r="AX202" s="23"/>
      <c r="AZ202" s="40"/>
      <c r="BA202" s="40"/>
      <c r="BB202" s="41"/>
      <c r="BC202" s="42"/>
      <c r="BD202" s="42"/>
      <c r="BE202" s="42"/>
      <c r="BF202" s="42"/>
      <c r="BG202" s="42"/>
      <c r="BI202" s="38"/>
      <c r="BJ202" s="39"/>
      <c r="BK202" s="38"/>
      <c r="BL202" s="38"/>
      <c r="BM202" s="38"/>
    </row>
    <row r="203" spans="1:65" x14ac:dyDescent="0.25">
      <c r="A203" s="13">
        <v>5719</v>
      </c>
      <c r="B203" s="14" t="s">
        <v>274</v>
      </c>
      <c r="C203" s="16">
        <v>3056751.16</v>
      </c>
      <c r="D203" s="15">
        <v>1135849.7</v>
      </c>
      <c r="E203" s="16">
        <v>0</v>
      </c>
      <c r="F203" s="15">
        <v>0</v>
      </c>
      <c r="G203" s="16">
        <v>71366.75</v>
      </c>
      <c r="H203" s="15">
        <v>1931.05</v>
      </c>
      <c r="I203" s="16">
        <v>236256.95</v>
      </c>
      <c r="J203" s="15">
        <v>81432.320000000007</v>
      </c>
      <c r="K203" s="17">
        <v>8527.5</v>
      </c>
      <c r="L203" s="16">
        <v>202765.9</v>
      </c>
      <c r="M203" s="3">
        <f t="shared" si="9"/>
        <v>4794881.330000001</v>
      </c>
      <c r="N203" s="15">
        <v>91397.2</v>
      </c>
      <c r="O203" s="16">
        <v>14942.5</v>
      </c>
      <c r="P203" s="15">
        <v>218760.25</v>
      </c>
      <c r="Q203" s="16">
        <v>7210.51</v>
      </c>
      <c r="R203" s="15">
        <v>177526.25</v>
      </c>
      <c r="S203" s="16">
        <v>31.3</v>
      </c>
      <c r="T203" s="15">
        <v>0</v>
      </c>
      <c r="U203" s="16">
        <v>12900</v>
      </c>
      <c r="V203" s="15">
        <v>0</v>
      </c>
      <c r="W203" s="16">
        <v>0</v>
      </c>
      <c r="X203" s="2">
        <f t="shared" si="10"/>
        <v>5317649.3400000008</v>
      </c>
      <c r="Y203" s="18">
        <v>54495</v>
      </c>
      <c r="Z203" s="25"/>
      <c r="AA203" s="18">
        <v>35392</v>
      </c>
      <c r="AB203" s="25"/>
      <c r="AC203" s="18">
        <v>128577</v>
      </c>
      <c r="AD203" s="25">
        <v>67394</v>
      </c>
      <c r="AE203" s="18"/>
      <c r="AF203" s="25"/>
      <c r="AG203" s="18">
        <v>3272</v>
      </c>
      <c r="AH203" s="25"/>
      <c r="AI203" s="18"/>
      <c r="AJ203" s="25"/>
      <c r="AK203" s="18"/>
      <c r="AL203" s="68">
        <f t="shared" si="11"/>
        <v>289130</v>
      </c>
      <c r="AM203" s="33">
        <v>51</v>
      </c>
      <c r="AN203" s="34">
        <v>1217</v>
      </c>
      <c r="AO203" s="16">
        <v>-34984</v>
      </c>
      <c r="AP203" s="25"/>
      <c r="AQ203" s="16">
        <v>-1423.8</v>
      </c>
      <c r="AR203" s="64">
        <v>0.6</v>
      </c>
      <c r="AS203" s="35"/>
      <c r="AT203" s="35"/>
      <c r="AU203" s="40"/>
      <c r="AV203" s="40"/>
      <c r="AW203" s="41"/>
      <c r="AX203" s="23"/>
      <c r="AZ203" s="40"/>
      <c r="BA203" s="40"/>
      <c r="BB203" s="41"/>
      <c r="BC203" s="42"/>
      <c r="BD203" s="42"/>
      <c r="BE203" s="42"/>
      <c r="BF203" s="42"/>
      <c r="BG203" s="42"/>
      <c r="BI203" s="38"/>
      <c r="BJ203" s="39"/>
      <c r="BK203" s="38"/>
      <c r="BL203" s="38"/>
      <c r="BM203" s="38"/>
    </row>
    <row r="204" spans="1:65" x14ac:dyDescent="0.25">
      <c r="A204" s="13">
        <v>5720</v>
      </c>
      <c r="B204" s="14" t="s">
        <v>275</v>
      </c>
      <c r="C204" s="16">
        <v>3163382.88</v>
      </c>
      <c r="D204" s="15">
        <v>622353.23</v>
      </c>
      <c r="E204" s="16">
        <v>0</v>
      </c>
      <c r="F204" s="15">
        <v>0</v>
      </c>
      <c r="G204" s="16">
        <v>173825.65</v>
      </c>
      <c r="H204" s="15">
        <v>2097.65</v>
      </c>
      <c r="I204" s="16">
        <v>195702.9</v>
      </c>
      <c r="J204" s="15">
        <v>153308.73000000001</v>
      </c>
      <c r="K204" s="17">
        <v>0</v>
      </c>
      <c r="L204" s="16">
        <v>225948.2</v>
      </c>
      <c r="M204" s="3">
        <f t="shared" si="9"/>
        <v>4536619.24</v>
      </c>
      <c r="N204" s="15">
        <v>23964.05</v>
      </c>
      <c r="O204" s="16" t="s">
        <v>512</v>
      </c>
      <c r="P204" s="15">
        <v>172418.15</v>
      </c>
      <c r="Q204" s="16">
        <v>5665.26</v>
      </c>
      <c r="R204" s="15">
        <v>141095</v>
      </c>
      <c r="S204" s="16">
        <v>0</v>
      </c>
      <c r="T204" s="15">
        <v>0</v>
      </c>
      <c r="U204" s="16">
        <v>4400</v>
      </c>
      <c r="V204" s="15">
        <v>0</v>
      </c>
      <c r="W204" s="16">
        <v>0</v>
      </c>
      <c r="X204" s="2">
        <f t="shared" si="10"/>
        <v>4884161.7</v>
      </c>
      <c r="Y204" s="18">
        <v>85564.4</v>
      </c>
      <c r="Z204" s="25"/>
      <c r="AA204" s="18">
        <v>124559.7</v>
      </c>
      <c r="AB204" s="25"/>
      <c r="AC204" s="18">
        <v>49346.9</v>
      </c>
      <c r="AD204" s="25">
        <v>85090.55</v>
      </c>
      <c r="AE204" s="18"/>
      <c r="AF204" s="25"/>
      <c r="AG204" s="18"/>
      <c r="AH204" s="25"/>
      <c r="AI204" s="18"/>
      <c r="AJ204" s="25"/>
      <c r="AK204" s="18"/>
      <c r="AL204" s="68">
        <f t="shared" si="11"/>
        <v>344561.55</v>
      </c>
      <c r="AM204" s="33">
        <v>61</v>
      </c>
      <c r="AN204" s="34">
        <v>948</v>
      </c>
      <c r="AO204" s="16"/>
      <c r="AP204" s="25"/>
      <c r="AQ204" s="16"/>
      <c r="AR204" s="64">
        <v>0.9</v>
      </c>
      <c r="AS204" s="35"/>
      <c r="AT204" s="35"/>
      <c r="AU204" s="40"/>
      <c r="AV204" s="40"/>
      <c r="AW204" s="41"/>
      <c r="AX204" s="23"/>
      <c r="AZ204" s="40"/>
      <c r="BA204" s="40"/>
      <c r="BB204" s="41"/>
      <c r="BC204" s="42"/>
      <c r="BD204" s="42"/>
      <c r="BE204" s="42"/>
      <c r="BF204" s="42"/>
      <c r="BG204" s="42"/>
      <c r="BI204" s="38"/>
      <c r="BJ204" s="39"/>
      <c r="BK204" s="38"/>
      <c r="BL204" s="38"/>
      <c r="BM204" s="38"/>
    </row>
    <row r="205" spans="1:65" x14ac:dyDescent="0.25">
      <c r="A205" s="13">
        <v>5721</v>
      </c>
      <c r="B205" s="14" t="s">
        <v>276</v>
      </c>
      <c r="C205" s="16">
        <v>23172840.620000001</v>
      </c>
      <c r="D205" s="15">
        <v>2607340.9300000002</v>
      </c>
      <c r="E205" s="16">
        <v>0</v>
      </c>
      <c r="F205" s="15">
        <v>0</v>
      </c>
      <c r="G205" s="16">
        <v>2861491</v>
      </c>
      <c r="H205" s="15">
        <v>306966.90000000002</v>
      </c>
      <c r="I205" s="16">
        <v>1378097.35</v>
      </c>
      <c r="J205" s="15">
        <v>1444292.68</v>
      </c>
      <c r="K205" s="17">
        <v>188735</v>
      </c>
      <c r="L205" s="16">
        <v>2280492.65</v>
      </c>
      <c r="M205" s="3">
        <f t="shared" si="9"/>
        <v>34240257.130000003</v>
      </c>
      <c r="N205" s="15">
        <v>1634077.65</v>
      </c>
      <c r="O205" s="16">
        <v>372064.1</v>
      </c>
      <c r="P205" s="15">
        <v>1347316.35</v>
      </c>
      <c r="Q205" s="16">
        <v>256128.12</v>
      </c>
      <c r="R205" s="15">
        <v>927904.25</v>
      </c>
      <c r="S205" s="16">
        <v>2025</v>
      </c>
      <c r="T205" s="15">
        <v>0</v>
      </c>
      <c r="U205" s="16">
        <v>49550</v>
      </c>
      <c r="V205" s="15">
        <v>0</v>
      </c>
      <c r="W205" s="16">
        <v>0</v>
      </c>
      <c r="X205" s="2">
        <f t="shared" si="10"/>
        <v>38829322.600000001</v>
      </c>
      <c r="Y205" s="18">
        <v>613710.75</v>
      </c>
      <c r="Z205" s="25"/>
      <c r="AA205" s="18">
        <v>880761</v>
      </c>
      <c r="AB205" s="25"/>
      <c r="AC205" s="18">
        <v>1369735.65</v>
      </c>
      <c r="AD205" s="25">
        <v>245484.3</v>
      </c>
      <c r="AE205" s="18"/>
      <c r="AF205" s="25"/>
      <c r="AG205" s="18">
        <v>37312</v>
      </c>
      <c r="AH205" s="25">
        <v>344582.69</v>
      </c>
      <c r="AI205" s="18">
        <v>196869.26</v>
      </c>
      <c r="AJ205" s="25">
        <v>344533.19</v>
      </c>
      <c r="AK205" s="18">
        <v>246139.12</v>
      </c>
      <c r="AL205" s="68">
        <f t="shared" si="11"/>
        <v>4279127.959999999</v>
      </c>
      <c r="AM205" s="33">
        <v>62.5</v>
      </c>
      <c r="AN205" s="34">
        <v>12482</v>
      </c>
      <c r="AO205" s="16">
        <v>-417175.82</v>
      </c>
      <c r="AP205" s="25"/>
      <c r="AQ205" s="16">
        <v>-5422.32</v>
      </c>
      <c r="AR205" s="64">
        <v>1</v>
      </c>
      <c r="AS205" s="35"/>
      <c r="AT205" s="35"/>
      <c r="AU205" s="40"/>
      <c r="AV205" s="40"/>
      <c r="AW205" s="41"/>
      <c r="AX205" s="23"/>
      <c r="AZ205" s="40"/>
      <c r="BA205" s="40"/>
      <c r="BB205" s="41"/>
      <c r="BC205" s="42"/>
      <c r="BD205" s="42"/>
      <c r="BE205" s="42"/>
      <c r="BF205" s="42"/>
      <c r="BG205" s="42"/>
      <c r="BI205" s="38"/>
      <c r="BJ205" s="39"/>
      <c r="BK205" s="38"/>
      <c r="BL205" s="38"/>
      <c r="BM205" s="38"/>
    </row>
    <row r="206" spans="1:65" x14ac:dyDescent="0.25">
      <c r="A206" s="13">
        <v>5722</v>
      </c>
      <c r="B206" s="14" t="s">
        <v>277</v>
      </c>
      <c r="C206" s="16">
        <v>813061.21</v>
      </c>
      <c r="D206" s="15">
        <v>117403.19</v>
      </c>
      <c r="E206" s="16">
        <v>0</v>
      </c>
      <c r="F206" s="15">
        <v>0</v>
      </c>
      <c r="G206" s="16">
        <v>31685.599999999999</v>
      </c>
      <c r="H206" s="15">
        <v>-2102.1</v>
      </c>
      <c r="I206" s="16">
        <v>0</v>
      </c>
      <c r="J206" s="15">
        <v>-3336.84</v>
      </c>
      <c r="K206" s="17">
        <v>980</v>
      </c>
      <c r="L206" s="16">
        <v>67426.399999999994</v>
      </c>
      <c r="M206" s="3">
        <f t="shared" si="9"/>
        <v>1025117.46</v>
      </c>
      <c r="N206" s="15">
        <v>10774.3</v>
      </c>
      <c r="O206" s="16">
        <v>11707.6</v>
      </c>
      <c r="P206" s="15">
        <v>26805.4</v>
      </c>
      <c r="Q206" s="16">
        <v>6491.87</v>
      </c>
      <c r="R206" s="15">
        <v>8033.85</v>
      </c>
      <c r="S206" s="16">
        <v>46.95</v>
      </c>
      <c r="T206" s="15">
        <v>450</v>
      </c>
      <c r="U206" s="16">
        <v>1200</v>
      </c>
      <c r="V206" s="15">
        <v>0</v>
      </c>
      <c r="W206" s="16">
        <v>0</v>
      </c>
      <c r="X206" s="2">
        <f t="shared" si="10"/>
        <v>1090627.4300000002</v>
      </c>
      <c r="Y206" s="18"/>
      <c r="Z206" s="25">
        <v>2580.85</v>
      </c>
      <c r="AA206" s="18">
        <v>52613</v>
      </c>
      <c r="AB206" s="25"/>
      <c r="AC206" s="18">
        <v>25226.95</v>
      </c>
      <c r="AD206" s="25"/>
      <c r="AE206" s="18"/>
      <c r="AF206" s="25"/>
      <c r="AG206" s="18">
        <v>1701.1</v>
      </c>
      <c r="AH206" s="25">
        <v>11795.1</v>
      </c>
      <c r="AI206" s="18"/>
      <c r="AJ206" s="25"/>
      <c r="AK206" s="18"/>
      <c r="AL206" s="68">
        <f t="shared" si="11"/>
        <v>93917.000000000015</v>
      </c>
      <c r="AM206" s="33">
        <v>57</v>
      </c>
      <c r="AN206" s="34">
        <v>366</v>
      </c>
      <c r="AO206" s="16">
        <v>-6571.62</v>
      </c>
      <c r="AP206" s="25"/>
      <c r="AQ206" s="16">
        <v>-574.79</v>
      </c>
      <c r="AR206" s="64">
        <v>1</v>
      </c>
      <c r="AS206" s="35"/>
      <c r="AT206" s="35"/>
      <c r="AU206" s="40"/>
      <c r="AV206" s="40"/>
      <c r="AW206" s="41"/>
      <c r="AX206" s="23"/>
      <c r="AZ206" s="40"/>
      <c r="BA206" s="40"/>
      <c r="BB206" s="41"/>
      <c r="BC206" s="42"/>
      <c r="BD206" s="42"/>
      <c r="BE206" s="42"/>
      <c r="BF206" s="42"/>
      <c r="BG206" s="42"/>
      <c r="BI206" s="38"/>
      <c r="BJ206" s="39"/>
      <c r="BK206" s="38"/>
      <c r="BL206" s="38"/>
      <c r="BM206" s="38"/>
    </row>
    <row r="207" spans="1:65" x14ac:dyDescent="0.25">
      <c r="A207" s="13">
        <v>5723</v>
      </c>
      <c r="B207" s="14" t="s">
        <v>278</v>
      </c>
      <c r="C207" s="16">
        <v>7110413.7800000003</v>
      </c>
      <c r="D207" s="15">
        <v>1234304.72</v>
      </c>
      <c r="E207" s="16">
        <v>0</v>
      </c>
      <c r="F207" s="15">
        <v>0</v>
      </c>
      <c r="G207" s="16">
        <v>129595.4</v>
      </c>
      <c r="H207" s="15">
        <v>8114.65</v>
      </c>
      <c r="I207" s="16">
        <v>727627.32</v>
      </c>
      <c r="J207" s="15">
        <v>243442.94</v>
      </c>
      <c r="K207" s="17">
        <v>18517.5</v>
      </c>
      <c r="L207" s="16">
        <v>669478.65</v>
      </c>
      <c r="M207" s="3">
        <f t="shared" si="9"/>
        <v>10141494.960000001</v>
      </c>
      <c r="N207" s="15">
        <v>168885.8</v>
      </c>
      <c r="O207" s="16">
        <v>495141.7</v>
      </c>
      <c r="P207" s="15">
        <v>1677329.15</v>
      </c>
      <c r="Q207" s="16">
        <v>2376.11</v>
      </c>
      <c r="R207" s="15">
        <v>3801813.9</v>
      </c>
      <c r="S207" s="16">
        <v>0</v>
      </c>
      <c r="T207" s="15">
        <v>0</v>
      </c>
      <c r="U207" s="16">
        <v>6627.5</v>
      </c>
      <c r="V207" s="15">
        <v>0</v>
      </c>
      <c r="W207" s="16">
        <v>0</v>
      </c>
      <c r="X207" s="2">
        <f t="shared" si="10"/>
        <v>16293669.120000001</v>
      </c>
      <c r="Y207" s="18">
        <v>85930.55</v>
      </c>
      <c r="Z207" s="25"/>
      <c r="AA207" s="18">
        <v>117543.65</v>
      </c>
      <c r="AB207" s="25"/>
      <c r="AC207" s="18">
        <v>194746.15</v>
      </c>
      <c r="AD207" s="25"/>
      <c r="AE207" s="18"/>
      <c r="AF207" s="25"/>
      <c r="AG207" s="18">
        <v>11640</v>
      </c>
      <c r="AH207" s="25">
        <v>87151.45</v>
      </c>
      <c r="AI207" s="18"/>
      <c r="AJ207" s="25"/>
      <c r="AK207" s="18"/>
      <c r="AL207" s="68">
        <f t="shared" si="11"/>
        <v>497011.8</v>
      </c>
      <c r="AM207" s="33">
        <v>52</v>
      </c>
      <c r="AN207" s="34">
        <v>1775</v>
      </c>
      <c r="AO207" s="16">
        <v>-14144.48</v>
      </c>
      <c r="AP207" s="25"/>
      <c r="AQ207" s="16">
        <v>-6159.42</v>
      </c>
      <c r="AR207" s="64">
        <v>1</v>
      </c>
      <c r="AS207" s="35"/>
      <c r="AT207" s="35"/>
      <c r="AU207" s="40"/>
      <c r="AV207" s="40"/>
      <c r="AW207" s="41"/>
      <c r="AX207" s="23"/>
      <c r="AZ207" s="40"/>
      <c r="BA207" s="40"/>
      <c r="BB207" s="41"/>
      <c r="BC207" s="42"/>
      <c r="BD207" s="42"/>
      <c r="BE207" s="42"/>
      <c r="BF207" s="42"/>
      <c r="BG207" s="42"/>
      <c r="BI207" s="38"/>
      <c r="BJ207" s="39"/>
      <c r="BK207" s="38"/>
      <c r="BL207" s="38"/>
      <c r="BM207" s="38"/>
    </row>
    <row r="208" spans="1:65" x14ac:dyDescent="0.25">
      <c r="A208" s="13">
        <v>5724</v>
      </c>
      <c r="B208" s="14" t="s">
        <v>78</v>
      </c>
      <c r="C208" s="16">
        <v>48189732.079999998</v>
      </c>
      <c r="D208" s="15">
        <v>6737246.46</v>
      </c>
      <c r="E208" s="16">
        <v>0</v>
      </c>
      <c r="F208" s="15">
        <v>0</v>
      </c>
      <c r="G208" s="16">
        <v>13382547.1</v>
      </c>
      <c r="H208" s="15">
        <v>327423.84999999998</v>
      </c>
      <c r="I208" s="16">
        <v>1395470.69</v>
      </c>
      <c r="J208" s="15">
        <v>3411649.71</v>
      </c>
      <c r="K208" s="17">
        <v>658910</v>
      </c>
      <c r="L208" s="16">
        <v>5500065.9500000002</v>
      </c>
      <c r="M208" s="3">
        <f t="shared" si="9"/>
        <v>79603045.839999989</v>
      </c>
      <c r="N208" s="15">
        <v>3818619.2</v>
      </c>
      <c r="O208" s="16">
        <v>936861.4</v>
      </c>
      <c r="P208" s="15">
        <v>2362468.25</v>
      </c>
      <c r="Q208" s="16">
        <v>135623.6</v>
      </c>
      <c r="R208" s="15">
        <v>2143651.85</v>
      </c>
      <c r="S208" s="16">
        <v>4500</v>
      </c>
      <c r="T208" s="15">
        <v>0</v>
      </c>
      <c r="U208" s="16">
        <v>36147.5</v>
      </c>
      <c r="V208" s="15">
        <v>0</v>
      </c>
      <c r="W208" s="16">
        <v>0</v>
      </c>
      <c r="X208" s="2">
        <f t="shared" si="10"/>
        <v>89040917.639999986</v>
      </c>
      <c r="Y208" s="18">
        <v>657258.30000000005</v>
      </c>
      <c r="Z208" s="25"/>
      <c r="AA208" s="18">
        <v>3444822.57</v>
      </c>
      <c r="AB208" s="25"/>
      <c r="AC208" s="18">
        <v>2898161.05</v>
      </c>
      <c r="AD208" s="25">
        <v>748376</v>
      </c>
      <c r="AE208" s="18"/>
      <c r="AF208" s="25"/>
      <c r="AG208" s="18">
        <v>128862</v>
      </c>
      <c r="AH208" s="25">
        <v>686325.07</v>
      </c>
      <c r="AI208" s="18">
        <v>784350.04</v>
      </c>
      <c r="AJ208" s="25">
        <v>465432.88</v>
      </c>
      <c r="AK208" s="18">
        <v>98055.94</v>
      </c>
      <c r="AL208" s="68">
        <f t="shared" si="11"/>
        <v>9911643.8500000015</v>
      </c>
      <c r="AM208" s="33">
        <v>61</v>
      </c>
      <c r="AN208" s="34">
        <v>19632</v>
      </c>
      <c r="AO208" s="16">
        <v>-492268.26</v>
      </c>
      <c r="AP208" s="25"/>
      <c r="AQ208" s="16">
        <v>-16201.56</v>
      </c>
      <c r="AR208" s="64">
        <v>1.3</v>
      </c>
      <c r="AS208" s="35"/>
      <c r="AT208" s="35"/>
      <c r="AU208" s="40"/>
      <c r="AV208" s="40"/>
      <c r="AW208" s="41"/>
      <c r="AX208" s="23"/>
      <c r="AZ208" s="40"/>
      <c r="BA208" s="40"/>
      <c r="BB208" s="41"/>
      <c r="BC208" s="42"/>
      <c r="BD208" s="42"/>
      <c r="BE208" s="42"/>
      <c r="BF208" s="42"/>
      <c r="BG208" s="42"/>
      <c r="BI208" s="38"/>
      <c r="BJ208" s="39"/>
      <c r="BK208" s="38"/>
      <c r="BL208" s="38"/>
      <c r="BM208" s="38"/>
    </row>
    <row r="209" spans="1:65" x14ac:dyDescent="0.25">
      <c r="A209" s="13">
        <v>5725</v>
      </c>
      <c r="B209" s="14" t="s">
        <v>79</v>
      </c>
      <c r="C209" s="16">
        <v>13135236.58</v>
      </c>
      <c r="D209" s="15">
        <v>2535193.2000000002</v>
      </c>
      <c r="E209" s="16">
        <v>0</v>
      </c>
      <c r="F209" s="15">
        <v>0</v>
      </c>
      <c r="G209" s="16">
        <v>1096792.2</v>
      </c>
      <c r="H209" s="15">
        <v>-10260.950000000001</v>
      </c>
      <c r="I209" s="16">
        <v>632682.94999999995</v>
      </c>
      <c r="J209" s="15">
        <v>194535.11</v>
      </c>
      <c r="K209" s="17">
        <v>41053.5</v>
      </c>
      <c r="L209" s="16">
        <v>1428145.9</v>
      </c>
      <c r="M209" s="3">
        <f t="shared" si="9"/>
        <v>19053378.489999998</v>
      </c>
      <c r="N209" s="15">
        <v>393665.75</v>
      </c>
      <c r="O209" s="16">
        <v>-717.5</v>
      </c>
      <c r="P209" s="15">
        <v>1234329.8999999999</v>
      </c>
      <c r="Q209" s="16">
        <v>9689.25</v>
      </c>
      <c r="R209" s="15">
        <v>1407598.65</v>
      </c>
      <c r="S209" s="16">
        <v>491.25</v>
      </c>
      <c r="T209" s="15">
        <v>0</v>
      </c>
      <c r="U209" s="16">
        <v>15715</v>
      </c>
      <c r="V209" s="15">
        <v>0</v>
      </c>
      <c r="W209" s="16">
        <v>0</v>
      </c>
      <c r="X209" s="2">
        <f t="shared" si="10"/>
        <v>22114150.789999995</v>
      </c>
      <c r="Y209" s="18">
        <v>179395.19</v>
      </c>
      <c r="Z209" s="25"/>
      <c r="AA209" s="18">
        <v>308475.45</v>
      </c>
      <c r="AB209" s="25"/>
      <c r="AC209" s="18">
        <v>342344.83</v>
      </c>
      <c r="AD209" s="25"/>
      <c r="AE209" s="18"/>
      <c r="AF209" s="25"/>
      <c r="AG209" s="18">
        <v>45236.6</v>
      </c>
      <c r="AH209" s="25"/>
      <c r="AI209" s="18"/>
      <c r="AJ209" s="25"/>
      <c r="AK209" s="18"/>
      <c r="AL209" s="68">
        <f t="shared" si="11"/>
        <v>875452.07</v>
      </c>
      <c r="AM209" s="33">
        <v>56</v>
      </c>
      <c r="AN209" s="34">
        <v>3930</v>
      </c>
      <c r="AO209" s="16">
        <v>-49390.11</v>
      </c>
      <c r="AP209" s="25"/>
      <c r="AQ209" s="16">
        <v>-74752.08</v>
      </c>
      <c r="AR209" s="64">
        <v>1.4</v>
      </c>
      <c r="AS209" s="35"/>
      <c r="AT209" s="35"/>
      <c r="AU209" s="40"/>
      <c r="AV209" s="40"/>
      <c r="AW209" s="41"/>
      <c r="AX209" s="23"/>
      <c r="AZ209" s="40"/>
      <c r="BA209" s="40"/>
      <c r="BB209" s="41"/>
      <c r="BC209" s="42"/>
      <c r="BD209" s="42"/>
      <c r="BE209" s="42"/>
      <c r="BF209" s="42"/>
      <c r="BG209" s="42"/>
      <c r="BI209" s="38"/>
      <c r="BJ209" s="39"/>
      <c r="BK209" s="38"/>
      <c r="BL209" s="38"/>
      <c r="BM209" s="38"/>
    </row>
    <row r="210" spans="1:65" x14ac:dyDescent="0.25">
      <c r="A210" s="13">
        <v>5726</v>
      </c>
      <c r="B210" s="14" t="s">
        <v>366</v>
      </c>
      <c r="C210" s="16">
        <v>2693166.36</v>
      </c>
      <c r="D210" s="15">
        <v>354662.19</v>
      </c>
      <c r="E210" s="16">
        <v>0</v>
      </c>
      <c r="F210" s="15">
        <v>0</v>
      </c>
      <c r="G210" s="16">
        <v>8649.65</v>
      </c>
      <c r="H210" s="15">
        <v>21578.95</v>
      </c>
      <c r="I210" s="16">
        <v>32023.55</v>
      </c>
      <c r="J210" s="15">
        <v>85245.61</v>
      </c>
      <c r="K210" s="17">
        <v>5974</v>
      </c>
      <c r="L210" s="16">
        <v>219859.1</v>
      </c>
      <c r="M210" s="3">
        <f t="shared" si="9"/>
        <v>3421159.4099999997</v>
      </c>
      <c r="N210" s="15">
        <v>17871.650000000001</v>
      </c>
      <c r="O210" s="16">
        <v>3157.5</v>
      </c>
      <c r="P210" s="15">
        <v>109764.5</v>
      </c>
      <c r="Q210" s="16">
        <v>-1275.55</v>
      </c>
      <c r="R210" s="15">
        <v>115196.5</v>
      </c>
      <c r="S210" s="16">
        <v>0</v>
      </c>
      <c r="T210" s="15">
        <v>0</v>
      </c>
      <c r="U210" s="16">
        <v>7950</v>
      </c>
      <c r="V210" s="15">
        <v>0</v>
      </c>
      <c r="W210" s="16">
        <v>0</v>
      </c>
      <c r="X210" s="2">
        <f t="shared" si="10"/>
        <v>3673824.01</v>
      </c>
      <c r="Y210" s="18">
        <v>798.4</v>
      </c>
      <c r="Z210" s="25"/>
      <c r="AA210" s="18">
        <v>84465.15</v>
      </c>
      <c r="AB210" s="25"/>
      <c r="AC210" s="18">
        <v>79812.149999999994</v>
      </c>
      <c r="AD210" s="25"/>
      <c r="AE210" s="18">
        <v>-22223.8</v>
      </c>
      <c r="AF210" s="25"/>
      <c r="AG210" s="18">
        <v>7799.3</v>
      </c>
      <c r="AH210" s="25"/>
      <c r="AI210" s="18"/>
      <c r="AJ210" s="25"/>
      <c r="AK210" s="18"/>
      <c r="AL210" s="68">
        <f t="shared" si="11"/>
        <v>150651.19999999998</v>
      </c>
      <c r="AM210" s="33">
        <v>65</v>
      </c>
      <c r="AN210" s="34">
        <v>1057</v>
      </c>
      <c r="AO210" s="16">
        <v>-9562.64</v>
      </c>
      <c r="AP210" s="25"/>
      <c r="AQ210" s="16">
        <v>-3835.24</v>
      </c>
      <c r="AR210" s="64">
        <v>1</v>
      </c>
      <c r="AS210" s="35"/>
      <c r="AT210" s="35"/>
      <c r="AU210" s="40"/>
      <c r="AV210" s="40"/>
      <c r="AW210" s="41"/>
      <c r="AX210" s="23"/>
      <c r="AZ210" s="40"/>
      <c r="BA210" s="40"/>
      <c r="BB210" s="41"/>
      <c r="BC210" s="42"/>
      <c r="BD210" s="42"/>
      <c r="BE210" s="42"/>
      <c r="BF210" s="42"/>
      <c r="BG210" s="42"/>
      <c r="BI210" s="38"/>
      <c r="BJ210" s="39"/>
      <c r="BK210" s="38"/>
      <c r="BL210" s="38"/>
      <c r="BM210" s="38"/>
    </row>
    <row r="211" spans="1:65" x14ac:dyDescent="0.25">
      <c r="A211" s="13">
        <v>5727</v>
      </c>
      <c r="B211" s="14" t="s">
        <v>367</v>
      </c>
      <c r="C211" s="16">
        <v>4465481.7699999996</v>
      </c>
      <c r="D211" s="15">
        <v>531078.93000000005</v>
      </c>
      <c r="E211" s="16">
        <v>0</v>
      </c>
      <c r="F211" s="15">
        <v>0</v>
      </c>
      <c r="G211" s="16">
        <v>56302.95</v>
      </c>
      <c r="H211" s="15">
        <v>13668.6</v>
      </c>
      <c r="I211" s="16">
        <v>119140.55</v>
      </c>
      <c r="J211" s="15">
        <v>199796.58</v>
      </c>
      <c r="K211" s="17">
        <v>6644.5</v>
      </c>
      <c r="L211" s="16">
        <v>626752.55000000005</v>
      </c>
      <c r="M211" s="3">
        <f t="shared" si="9"/>
        <v>6018866.4299999988</v>
      </c>
      <c r="N211" s="15">
        <v>128781.25</v>
      </c>
      <c r="O211" s="16">
        <v>47711</v>
      </c>
      <c r="P211" s="15">
        <v>339781.75</v>
      </c>
      <c r="Q211" s="16">
        <v>31975.54</v>
      </c>
      <c r="R211" s="15">
        <v>217911.95</v>
      </c>
      <c r="S211" s="16">
        <v>450</v>
      </c>
      <c r="T211" s="15">
        <v>0</v>
      </c>
      <c r="U211" s="16">
        <v>10775</v>
      </c>
      <c r="V211" s="15">
        <v>0</v>
      </c>
      <c r="W211" s="16">
        <v>0</v>
      </c>
      <c r="X211" s="2">
        <f t="shared" si="10"/>
        <v>6796252.919999999</v>
      </c>
      <c r="Y211" s="18">
        <v>105104.51</v>
      </c>
      <c r="Z211" s="25">
        <v>299814</v>
      </c>
      <c r="AA211" s="18"/>
      <c r="AB211" s="25"/>
      <c r="AC211" s="18">
        <v>237414.7</v>
      </c>
      <c r="AD211" s="25">
        <v>103895.6</v>
      </c>
      <c r="AE211" s="18"/>
      <c r="AF211" s="25"/>
      <c r="AG211" s="18">
        <v>44987.55</v>
      </c>
      <c r="AH211" s="25"/>
      <c r="AI211" s="18"/>
      <c r="AJ211" s="25"/>
      <c r="AK211" s="18"/>
      <c r="AL211" s="68">
        <f t="shared" si="11"/>
        <v>791216.36</v>
      </c>
      <c r="AM211" s="33">
        <v>66</v>
      </c>
      <c r="AN211" s="34">
        <v>2340</v>
      </c>
      <c r="AO211" s="16">
        <v>-146999.39000000001</v>
      </c>
      <c r="AP211" s="25"/>
      <c r="AQ211" s="16">
        <v>-267.35000000000002</v>
      </c>
      <c r="AR211" s="64">
        <v>1.5</v>
      </c>
      <c r="AS211" s="35"/>
      <c r="AT211" s="35"/>
      <c r="AU211" s="40"/>
      <c r="AV211" s="40"/>
      <c r="AW211" s="41"/>
      <c r="AX211" s="23"/>
      <c r="AZ211" s="40"/>
      <c r="BA211" s="40"/>
      <c r="BB211" s="41"/>
      <c r="BC211" s="42"/>
      <c r="BD211" s="42"/>
      <c r="BE211" s="42"/>
      <c r="BF211" s="42"/>
      <c r="BG211" s="42"/>
      <c r="BI211" s="38"/>
      <c r="BJ211" s="39"/>
      <c r="BK211" s="38"/>
      <c r="BL211" s="38"/>
      <c r="BM211" s="38"/>
    </row>
    <row r="212" spans="1:65" x14ac:dyDescent="0.25">
      <c r="A212" s="13">
        <v>5728</v>
      </c>
      <c r="B212" s="14" t="s">
        <v>368</v>
      </c>
      <c r="C212" s="16">
        <v>1221662.1399999999</v>
      </c>
      <c r="D212" s="15">
        <v>130889.63</v>
      </c>
      <c r="E212" s="16">
        <v>0</v>
      </c>
      <c r="F212" s="15">
        <v>0</v>
      </c>
      <c r="G212" s="16">
        <v>429292.05</v>
      </c>
      <c r="H212" s="15">
        <v>9382.5</v>
      </c>
      <c r="I212" s="16">
        <v>58381</v>
      </c>
      <c r="J212" s="15">
        <v>112973.55</v>
      </c>
      <c r="K212" s="17">
        <v>47389</v>
      </c>
      <c r="L212" s="16">
        <v>184702.9</v>
      </c>
      <c r="M212" s="3">
        <f t="shared" si="9"/>
        <v>2194672.77</v>
      </c>
      <c r="N212" s="15">
        <v>174685.55</v>
      </c>
      <c r="O212" s="16"/>
      <c r="P212" s="15">
        <v>123761</v>
      </c>
      <c r="Q212" s="16">
        <v>5573.93</v>
      </c>
      <c r="R212" s="15">
        <v>70536.5</v>
      </c>
      <c r="S212" s="16">
        <v>612.5</v>
      </c>
      <c r="T212" s="15">
        <v>150</v>
      </c>
      <c r="U212" s="16">
        <v>1300</v>
      </c>
      <c r="V212" s="15">
        <v>0</v>
      </c>
      <c r="W212" s="16">
        <v>0</v>
      </c>
      <c r="X212" s="2">
        <f t="shared" si="10"/>
        <v>2571292.25</v>
      </c>
      <c r="Y212" s="18">
        <v>69890.399999999994</v>
      </c>
      <c r="Z212" s="25"/>
      <c r="AA212" s="18">
        <v>82597.100000000006</v>
      </c>
      <c r="AB212" s="25"/>
      <c r="AC212" s="18">
        <v>25019.9</v>
      </c>
      <c r="AD212" s="25"/>
      <c r="AE212" s="18"/>
      <c r="AF212" s="25"/>
      <c r="AG212" s="18"/>
      <c r="AH212" s="25">
        <v>57119.75</v>
      </c>
      <c r="AI212" s="18"/>
      <c r="AJ212" s="25"/>
      <c r="AK212" s="18"/>
      <c r="AL212" s="68">
        <f t="shared" si="11"/>
        <v>234627.15</v>
      </c>
      <c r="AM212" s="33">
        <v>56</v>
      </c>
      <c r="AN212" s="34">
        <v>457</v>
      </c>
      <c r="AO212" s="16">
        <v>-5775.13</v>
      </c>
      <c r="AP212" s="25">
        <v>-5713.15</v>
      </c>
      <c r="AQ212" s="16">
        <v>-314.38</v>
      </c>
      <c r="AR212" s="64">
        <v>1</v>
      </c>
      <c r="AS212" s="35"/>
      <c r="AT212" s="35"/>
      <c r="AU212" s="40"/>
      <c r="AV212" s="40"/>
      <c r="AW212" s="41"/>
      <c r="AX212" s="23"/>
      <c r="AZ212" s="40"/>
      <c r="BA212" s="40"/>
      <c r="BB212" s="41"/>
      <c r="BC212" s="42"/>
      <c r="BD212" s="42"/>
      <c r="BE212" s="42"/>
      <c r="BF212" s="42"/>
      <c r="BG212" s="42"/>
      <c r="BI212" s="38"/>
      <c r="BJ212" s="39"/>
      <c r="BK212" s="38"/>
      <c r="BL212" s="38"/>
      <c r="BM212" s="38"/>
    </row>
    <row r="213" spans="1:65" x14ac:dyDescent="0.25">
      <c r="A213" s="13">
        <v>5729</v>
      </c>
      <c r="B213" s="14" t="s">
        <v>369</v>
      </c>
      <c r="C213" s="16">
        <v>6712947.6699999999</v>
      </c>
      <c r="D213" s="15">
        <v>1350044.55</v>
      </c>
      <c r="E213" s="16">
        <v>0</v>
      </c>
      <c r="F213" s="15">
        <v>0</v>
      </c>
      <c r="G213" s="16">
        <v>490641.15</v>
      </c>
      <c r="H213" s="15">
        <v>8262.5499999999993</v>
      </c>
      <c r="I213" s="16">
        <v>131540.04999999999</v>
      </c>
      <c r="J213" s="15">
        <v>193805.48</v>
      </c>
      <c r="K213" s="17">
        <v>1697.5</v>
      </c>
      <c r="L213" s="16">
        <v>667213.9</v>
      </c>
      <c r="M213" s="3">
        <f t="shared" si="9"/>
        <v>9556152.8500000015</v>
      </c>
      <c r="N213" s="15">
        <v>10805.5</v>
      </c>
      <c r="O213" s="16">
        <v>43250</v>
      </c>
      <c r="P213" s="15">
        <v>416093.3</v>
      </c>
      <c r="Q213" s="16">
        <v>16613.25</v>
      </c>
      <c r="R213" s="15">
        <v>433104.95</v>
      </c>
      <c r="S213" s="16">
        <v>0</v>
      </c>
      <c r="T213" s="15">
        <v>0</v>
      </c>
      <c r="U213" s="16">
        <v>7720</v>
      </c>
      <c r="V213" s="15">
        <v>0</v>
      </c>
      <c r="W213" s="16">
        <v>0</v>
      </c>
      <c r="X213" s="2">
        <f t="shared" si="10"/>
        <v>10483739.850000001</v>
      </c>
      <c r="Y213" s="18">
        <v>30776.6</v>
      </c>
      <c r="Z213" s="25"/>
      <c r="AA213" s="18">
        <v>74075.45</v>
      </c>
      <c r="AB213" s="25"/>
      <c r="AC213" s="18">
        <v>147403.95000000001</v>
      </c>
      <c r="AD213" s="25"/>
      <c r="AE213" s="18"/>
      <c r="AF213" s="25"/>
      <c r="AG213" s="18">
        <v>795.45</v>
      </c>
      <c r="AH213" s="25"/>
      <c r="AI213" s="18"/>
      <c r="AJ213" s="25"/>
      <c r="AK213" s="18"/>
      <c r="AL213" s="68">
        <f t="shared" si="11"/>
        <v>253051.45</v>
      </c>
      <c r="AM213" s="33">
        <v>61</v>
      </c>
      <c r="AN213" s="34">
        <v>1511</v>
      </c>
      <c r="AO213" s="16">
        <v>-13347.53</v>
      </c>
      <c r="AP213" s="25"/>
      <c r="AQ213" s="16">
        <v>-55850.55</v>
      </c>
      <c r="AR213" s="64">
        <v>1.5</v>
      </c>
      <c r="AS213" s="35"/>
      <c r="AT213" s="35"/>
      <c r="AU213" s="40"/>
      <c r="AV213" s="40"/>
      <c r="AW213" s="41"/>
      <c r="AX213" s="23"/>
      <c r="AZ213" s="40"/>
      <c r="BA213" s="40"/>
      <c r="BB213" s="41"/>
      <c r="BC213" s="42"/>
      <c r="BD213" s="42"/>
      <c r="BE213" s="42"/>
      <c r="BF213" s="42"/>
      <c r="BG213" s="42"/>
      <c r="BI213" s="38"/>
      <c r="BJ213" s="39"/>
      <c r="BK213" s="38"/>
      <c r="BL213" s="38"/>
      <c r="BM213" s="38"/>
    </row>
    <row r="214" spans="1:65" x14ac:dyDescent="0.25">
      <c r="A214" s="13">
        <v>5730</v>
      </c>
      <c r="B214" s="14" t="s">
        <v>370</v>
      </c>
      <c r="C214" s="16">
        <v>5572917.8399999999</v>
      </c>
      <c r="D214" s="15">
        <v>1391469.19</v>
      </c>
      <c r="E214" s="16">
        <v>0</v>
      </c>
      <c r="F214" s="15">
        <v>0</v>
      </c>
      <c r="G214" s="16">
        <v>46829.95</v>
      </c>
      <c r="H214" s="15">
        <v>841.2</v>
      </c>
      <c r="I214" s="16">
        <v>95217.5</v>
      </c>
      <c r="J214" s="15">
        <v>77974.92</v>
      </c>
      <c r="K214" s="17">
        <v>4566</v>
      </c>
      <c r="L214" s="16">
        <v>332842.95</v>
      </c>
      <c r="M214" s="3">
        <f t="shared" si="9"/>
        <v>7522659.5499999998</v>
      </c>
      <c r="N214" s="15">
        <v>11764.75</v>
      </c>
      <c r="O214" s="16">
        <v>81269.5</v>
      </c>
      <c r="P214" s="15">
        <v>136670.54999999999</v>
      </c>
      <c r="Q214" s="16">
        <v>36308.589999999997</v>
      </c>
      <c r="R214" s="15">
        <v>142149.4</v>
      </c>
      <c r="S214" s="16">
        <v>112.6</v>
      </c>
      <c r="T214" s="15">
        <v>0</v>
      </c>
      <c r="U214" s="16">
        <v>4575</v>
      </c>
      <c r="V214" s="15">
        <v>0</v>
      </c>
      <c r="W214" s="16">
        <v>0</v>
      </c>
      <c r="X214" s="2">
        <f t="shared" si="10"/>
        <v>7935509.9399999995</v>
      </c>
      <c r="Y214" s="18">
        <v>12356.2</v>
      </c>
      <c r="Z214" s="25"/>
      <c r="AA214" s="18">
        <v>149857.20000000001</v>
      </c>
      <c r="AB214" s="25"/>
      <c r="AC214" s="18">
        <v>24316.7</v>
      </c>
      <c r="AD214" s="25"/>
      <c r="AE214" s="18"/>
      <c r="AF214" s="25"/>
      <c r="AG214" s="18"/>
      <c r="AH214" s="25"/>
      <c r="AI214" s="18"/>
      <c r="AJ214" s="25"/>
      <c r="AK214" s="18"/>
      <c r="AL214" s="68">
        <f t="shared" si="11"/>
        <v>186530.10000000003</v>
      </c>
      <c r="AM214" s="33">
        <v>53</v>
      </c>
      <c r="AN214" s="34">
        <v>1397</v>
      </c>
      <c r="AO214" s="16">
        <v>-37173.51</v>
      </c>
      <c r="AP214" s="25"/>
      <c r="AQ214" s="16">
        <v>-4086.27</v>
      </c>
      <c r="AR214" s="64">
        <v>0.9</v>
      </c>
      <c r="AS214" s="35"/>
      <c r="AT214" s="35"/>
      <c r="AU214" s="40"/>
      <c r="AV214" s="40"/>
      <c r="AW214" s="41"/>
      <c r="AX214" s="23"/>
      <c r="AZ214" s="40"/>
      <c r="BA214" s="40"/>
      <c r="BB214" s="41"/>
      <c r="BC214" s="42"/>
      <c r="BD214" s="42"/>
      <c r="BE214" s="42"/>
      <c r="BF214" s="42"/>
      <c r="BG214" s="42"/>
      <c r="BI214" s="38"/>
      <c r="BJ214" s="39"/>
      <c r="BK214" s="38"/>
      <c r="BL214" s="38"/>
      <c r="BM214" s="38"/>
    </row>
    <row r="215" spans="1:65" x14ac:dyDescent="0.25">
      <c r="A215" s="13">
        <v>5731</v>
      </c>
      <c r="B215" s="14" t="s">
        <v>371</v>
      </c>
      <c r="C215" s="16">
        <v>2728250.73</v>
      </c>
      <c r="D215" s="15">
        <v>271529.75</v>
      </c>
      <c r="E215" s="16">
        <v>0</v>
      </c>
      <c r="F215" s="15">
        <v>0</v>
      </c>
      <c r="G215" s="16">
        <v>30307.45</v>
      </c>
      <c r="H215" s="15">
        <v>388.55</v>
      </c>
      <c r="I215" s="16">
        <v>36728</v>
      </c>
      <c r="J215" s="15">
        <v>23821.83</v>
      </c>
      <c r="K215" s="17">
        <v>4005</v>
      </c>
      <c r="L215" s="16">
        <v>331733.5</v>
      </c>
      <c r="M215" s="3">
        <f t="shared" si="9"/>
        <v>3426764.81</v>
      </c>
      <c r="N215" s="15">
        <v>16404.900000000001</v>
      </c>
      <c r="O215" s="16" t="s">
        <v>512</v>
      </c>
      <c r="P215" s="15">
        <v>80042.75</v>
      </c>
      <c r="Q215" s="16">
        <v>5009.43</v>
      </c>
      <c r="R215" s="15">
        <v>55147.95</v>
      </c>
      <c r="S215" s="16">
        <v>1253.75</v>
      </c>
      <c r="T215" s="15">
        <v>0</v>
      </c>
      <c r="U215" s="16">
        <v>11900</v>
      </c>
      <c r="V215" s="15">
        <v>0</v>
      </c>
      <c r="W215" s="16">
        <v>0</v>
      </c>
      <c r="X215" s="2">
        <f t="shared" si="10"/>
        <v>3596523.5900000003</v>
      </c>
      <c r="Y215" s="18">
        <v>99393</v>
      </c>
      <c r="Z215" s="25"/>
      <c r="AA215" s="18">
        <v>156882</v>
      </c>
      <c r="AB215" s="25"/>
      <c r="AC215" s="18">
        <v>109603</v>
      </c>
      <c r="AD215" s="25">
        <v>92753</v>
      </c>
      <c r="AE215" s="18"/>
      <c r="AF215" s="25"/>
      <c r="AG215" s="18">
        <v>10641</v>
      </c>
      <c r="AH215" s="25"/>
      <c r="AI215" s="18"/>
      <c r="AJ215" s="25"/>
      <c r="AK215" s="18"/>
      <c r="AL215" s="68">
        <f t="shared" si="11"/>
        <v>469272</v>
      </c>
      <c r="AM215" s="33">
        <v>75</v>
      </c>
      <c r="AN215" s="34">
        <v>1238</v>
      </c>
      <c r="AO215" s="16">
        <v>-7770.21</v>
      </c>
      <c r="AP215" s="25"/>
      <c r="AQ215" s="16">
        <v>-1838.91</v>
      </c>
      <c r="AR215" s="64">
        <v>1.5</v>
      </c>
      <c r="AS215" s="35"/>
      <c r="AT215" s="35"/>
      <c r="AU215" s="40"/>
      <c r="AV215" s="40"/>
      <c r="AW215" s="41"/>
      <c r="AX215" s="23"/>
      <c r="AZ215" s="40"/>
      <c r="BA215" s="40"/>
      <c r="BB215" s="41"/>
      <c r="BC215" s="42"/>
      <c r="BD215" s="42"/>
      <c r="BE215" s="42"/>
      <c r="BF215" s="42"/>
      <c r="BG215" s="42"/>
      <c r="BI215" s="38"/>
      <c r="BJ215" s="39"/>
      <c r="BK215" s="38"/>
      <c r="BL215" s="38"/>
      <c r="BM215" s="38"/>
    </row>
    <row r="216" spans="1:65" x14ac:dyDescent="0.25">
      <c r="A216" s="13">
        <v>5732</v>
      </c>
      <c r="B216" s="14" t="s">
        <v>372</v>
      </c>
      <c r="C216" s="16">
        <v>1888850.5</v>
      </c>
      <c r="D216" s="15">
        <v>306917.82</v>
      </c>
      <c r="E216" s="16">
        <v>0</v>
      </c>
      <c r="F216" s="15">
        <v>0</v>
      </c>
      <c r="G216" s="16">
        <v>134886.1</v>
      </c>
      <c r="H216" s="15">
        <v>13315.7</v>
      </c>
      <c r="I216" s="16">
        <v>217817.05</v>
      </c>
      <c r="J216" s="15">
        <v>39066.07</v>
      </c>
      <c r="K216" s="17">
        <v>18748.5</v>
      </c>
      <c r="L216" s="16">
        <v>225373.85</v>
      </c>
      <c r="M216" s="3">
        <f t="shared" si="9"/>
        <v>2844975.59</v>
      </c>
      <c r="N216" s="15">
        <v>90334.1</v>
      </c>
      <c r="O216" s="16" t="s">
        <v>512</v>
      </c>
      <c r="P216" s="15">
        <v>289384.90000000002</v>
      </c>
      <c r="Q216" s="16">
        <v>1338.33</v>
      </c>
      <c r="R216" s="15">
        <v>221479.35</v>
      </c>
      <c r="S216" s="16">
        <v>125</v>
      </c>
      <c r="T216" s="15">
        <v>0</v>
      </c>
      <c r="U216" s="16">
        <v>8205</v>
      </c>
      <c r="V216" s="15">
        <v>0</v>
      </c>
      <c r="W216" s="16">
        <v>0</v>
      </c>
      <c r="X216" s="2">
        <f t="shared" si="10"/>
        <v>3455842.27</v>
      </c>
      <c r="Y216" s="18">
        <v>316693.40000000002</v>
      </c>
      <c r="Z216" s="25">
        <v>4976.55</v>
      </c>
      <c r="AA216" s="18">
        <v>66389.399999999994</v>
      </c>
      <c r="AB216" s="25"/>
      <c r="AC216" s="18"/>
      <c r="AD216" s="25">
        <v>476705.3</v>
      </c>
      <c r="AE216" s="18">
        <v>16624</v>
      </c>
      <c r="AF216" s="25"/>
      <c r="AG216" s="18">
        <v>9442</v>
      </c>
      <c r="AH216" s="25">
        <v>46615.83</v>
      </c>
      <c r="AI216" s="18"/>
      <c r="AJ216" s="25"/>
      <c r="AK216" s="18"/>
      <c r="AL216" s="68">
        <f t="shared" si="11"/>
        <v>937446.47999999986</v>
      </c>
      <c r="AM216" s="33">
        <v>70</v>
      </c>
      <c r="AN216" s="34">
        <v>763</v>
      </c>
      <c r="AO216" s="16">
        <v>-17993.91</v>
      </c>
      <c r="AP216" s="25"/>
      <c r="AQ216" s="16">
        <v>-1008.68</v>
      </c>
      <c r="AR216" s="64">
        <v>1</v>
      </c>
      <c r="AS216" s="35"/>
      <c r="AT216" s="35"/>
      <c r="AU216" s="40"/>
      <c r="AV216" s="40"/>
      <c r="AW216" s="41"/>
      <c r="AX216" s="23"/>
      <c r="AZ216" s="40"/>
      <c r="BA216" s="40"/>
      <c r="BB216" s="41"/>
      <c r="BC216" s="42"/>
      <c r="BD216" s="42"/>
      <c r="BE216" s="42"/>
      <c r="BF216" s="42"/>
      <c r="BG216" s="42"/>
      <c r="BI216" s="38"/>
      <c r="BJ216" s="39"/>
      <c r="BK216" s="38"/>
      <c r="BL216" s="38"/>
      <c r="BM216" s="38"/>
    </row>
    <row r="217" spans="1:65" x14ac:dyDescent="0.25">
      <c r="A217" s="13">
        <v>5741</v>
      </c>
      <c r="B217" s="14" t="s">
        <v>373</v>
      </c>
      <c r="C217" s="16">
        <v>376169.37</v>
      </c>
      <c r="D217" s="15">
        <v>36516.68</v>
      </c>
      <c r="E217" s="16">
        <v>0</v>
      </c>
      <c r="F217" s="15">
        <v>1250</v>
      </c>
      <c r="G217" s="16">
        <v>16644.95</v>
      </c>
      <c r="H217" s="15">
        <v>34</v>
      </c>
      <c r="I217" s="16">
        <v>0</v>
      </c>
      <c r="J217" s="15">
        <v>5002.47</v>
      </c>
      <c r="K217" s="17">
        <v>0</v>
      </c>
      <c r="L217" s="16">
        <v>40193.35</v>
      </c>
      <c r="M217" s="3">
        <f t="shared" si="9"/>
        <v>475810.81999999995</v>
      </c>
      <c r="N217" s="15">
        <v>13788.45</v>
      </c>
      <c r="O217" s="16" t="s">
        <v>512</v>
      </c>
      <c r="P217" s="15">
        <v>18040</v>
      </c>
      <c r="Q217" s="16">
        <v>8408.3700000000008</v>
      </c>
      <c r="R217" s="15">
        <v>22253</v>
      </c>
      <c r="S217" s="16">
        <v>0</v>
      </c>
      <c r="T217" s="15">
        <v>200</v>
      </c>
      <c r="U217" s="16">
        <v>960</v>
      </c>
      <c r="V217" s="15">
        <v>0</v>
      </c>
      <c r="W217" s="16">
        <v>0</v>
      </c>
      <c r="X217" s="2">
        <f t="shared" si="10"/>
        <v>539460.6399999999</v>
      </c>
      <c r="Y217" s="18">
        <v>1400</v>
      </c>
      <c r="Z217" s="25">
        <v>66225.350000000006</v>
      </c>
      <c r="AA217" s="18"/>
      <c r="AB217" s="25">
        <v>8244.2000000000007</v>
      </c>
      <c r="AC217" s="18">
        <v>26804.5</v>
      </c>
      <c r="AD217" s="25">
        <v>7439.8</v>
      </c>
      <c r="AE217" s="18">
        <v>3937.6</v>
      </c>
      <c r="AF217" s="25"/>
      <c r="AG217" s="18"/>
      <c r="AH217" s="25"/>
      <c r="AI217" s="18"/>
      <c r="AJ217" s="25"/>
      <c r="AK217" s="18"/>
      <c r="AL217" s="68">
        <f t="shared" si="11"/>
        <v>114051.45000000001</v>
      </c>
      <c r="AM217" s="33">
        <v>81</v>
      </c>
      <c r="AN217" s="34">
        <v>250</v>
      </c>
      <c r="AO217" s="16">
        <v>-19162.150000000001</v>
      </c>
      <c r="AP217" s="25"/>
      <c r="AQ217" s="16">
        <v>-0.14000000000000001</v>
      </c>
      <c r="AR217" s="64">
        <v>1.2</v>
      </c>
      <c r="AS217" s="35"/>
      <c r="AT217" s="35"/>
      <c r="AU217" s="40"/>
      <c r="AV217" s="40"/>
      <c r="AW217" s="41"/>
      <c r="AX217" s="23"/>
      <c r="AZ217" s="40"/>
      <c r="BA217" s="40"/>
      <c r="BB217" s="41"/>
      <c r="BC217" s="42"/>
      <c r="BD217" s="42"/>
      <c r="BE217" s="42"/>
      <c r="BF217" s="42"/>
      <c r="BG217" s="42"/>
      <c r="BI217" s="38"/>
      <c r="BJ217" s="39"/>
      <c r="BK217" s="38"/>
      <c r="BL217" s="38"/>
      <c r="BM217" s="38"/>
    </row>
    <row r="218" spans="1:65" x14ac:dyDescent="0.25">
      <c r="A218" s="13">
        <v>5742</v>
      </c>
      <c r="B218" s="14" t="s">
        <v>374</v>
      </c>
      <c r="C218" s="16">
        <v>529531.31000000006</v>
      </c>
      <c r="D218" s="15">
        <v>49758.97</v>
      </c>
      <c r="E218" s="16">
        <v>0</v>
      </c>
      <c r="F218" s="15">
        <v>0</v>
      </c>
      <c r="G218" s="16">
        <v>11058.35</v>
      </c>
      <c r="H218" s="15">
        <v>219.8</v>
      </c>
      <c r="I218" s="16">
        <v>0</v>
      </c>
      <c r="J218" s="15">
        <v>16092.52</v>
      </c>
      <c r="K218" s="17">
        <v>703</v>
      </c>
      <c r="L218" s="16">
        <v>20697.95</v>
      </c>
      <c r="M218" s="3">
        <f t="shared" si="9"/>
        <v>628061.9</v>
      </c>
      <c r="N218" s="15">
        <v>3852.35</v>
      </c>
      <c r="O218" s="16">
        <v>476.8</v>
      </c>
      <c r="P218" s="15">
        <v>41046.35</v>
      </c>
      <c r="Q218" s="16">
        <v>18246.650000000001</v>
      </c>
      <c r="R218" s="15">
        <v>22382.05</v>
      </c>
      <c r="S218" s="16">
        <v>0</v>
      </c>
      <c r="T218" s="15">
        <v>0</v>
      </c>
      <c r="U218" s="16">
        <v>1880</v>
      </c>
      <c r="V218" s="15">
        <v>0</v>
      </c>
      <c r="W218" s="16">
        <v>0</v>
      </c>
      <c r="X218" s="2">
        <f t="shared" si="10"/>
        <v>715946.10000000009</v>
      </c>
      <c r="Y218" s="18"/>
      <c r="Z218" s="25"/>
      <c r="AA218" s="18"/>
      <c r="AB218" s="25"/>
      <c r="AC218" s="18">
        <v>27482.75</v>
      </c>
      <c r="AD218" s="25">
        <v>4730.45</v>
      </c>
      <c r="AE218" s="18"/>
      <c r="AF218" s="25"/>
      <c r="AG218" s="18"/>
      <c r="AH218" s="25"/>
      <c r="AI218" s="18"/>
      <c r="AJ218" s="25"/>
      <c r="AK218" s="18"/>
      <c r="AL218" s="68">
        <f t="shared" si="11"/>
        <v>32213.200000000001</v>
      </c>
      <c r="AM218" s="33">
        <v>76</v>
      </c>
      <c r="AN218" s="34">
        <v>297</v>
      </c>
      <c r="AO218" s="16">
        <v>-21217.54</v>
      </c>
      <c r="AP218" s="25"/>
      <c r="AQ218" s="16">
        <v>-1.81</v>
      </c>
      <c r="AR218" s="64">
        <v>0.5</v>
      </c>
      <c r="AS218" s="35"/>
      <c r="AT218" s="35"/>
      <c r="AU218" s="40"/>
      <c r="AV218" s="40"/>
      <c r="AW218" s="41"/>
      <c r="AX218" s="23"/>
      <c r="AZ218" s="40"/>
      <c r="BA218" s="40"/>
      <c r="BB218" s="41"/>
      <c r="BC218" s="42"/>
      <c r="BD218" s="42"/>
      <c r="BE218" s="42"/>
      <c r="BF218" s="42"/>
      <c r="BG218" s="42"/>
      <c r="BI218" s="38"/>
      <c r="BJ218" s="39"/>
      <c r="BK218" s="38"/>
      <c r="BL218" s="38"/>
      <c r="BM218" s="38"/>
    </row>
    <row r="219" spans="1:65" x14ac:dyDescent="0.25">
      <c r="A219" s="13">
        <v>5743</v>
      </c>
      <c r="B219" s="14" t="s">
        <v>307</v>
      </c>
      <c r="C219" s="16">
        <v>843857.09</v>
      </c>
      <c r="D219" s="15">
        <v>105971.69</v>
      </c>
      <c r="E219" s="16">
        <v>0</v>
      </c>
      <c r="F219" s="15">
        <v>3350</v>
      </c>
      <c r="G219" s="16">
        <v>19942.400000000001</v>
      </c>
      <c r="H219" s="15">
        <v>688.35</v>
      </c>
      <c r="I219" s="16">
        <v>0</v>
      </c>
      <c r="J219" s="15">
        <v>21952.77</v>
      </c>
      <c r="K219" s="17">
        <v>0</v>
      </c>
      <c r="L219" s="16">
        <v>55597.9</v>
      </c>
      <c r="M219" s="3">
        <f t="shared" si="9"/>
        <v>1051360.2</v>
      </c>
      <c r="N219" s="15">
        <v>27744.9</v>
      </c>
      <c r="O219" s="16">
        <v>59445.1</v>
      </c>
      <c r="P219" s="15">
        <v>11588.5</v>
      </c>
      <c r="Q219" s="16">
        <v>4916.4799999999996</v>
      </c>
      <c r="R219" s="15">
        <v>49772.1</v>
      </c>
      <c r="S219" s="16">
        <v>125</v>
      </c>
      <c r="T219" s="15">
        <v>0</v>
      </c>
      <c r="U219" s="16">
        <v>1675</v>
      </c>
      <c r="V219" s="15">
        <v>0</v>
      </c>
      <c r="W219" s="16">
        <v>0</v>
      </c>
      <c r="X219" s="2">
        <f t="shared" si="10"/>
        <v>1206627.28</v>
      </c>
      <c r="Y219" s="18">
        <v>37542</v>
      </c>
      <c r="Z219" s="25"/>
      <c r="AA219" s="18">
        <v>71977.399999999994</v>
      </c>
      <c r="AB219" s="25"/>
      <c r="AC219" s="18">
        <v>24317.45</v>
      </c>
      <c r="AD219" s="25">
        <v>675</v>
      </c>
      <c r="AE219" s="18">
        <v>250</v>
      </c>
      <c r="AF219" s="25">
        <v>17438.400000000001</v>
      </c>
      <c r="AG219" s="18">
        <v>1653.1</v>
      </c>
      <c r="AH219" s="25"/>
      <c r="AI219" s="18"/>
      <c r="AJ219" s="25"/>
      <c r="AK219" s="18"/>
      <c r="AL219" s="68">
        <f t="shared" si="11"/>
        <v>153853.35</v>
      </c>
      <c r="AM219" s="33">
        <v>73</v>
      </c>
      <c r="AN219" s="34">
        <v>615</v>
      </c>
      <c r="AO219" s="16">
        <v>-19338.78</v>
      </c>
      <c r="AP219" s="25"/>
      <c r="AQ219" s="16">
        <v>-11663.45</v>
      </c>
      <c r="AR219" s="64">
        <v>0.8</v>
      </c>
      <c r="AS219" s="35"/>
      <c r="AT219" s="35"/>
      <c r="AU219" s="40"/>
      <c r="AV219" s="40"/>
      <c r="AW219" s="41"/>
      <c r="AX219" s="23"/>
      <c r="AZ219" s="40"/>
      <c r="BA219" s="40"/>
      <c r="BB219" s="41"/>
      <c r="BC219" s="42"/>
      <c r="BD219" s="42"/>
      <c r="BE219" s="42"/>
      <c r="BF219" s="42"/>
      <c r="BG219" s="42"/>
      <c r="BI219" s="38"/>
      <c r="BJ219" s="39"/>
      <c r="BK219" s="38"/>
      <c r="BL219" s="38"/>
      <c r="BM219" s="38"/>
    </row>
    <row r="220" spans="1:65" x14ac:dyDescent="0.25">
      <c r="A220" s="13">
        <v>5744</v>
      </c>
      <c r="B220" s="14" t="s">
        <v>308</v>
      </c>
      <c r="C220" s="16">
        <v>1362327.85</v>
      </c>
      <c r="D220" s="15">
        <v>116852.51</v>
      </c>
      <c r="E220" s="16">
        <v>0</v>
      </c>
      <c r="F220" s="15">
        <v>5590</v>
      </c>
      <c r="G220" s="16">
        <v>4776362.95</v>
      </c>
      <c r="H220" s="15">
        <v>106868.85</v>
      </c>
      <c r="I220" s="16">
        <v>0</v>
      </c>
      <c r="J220" s="15">
        <v>108700.05</v>
      </c>
      <c r="K220" s="17">
        <v>0</v>
      </c>
      <c r="L220" s="16">
        <v>136047</v>
      </c>
      <c r="M220" s="3">
        <f t="shared" si="9"/>
        <v>6612749.21</v>
      </c>
      <c r="N220" s="15">
        <v>817380.1</v>
      </c>
      <c r="O220" s="16">
        <v>67607</v>
      </c>
      <c r="P220" s="15">
        <v>39744.300000000003</v>
      </c>
      <c r="Q220" s="16">
        <v>5934.4</v>
      </c>
      <c r="R220" s="15">
        <v>58794.400000000001</v>
      </c>
      <c r="S220" s="16">
        <v>87.6</v>
      </c>
      <c r="T220" s="15">
        <v>0</v>
      </c>
      <c r="U220" s="16">
        <v>4405</v>
      </c>
      <c r="V220" s="15">
        <v>300</v>
      </c>
      <c r="W220" s="16">
        <v>0</v>
      </c>
      <c r="X220" s="2">
        <f t="shared" si="10"/>
        <v>7607002.0099999998</v>
      </c>
      <c r="Y220" s="18">
        <v>7906</v>
      </c>
      <c r="Z220" s="25"/>
      <c r="AA220" s="18">
        <v>64574</v>
      </c>
      <c r="AB220" s="25"/>
      <c r="AC220" s="18">
        <v>92426.94</v>
      </c>
      <c r="AD220" s="25">
        <v>11671</v>
      </c>
      <c r="AE220" s="18"/>
      <c r="AF220" s="25"/>
      <c r="AG220" s="18"/>
      <c r="AH220" s="25">
        <v>95374.17</v>
      </c>
      <c r="AI220" s="18"/>
      <c r="AJ220" s="25"/>
      <c r="AK220" s="18"/>
      <c r="AL220" s="68">
        <f t="shared" si="11"/>
        <v>271952.11</v>
      </c>
      <c r="AM220" s="33">
        <v>66</v>
      </c>
      <c r="AN220" s="34">
        <v>1037</v>
      </c>
      <c r="AO220" s="16">
        <v>-30920.77</v>
      </c>
      <c r="AP220" s="25"/>
      <c r="AQ220" s="16">
        <v>-956.95</v>
      </c>
      <c r="AR220" s="64">
        <v>1</v>
      </c>
      <c r="AS220" s="35"/>
      <c r="AT220" s="35"/>
      <c r="AU220" s="40"/>
      <c r="AV220" s="40"/>
      <c r="AW220" s="41"/>
      <c r="AX220" s="23"/>
      <c r="AZ220" s="40"/>
      <c r="BA220" s="40"/>
      <c r="BB220" s="41"/>
      <c r="BC220" s="42"/>
      <c r="BD220" s="42"/>
      <c r="BE220" s="42"/>
      <c r="BF220" s="42"/>
      <c r="BG220" s="42"/>
      <c r="BI220" s="38"/>
      <c r="BJ220" s="39"/>
      <c r="BK220" s="38"/>
      <c r="BL220" s="38"/>
      <c r="BM220" s="38"/>
    </row>
    <row r="221" spans="1:65" x14ac:dyDescent="0.25">
      <c r="A221" s="13">
        <v>5745</v>
      </c>
      <c r="B221" s="14" t="s">
        <v>309</v>
      </c>
      <c r="C221" s="16">
        <v>1683102.17</v>
      </c>
      <c r="D221" s="15">
        <v>221122.39</v>
      </c>
      <c r="E221" s="16">
        <v>0</v>
      </c>
      <c r="F221" s="15">
        <v>0</v>
      </c>
      <c r="G221" s="16">
        <v>102316.2</v>
      </c>
      <c r="H221" s="15">
        <v>471.15</v>
      </c>
      <c r="I221" s="16">
        <v>0</v>
      </c>
      <c r="J221" s="15">
        <v>30899.94</v>
      </c>
      <c r="K221" s="17">
        <v>0</v>
      </c>
      <c r="L221" s="16">
        <v>114141</v>
      </c>
      <c r="M221" s="3">
        <f t="shared" si="9"/>
        <v>2152052.8499999996</v>
      </c>
      <c r="N221" s="15">
        <v>199337.60000000001</v>
      </c>
      <c r="O221" s="18"/>
      <c r="P221" s="15">
        <v>34325</v>
      </c>
      <c r="Q221" s="16">
        <v>-767.32</v>
      </c>
      <c r="R221" s="15">
        <v>17616.7</v>
      </c>
      <c r="S221" s="16">
        <v>187.5</v>
      </c>
      <c r="T221" s="15">
        <v>0</v>
      </c>
      <c r="U221" s="16">
        <v>4200</v>
      </c>
      <c r="V221" s="15">
        <v>0</v>
      </c>
      <c r="W221" s="16">
        <v>0</v>
      </c>
      <c r="X221" s="2">
        <f t="shared" si="10"/>
        <v>2406952.33</v>
      </c>
      <c r="Y221" s="18">
        <v>768.7</v>
      </c>
      <c r="Z221" s="25"/>
      <c r="AA221" s="18">
        <v>135096.03</v>
      </c>
      <c r="AB221" s="25"/>
      <c r="AC221" s="18">
        <v>72755.45</v>
      </c>
      <c r="AD221" s="25">
        <v>20839</v>
      </c>
      <c r="AE221" s="18"/>
      <c r="AF221" s="25"/>
      <c r="AG221" s="18"/>
      <c r="AH221" s="25"/>
      <c r="AI221" s="18"/>
      <c r="AJ221" s="25"/>
      <c r="AK221" s="18"/>
      <c r="AL221" s="68">
        <f t="shared" si="11"/>
        <v>229459.18</v>
      </c>
      <c r="AM221" s="33">
        <v>78</v>
      </c>
      <c r="AN221" s="34">
        <v>1019</v>
      </c>
      <c r="AO221" s="16">
        <v>-22680.51</v>
      </c>
      <c r="AP221" s="25"/>
      <c r="AQ221" s="16">
        <v>-244.23</v>
      </c>
      <c r="AR221" s="64">
        <v>1</v>
      </c>
      <c r="AS221" s="35"/>
      <c r="AT221" s="35"/>
      <c r="AU221" s="40"/>
      <c r="AV221" s="40"/>
      <c r="AW221" s="41"/>
      <c r="AX221" s="23"/>
      <c r="AZ221" s="40"/>
      <c r="BA221" s="40"/>
      <c r="BB221" s="41"/>
      <c r="BC221" s="42"/>
      <c r="BD221" s="42"/>
      <c r="BE221" s="42"/>
      <c r="BF221" s="42"/>
      <c r="BG221" s="42"/>
      <c r="BI221" s="38"/>
      <c r="BJ221" s="39"/>
      <c r="BK221" s="38"/>
      <c r="BL221" s="38"/>
      <c r="BM221" s="38"/>
    </row>
    <row r="222" spans="1:65" x14ac:dyDescent="0.25">
      <c r="A222" s="13">
        <v>5746</v>
      </c>
      <c r="B222" s="14" t="s">
        <v>310</v>
      </c>
      <c r="C222" s="16">
        <v>1456067.16</v>
      </c>
      <c r="D222" s="15">
        <v>130139.15</v>
      </c>
      <c r="E222" s="16">
        <v>0</v>
      </c>
      <c r="F222" s="15">
        <v>0</v>
      </c>
      <c r="G222" s="16">
        <v>91671.4</v>
      </c>
      <c r="H222" s="15">
        <v>70.400000000000006</v>
      </c>
      <c r="I222" s="16">
        <v>0</v>
      </c>
      <c r="J222" s="15">
        <v>50468.67</v>
      </c>
      <c r="K222" s="17">
        <v>0</v>
      </c>
      <c r="L222" s="16">
        <v>176786.45</v>
      </c>
      <c r="M222" s="3">
        <f t="shared" si="9"/>
        <v>1905203.2299999995</v>
      </c>
      <c r="N222" s="15">
        <v>20393.25</v>
      </c>
      <c r="O222" s="16">
        <v>65863.199999999997</v>
      </c>
      <c r="P222" s="15">
        <v>42216.800000000003</v>
      </c>
      <c r="Q222" s="16">
        <v>2139.21</v>
      </c>
      <c r="R222" s="15">
        <v>7672.45</v>
      </c>
      <c r="S222" s="16">
        <v>125</v>
      </c>
      <c r="T222" s="15">
        <v>925</v>
      </c>
      <c r="U222" s="16">
        <v>4170</v>
      </c>
      <c r="V222" s="15">
        <v>565.20000000000005</v>
      </c>
      <c r="W222" s="16">
        <v>0</v>
      </c>
      <c r="X222" s="2">
        <f t="shared" si="10"/>
        <v>2049273.3399999994</v>
      </c>
      <c r="Y222" s="18">
        <v>7625.85</v>
      </c>
      <c r="Z222" s="25"/>
      <c r="AA222" s="18">
        <v>73419.100000000006</v>
      </c>
      <c r="AB222" s="25"/>
      <c r="AC222" s="18">
        <v>57928.6</v>
      </c>
      <c r="AD222" s="25">
        <v>-465.2</v>
      </c>
      <c r="AE222" s="18"/>
      <c r="AF222" s="25"/>
      <c r="AG222" s="18"/>
      <c r="AH222" s="25">
        <v>30435.5</v>
      </c>
      <c r="AI222" s="18"/>
      <c r="AJ222" s="25"/>
      <c r="AK222" s="18"/>
      <c r="AL222" s="68">
        <f t="shared" si="11"/>
        <v>168943.85</v>
      </c>
      <c r="AM222" s="33">
        <v>73</v>
      </c>
      <c r="AN222" s="34">
        <v>919</v>
      </c>
      <c r="AO222" s="16">
        <v>-55716.42</v>
      </c>
      <c r="AP222" s="25"/>
      <c r="AQ222" s="16">
        <v>-34.86</v>
      </c>
      <c r="AR222" s="64">
        <v>1.2</v>
      </c>
      <c r="AS222" s="35"/>
      <c r="AT222" s="35"/>
      <c r="AU222" s="40"/>
      <c r="AV222" s="40"/>
      <c r="AW222" s="41"/>
      <c r="AX222" s="23"/>
      <c r="AZ222" s="40"/>
      <c r="BA222" s="40"/>
      <c r="BB222" s="41"/>
      <c r="BC222" s="42"/>
      <c r="BD222" s="42"/>
      <c r="BE222" s="42"/>
      <c r="BF222" s="42"/>
      <c r="BG222" s="42"/>
      <c r="BI222" s="38"/>
      <c r="BJ222" s="39"/>
      <c r="BK222" s="38"/>
      <c r="BL222" s="38"/>
      <c r="BM222" s="38"/>
    </row>
    <row r="223" spans="1:65" x14ac:dyDescent="0.25">
      <c r="A223" s="13">
        <v>5747</v>
      </c>
      <c r="B223" s="14" t="s">
        <v>311</v>
      </c>
      <c r="C223" s="16">
        <v>282234.21999999997</v>
      </c>
      <c r="D223" s="15">
        <v>30398.09</v>
      </c>
      <c r="E223" s="16">
        <v>0</v>
      </c>
      <c r="F223" s="15">
        <v>0</v>
      </c>
      <c r="G223" s="16">
        <v>34614.400000000001</v>
      </c>
      <c r="H223" s="15">
        <v>215.15</v>
      </c>
      <c r="I223" s="16">
        <v>0</v>
      </c>
      <c r="J223" s="15">
        <v>3708.78</v>
      </c>
      <c r="K223" s="17">
        <v>0</v>
      </c>
      <c r="L223" s="16">
        <v>24886.85</v>
      </c>
      <c r="M223" s="3">
        <f t="shared" si="9"/>
        <v>376057.49000000005</v>
      </c>
      <c r="N223" s="15">
        <v>2262.3000000000002</v>
      </c>
      <c r="O223" s="16" t="s">
        <v>512</v>
      </c>
      <c r="P223" s="15">
        <v>8354.9500000000007</v>
      </c>
      <c r="Q223" s="16">
        <v>0</v>
      </c>
      <c r="R223" s="15">
        <v>19220.3</v>
      </c>
      <c r="S223" s="16">
        <v>0</v>
      </c>
      <c r="T223" s="15">
        <v>0</v>
      </c>
      <c r="U223" s="16">
        <v>660</v>
      </c>
      <c r="V223" s="15">
        <v>0</v>
      </c>
      <c r="W223" s="16">
        <v>0</v>
      </c>
      <c r="X223" s="2">
        <f t="shared" si="10"/>
        <v>406555.04000000004</v>
      </c>
      <c r="Y223" s="18"/>
      <c r="Z223" s="25"/>
      <c r="AA223" s="18">
        <v>28135</v>
      </c>
      <c r="AB223" s="25"/>
      <c r="AC223" s="18">
        <v>15337</v>
      </c>
      <c r="AD223" s="25"/>
      <c r="AE223" s="18">
        <v>8400</v>
      </c>
      <c r="AF223" s="25"/>
      <c r="AG223" s="18"/>
      <c r="AH223" s="25"/>
      <c r="AI223" s="18"/>
      <c r="AJ223" s="25"/>
      <c r="AK223" s="18"/>
      <c r="AL223" s="68">
        <f t="shared" si="11"/>
        <v>51872</v>
      </c>
      <c r="AM223" s="33">
        <v>69</v>
      </c>
      <c r="AN223" s="34">
        <v>189</v>
      </c>
      <c r="AO223" s="16">
        <v>-404.57</v>
      </c>
      <c r="AP223" s="25"/>
      <c r="AQ223" s="16">
        <v>-0.04</v>
      </c>
      <c r="AR223" s="64">
        <v>1</v>
      </c>
      <c r="AS223" s="35"/>
      <c r="AT223" s="35"/>
      <c r="AU223" s="40"/>
      <c r="AV223" s="40"/>
      <c r="AW223" s="41"/>
      <c r="AX223" s="23"/>
      <c r="AZ223" s="40"/>
      <c r="BA223" s="40"/>
      <c r="BB223" s="41"/>
      <c r="BC223" s="42"/>
      <c r="BD223" s="42"/>
      <c r="BE223" s="42"/>
      <c r="BF223" s="42"/>
      <c r="BG223" s="42"/>
      <c r="BI223" s="38"/>
      <c r="BJ223" s="39"/>
      <c r="BK223" s="38"/>
      <c r="BL223" s="38"/>
      <c r="BM223" s="38"/>
    </row>
    <row r="224" spans="1:65" x14ac:dyDescent="0.25">
      <c r="A224" s="13">
        <v>5748</v>
      </c>
      <c r="B224" s="14" t="s">
        <v>312</v>
      </c>
      <c r="C224" s="16">
        <v>282534.12</v>
      </c>
      <c r="D224" s="15">
        <v>34282.959999999999</v>
      </c>
      <c r="E224" s="16">
        <v>0</v>
      </c>
      <c r="F224" s="15">
        <v>2000</v>
      </c>
      <c r="G224" s="16">
        <v>5386.8</v>
      </c>
      <c r="H224" s="15">
        <v>2.8</v>
      </c>
      <c r="I224" s="16">
        <v>0</v>
      </c>
      <c r="J224" s="15">
        <v>-895.68</v>
      </c>
      <c r="K224" s="17">
        <v>0</v>
      </c>
      <c r="L224" s="16">
        <v>16855.8</v>
      </c>
      <c r="M224" s="3">
        <f t="shared" si="9"/>
        <v>340166.8</v>
      </c>
      <c r="N224" s="15">
        <v>4947.1499999999996</v>
      </c>
      <c r="O224" s="16" t="s">
        <v>512</v>
      </c>
      <c r="P224" s="15">
        <v>24170.7</v>
      </c>
      <c r="Q224" s="16">
        <v>94.44</v>
      </c>
      <c r="R224" s="15">
        <v>16390.8</v>
      </c>
      <c r="S224" s="16">
        <v>0</v>
      </c>
      <c r="T224" s="15">
        <v>0</v>
      </c>
      <c r="U224" s="16">
        <v>1200</v>
      </c>
      <c r="V224" s="15">
        <v>0</v>
      </c>
      <c r="W224" s="16">
        <v>0</v>
      </c>
      <c r="X224" s="2">
        <f t="shared" si="10"/>
        <v>386969.89</v>
      </c>
      <c r="Y224" s="18"/>
      <c r="Z224" s="25">
        <v>140.6</v>
      </c>
      <c r="AA224" s="18">
        <v>24780</v>
      </c>
      <c r="AB224" s="25"/>
      <c r="AC224" s="18">
        <v>20487.95</v>
      </c>
      <c r="AD224" s="25"/>
      <c r="AE224" s="18">
        <v>281.2</v>
      </c>
      <c r="AF224" s="25"/>
      <c r="AG224" s="18"/>
      <c r="AH224" s="25"/>
      <c r="AI224" s="18"/>
      <c r="AJ224" s="25"/>
      <c r="AK224" s="18"/>
      <c r="AL224" s="68">
        <f t="shared" si="11"/>
        <v>45689.75</v>
      </c>
      <c r="AM224" s="33">
        <v>70</v>
      </c>
      <c r="AN224" s="34">
        <v>236</v>
      </c>
      <c r="AO224" s="16">
        <v>-11744.72</v>
      </c>
      <c r="AP224" s="25"/>
      <c r="AQ224" s="16">
        <v>0</v>
      </c>
      <c r="AR224" s="64">
        <v>0.6</v>
      </c>
      <c r="AS224" s="35"/>
      <c r="AT224" s="35"/>
      <c r="AU224" s="40"/>
      <c r="AV224" s="40"/>
      <c r="AW224" s="41"/>
      <c r="AX224" s="23"/>
      <c r="AZ224" s="40"/>
      <c r="BA224" s="40"/>
      <c r="BB224" s="41"/>
      <c r="BC224" s="42"/>
      <c r="BD224" s="42"/>
      <c r="BE224" s="42"/>
      <c r="BF224" s="42"/>
      <c r="BG224" s="42"/>
      <c r="BI224" s="38"/>
      <c r="BJ224" s="39"/>
      <c r="BK224" s="38"/>
      <c r="BL224" s="38"/>
      <c r="BM224" s="38"/>
    </row>
    <row r="225" spans="1:65" x14ac:dyDescent="0.25">
      <c r="A225" s="13">
        <v>5749</v>
      </c>
      <c r="B225" s="14" t="s">
        <v>313</v>
      </c>
      <c r="C225" s="16">
        <v>6536165.4800000004</v>
      </c>
      <c r="D225" s="15">
        <v>459948.84</v>
      </c>
      <c r="E225" s="16">
        <v>66974</v>
      </c>
      <c r="F225" s="15">
        <v>0</v>
      </c>
      <c r="G225" s="16">
        <v>1045583.9</v>
      </c>
      <c r="H225" s="15">
        <v>15289.15</v>
      </c>
      <c r="I225" s="16">
        <v>10415.299999999999</v>
      </c>
      <c r="J225" s="15">
        <v>267843.32</v>
      </c>
      <c r="K225" s="17">
        <v>30621</v>
      </c>
      <c r="L225" s="16">
        <v>542925.80000000005</v>
      </c>
      <c r="M225" s="3">
        <f t="shared" si="9"/>
        <v>8975766.790000001</v>
      </c>
      <c r="N225" s="15">
        <v>663349.94999999995</v>
      </c>
      <c r="O225" s="16">
        <v>71764.3</v>
      </c>
      <c r="P225" s="15">
        <v>331411.34999999998</v>
      </c>
      <c r="Q225" s="16">
        <v>34396</v>
      </c>
      <c r="R225" s="15">
        <v>228115.55</v>
      </c>
      <c r="S225" s="16">
        <v>562.5</v>
      </c>
      <c r="T225" s="15">
        <v>3400</v>
      </c>
      <c r="U225" s="16">
        <v>19920</v>
      </c>
      <c r="V225" s="15">
        <v>3400</v>
      </c>
      <c r="W225" s="16">
        <v>5648.15</v>
      </c>
      <c r="X225" s="2">
        <f t="shared" si="10"/>
        <v>10337734.590000002</v>
      </c>
      <c r="Y225" s="18">
        <v>52494.35</v>
      </c>
      <c r="Z225" s="25"/>
      <c r="AA225" s="18">
        <v>453942.05</v>
      </c>
      <c r="AB225" s="25"/>
      <c r="AC225" s="18">
        <v>440133.65</v>
      </c>
      <c r="AD225" s="25">
        <v>52494.35</v>
      </c>
      <c r="AE225" s="18"/>
      <c r="AF225" s="25"/>
      <c r="AG225" s="18"/>
      <c r="AH225" s="25">
        <v>151023.79999999999</v>
      </c>
      <c r="AI225" s="18"/>
      <c r="AJ225" s="25"/>
      <c r="AK225" s="18"/>
      <c r="AL225" s="68">
        <f t="shared" si="11"/>
        <v>1150088.2</v>
      </c>
      <c r="AM225" s="33">
        <v>72</v>
      </c>
      <c r="AN225" s="34">
        <v>4050</v>
      </c>
      <c r="AO225" s="16">
        <v>-190671.69</v>
      </c>
      <c r="AP225" s="25"/>
      <c r="AQ225" s="16">
        <v>-266.69</v>
      </c>
      <c r="AR225" s="64">
        <v>1</v>
      </c>
      <c r="AS225" s="35"/>
      <c r="AT225" s="35"/>
      <c r="AU225" s="40"/>
      <c r="AV225" s="40"/>
      <c r="AW225" s="41"/>
      <c r="AX225" s="23"/>
      <c r="AZ225" s="40"/>
      <c r="BA225" s="40"/>
      <c r="BB225" s="41"/>
      <c r="BC225" s="42"/>
      <c r="BD225" s="42"/>
      <c r="BE225" s="42"/>
      <c r="BF225" s="42"/>
      <c r="BG225" s="42"/>
      <c r="BI225" s="38"/>
      <c r="BJ225" s="39"/>
      <c r="BK225" s="38"/>
      <c r="BL225" s="38"/>
      <c r="BM225" s="38"/>
    </row>
    <row r="226" spans="1:65" x14ac:dyDescent="0.25">
      <c r="A226" s="13">
        <v>5750</v>
      </c>
      <c r="B226" s="14" t="s">
        <v>314</v>
      </c>
      <c r="C226" s="16">
        <v>314681.48</v>
      </c>
      <c r="D226" s="15">
        <v>34887.019999999997</v>
      </c>
      <c r="E226" s="16">
        <v>920</v>
      </c>
      <c r="F226" s="15">
        <v>0</v>
      </c>
      <c r="G226" s="16">
        <v>880.7</v>
      </c>
      <c r="H226" s="15">
        <v>67.95</v>
      </c>
      <c r="I226" s="16">
        <v>0</v>
      </c>
      <c r="J226" s="15">
        <v>9040</v>
      </c>
      <c r="K226" s="17">
        <v>690.5</v>
      </c>
      <c r="L226" s="16">
        <v>11527.7</v>
      </c>
      <c r="M226" s="3">
        <f t="shared" si="9"/>
        <v>372695.35000000003</v>
      </c>
      <c r="N226" s="15">
        <v>4404.8500000000004</v>
      </c>
      <c r="O226" s="16" t="s">
        <v>512</v>
      </c>
      <c r="P226" s="15">
        <v>3323.5</v>
      </c>
      <c r="Q226" s="16">
        <v>782.59</v>
      </c>
      <c r="R226" s="15" t="s">
        <v>512</v>
      </c>
      <c r="S226" s="16">
        <v>0</v>
      </c>
      <c r="T226" s="15">
        <v>0</v>
      </c>
      <c r="U226" s="16">
        <v>460</v>
      </c>
      <c r="V226" s="15">
        <v>0</v>
      </c>
      <c r="W226" s="16">
        <v>0</v>
      </c>
      <c r="X226" s="2">
        <f t="shared" si="10"/>
        <v>381666.29000000004</v>
      </c>
      <c r="Y226" s="18">
        <v>135.55000000000001</v>
      </c>
      <c r="Z226" s="25"/>
      <c r="AA226" s="18">
        <v>24507</v>
      </c>
      <c r="AB226" s="25"/>
      <c r="AC226" s="18">
        <v>15165.7</v>
      </c>
      <c r="AD226" s="25">
        <v>86</v>
      </c>
      <c r="AE226" s="18"/>
      <c r="AF226" s="25"/>
      <c r="AG226" s="18">
        <v>339</v>
      </c>
      <c r="AH226" s="25">
        <v>4016.5</v>
      </c>
      <c r="AI226" s="18"/>
      <c r="AJ226" s="25"/>
      <c r="AK226" s="18"/>
      <c r="AL226" s="68">
        <f t="shared" si="11"/>
        <v>44249.75</v>
      </c>
      <c r="AM226" s="33">
        <v>80</v>
      </c>
      <c r="AN226" s="34">
        <v>176</v>
      </c>
      <c r="AO226" s="16">
        <v>-1515.7</v>
      </c>
      <c r="AP226" s="25"/>
      <c r="AQ226" s="16">
        <v>0</v>
      </c>
      <c r="AR226" s="64">
        <v>0.6</v>
      </c>
      <c r="AS226" s="35"/>
      <c r="AT226" s="35"/>
      <c r="AU226" s="40"/>
      <c r="AV226" s="40"/>
      <c r="AW226" s="41"/>
      <c r="AX226" s="23"/>
      <c r="AZ226" s="40"/>
      <c r="BA226" s="40"/>
      <c r="BB226" s="41"/>
      <c r="BC226" s="42"/>
      <c r="BD226" s="42"/>
      <c r="BE226" s="42"/>
      <c r="BF226" s="42"/>
      <c r="BG226" s="42"/>
      <c r="BI226" s="38"/>
      <c r="BJ226" s="39"/>
      <c r="BK226" s="38"/>
      <c r="BL226" s="38"/>
      <c r="BM226" s="38"/>
    </row>
    <row r="227" spans="1:65" x14ac:dyDescent="0.25">
      <c r="A227" s="13">
        <v>5751</v>
      </c>
      <c r="B227" s="14" t="s">
        <v>379</v>
      </c>
      <c r="C227" s="16">
        <v>503288.57</v>
      </c>
      <c r="D227" s="15">
        <v>76845.320000000007</v>
      </c>
      <c r="E227" s="16">
        <v>0</v>
      </c>
      <c r="F227" s="15">
        <v>0</v>
      </c>
      <c r="G227" s="16">
        <v>7446.7</v>
      </c>
      <c r="H227" s="15">
        <v>1983.2</v>
      </c>
      <c r="I227" s="16">
        <v>0</v>
      </c>
      <c r="J227" s="15">
        <v>6263.99</v>
      </c>
      <c r="K227" s="17">
        <v>1900.5</v>
      </c>
      <c r="L227" s="16">
        <v>51577.85</v>
      </c>
      <c r="M227" s="3">
        <f t="shared" si="9"/>
        <v>649306.12999999989</v>
      </c>
      <c r="N227" s="15">
        <v>14894.5</v>
      </c>
      <c r="O227" s="16" t="s">
        <v>512</v>
      </c>
      <c r="P227" s="15">
        <v>49048.95</v>
      </c>
      <c r="Q227" s="16">
        <v>0</v>
      </c>
      <c r="R227" s="15">
        <v>25161.75</v>
      </c>
      <c r="S227" s="16">
        <v>256.25</v>
      </c>
      <c r="T227" s="15">
        <v>0</v>
      </c>
      <c r="U227" s="16">
        <v>1200</v>
      </c>
      <c r="V227" s="15">
        <v>0</v>
      </c>
      <c r="W227" s="16">
        <v>0</v>
      </c>
      <c r="X227" s="2">
        <f t="shared" si="10"/>
        <v>739867.57999999984</v>
      </c>
      <c r="Y227" s="18"/>
      <c r="Z227" s="25"/>
      <c r="AA227" s="18">
        <v>33873</v>
      </c>
      <c r="AB227" s="25"/>
      <c r="AC227" s="18">
        <v>27693.45</v>
      </c>
      <c r="AD227" s="25">
        <v>12150</v>
      </c>
      <c r="AE227" s="18"/>
      <c r="AF227" s="25"/>
      <c r="AG227" s="18"/>
      <c r="AH227" s="25">
        <v>15919.95</v>
      </c>
      <c r="AI227" s="18"/>
      <c r="AJ227" s="25"/>
      <c r="AK227" s="18"/>
      <c r="AL227" s="68">
        <f t="shared" si="11"/>
        <v>89636.4</v>
      </c>
      <c r="AM227" s="33">
        <v>76</v>
      </c>
      <c r="AN227" s="34">
        <v>330</v>
      </c>
      <c r="AO227" s="16">
        <v>-2217.4299999999998</v>
      </c>
      <c r="AP227" s="25"/>
      <c r="AQ227" s="16">
        <v>0</v>
      </c>
      <c r="AR227" s="64">
        <v>1.25</v>
      </c>
      <c r="AS227" s="35"/>
      <c r="AT227" s="35"/>
      <c r="AU227" s="40"/>
      <c r="AV227" s="40"/>
      <c r="AW227" s="41"/>
      <c r="AX227" s="23"/>
      <c r="AZ227" s="40"/>
      <c r="BA227" s="40"/>
      <c r="BB227" s="41"/>
      <c r="BC227" s="42"/>
      <c r="BD227" s="42"/>
      <c r="BE227" s="42"/>
      <c r="BF227" s="42"/>
      <c r="BG227" s="42"/>
      <c r="BI227" s="38"/>
      <c r="BJ227" s="39"/>
      <c r="BK227" s="38"/>
      <c r="BL227" s="38"/>
      <c r="BM227" s="38"/>
    </row>
    <row r="228" spans="1:65" x14ac:dyDescent="0.25">
      <c r="A228" s="13">
        <v>5752</v>
      </c>
      <c r="B228" s="14" t="s">
        <v>380</v>
      </c>
      <c r="C228" s="16">
        <v>432591.69</v>
      </c>
      <c r="D228" s="15">
        <v>90362.18</v>
      </c>
      <c r="E228" s="16">
        <v>0</v>
      </c>
      <c r="F228" s="15">
        <v>0</v>
      </c>
      <c r="G228" s="16">
        <v>42910.8</v>
      </c>
      <c r="H228" s="15">
        <v>110.8</v>
      </c>
      <c r="I228" s="16">
        <v>0</v>
      </c>
      <c r="J228" s="15">
        <v>2371.91</v>
      </c>
      <c r="K228" s="17">
        <v>-1542.3</v>
      </c>
      <c r="L228" s="16">
        <v>29806.799999999999</v>
      </c>
      <c r="M228" s="3">
        <f t="shared" si="9"/>
        <v>596611.88000000012</v>
      </c>
      <c r="N228" s="15">
        <v>22455.75</v>
      </c>
      <c r="O228" s="16">
        <v>6.2</v>
      </c>
      <c r="P228" s="15">
        <v>6251.95</v>
      </c>
      <c r="Q228" s="16">
        <v>1825.8</v>
      </c>
      <c r="R228" s="15">
        <v>8745.85</v>
      </c>
      <c r="S228" s="16">
        <v>62.5</v>
      </c>
      <c r="T228" s="15">
        <v>0</v>
      </c>
      <c r="U228" s="16">
        <v>2000</v>
      </c>
      <c r="V228" s="15">
        <v>0</v>
      </c>
      <c r="W228" s="16">
        <v>0</v>
      </c>
      <c r="X228" s="2">
        <f t="shared" si="10"/>
        <v>637959.93000000005</v>
      </c>
      <c r="Y228" s="18">
        <v>2880</v>
      </c>
      <c r="Z228" s="25"/>
      <c r="AA228" s="18">
        <v>47197.599999999999</v>
      </c>
      <c r="AB228" s="25"/>
      <c r="AC228" s="18">
        <v>16562.849999999999</v>
      </c>
      <c r="AD228" s="25">
        <v>2880</v>
      </c>
      <c r="AE228" s="18">
        <v>52</v>
      </c>
      <c r="AF228" s="25"/>
      <c r="AG228" s="18"/>
      <c r="AH228" s="25"/>
      <c r="AI228" s="18"/>
      <c r="AJ228" s="25"/>
      <c r="AK228" s="18"/>
      <c r="AL228" s="68">
        <f t="shared" si="11"/>
        <v>69572.45</v>
      </c>
      <c r="AM228" s="33">
        <v>74</v>
      </c>
      <c r="AN228" s="34">
        <v>321</v>
      </c>
      <c r="AO228" s="16">
        <v>-9789.44</v>
      </c>
      <c r="AP228" s="25"/>
      <c r="AQ228" s="16">
        <v>0</v>
      </c>
      <c r="AR228" s="64">
        <v>0.7</v>
      </c>
      <c r="AS228" s="35"/>
      <c r="AT228" s="35"/>
      <c r="AU228" s="40"/>
      <c r="AV228" s="40"/>
      <c r="AW228" s="41"/>
      <c r="AX228" s="23"/>
      <c r="AZ228" s="40"/>
      <c r="BA228" s="40"/>
      <c r="BB228" s="41"/>
      <c r="BC228" s="42"/>
      <c r="BD228" s="42"/>
      <c r="BE228" s="42"/>
      <c r="BF228" s="42"/>
      <c r="BG228" s="42"/>
      <c r="BI228" s="38"/>
      <c r="BJ228" s="39"/>
      <c r="BK228" s="38"/>
      <c r="BL228" s="38"/>
      <c r="BM228" s="38"/>
    </row>
    <row r="229" spans="1:65" x14ac:dyDescent="0.25">
      <c r="A229" s="13">
        <v>5754</v>
      </c>
      <c r="B229" s="14" t="s">
        <v>381</v>
      </c>
      <c r="C229" s="16">
        <v>462599.57</v>
      </c>
      <c r="D229" s="15">
        <v>26003.32</v>
      </c>
      <c r="E229" s="16">
        <v>0</v>
      </c>
      <c r="F229" s="15">
        <v>0</v>
      </c>
      <c r="G229" s="16">
        <v>2236.35</v>
      </c>
      <c r="H229" s="15">
        <v>152.6</v>
      </c>
      <c r="I229" s="16">
        <v>0</v>
      </c>
      <c r="J229" s="15">
        <v>11290.13</v>
      </c>
      <c r="K229" s="17">
        <v>597</v>
      </c>
      <c r="L229" s="16">
        <v>34120.5</v>
      </c>
      <c r="M229" s="3">
        <f t="shared" si="9"/>
        <v>536999.47</v>
      </c>
      <c r="N229" s="15">
        <v>6558.8</v>
      </c>
      <c r="O229" s="16" t="s">
        <v>512</v>
      </c>
      <c r="P229" s="15">
        <v>639.1</v>
      </c>
      <c r="Q229" s="16">
        <v>0</v>
      </c>
      <c r="R229" s="15">
        <v>2027.9</v>
      </c>
      <c r="S229" s="16">
        <v>0</v>
      </c>
      <c r="T229" s="15">
        <v>0</v>
      </c>
      <c r="U229" s="16">
        <v>1320</v>
      </c>
      <c r="V229" s="15">
        <v>0</v>
      </c>
      <c r="W229" s="16">
        <v>0</v>
      </c>
      <c r="X229" s="2">
        <f t="shared" si="10"/>
        <v>547545.27</v>
      </c>
      <c r="Y229" s="18">
        <v>1100</v>
      </c>
      <c r="Z229" s="25"/>
      <c r="AA229" s="18">
        <v>34562.5</v>
      </c>
      <c r="AB229" s="25"/>
      <c r="AC229" s="18">
        <v>36220</v>
      </c>
      <c r="AD229" s="25">
        <v>550</v>
      </c>
      <c r="AE229" s="18"/>
      <c r="AF229" s="25"/>
      <c r="AG229" s="18"/>
      <c r="AH229" s="25"/>
      <c r="AI229" s="18"/>
      <c r="AJ229" s="25"/>
      <c r="AK229" s="18"/>
      <c r="AL229" s="68">
        <f t="shared" si="11"/>
        <v>72432.5</v>
      </c>
      <c r="AM229" s="33">
        <v>79</v>
      </c>
      <c r="AN229" s="34">
        <v>307</v>
      </c>
      <c r="AO229" s="16">
        <v>-1409.85</v>
      </c>
      <c r="AP229" s="25"/>
      <c r="AQ229" s="16">
        <v>-32.97</v>
      </c>
      <c r="AR229" s="64">
        <v>1</v>
      </c>
      <c r="AS229" s="35"/>
      <c r="AT229" s="35"/>
      <c r="AU229" s="40"/>
      <c r="AV229" s="40"/>
      <c r="AW229" s="41"/>
      <c r="AX229" s="23"/>
      <c r="AZ229" s="40"/>
      <c r="BA229" s="40"/>
      <c r="BB229" s="41"/>
      <c r="BC229" s="42"/>
      <c r="BD229" s="42"/>
      <c r="BE229" s="42"/>
      <c r="BF229" s="42"/>
      <c r="BG229" s="42"/>
      <c r="BI229" s="38"/>
      <c r="BJ229" s="39"/>
      <c r="BK229" s="38"/>
      <c r="BL229" s="38"/>
      <c r="BM229" s="38"/>
    </row>
    <row r="230" spans="1:65" x14ac:dyDescent="0.25">
      <c r="A230" s="13">
        <v>5755</v>
      </c>
      <c r="B230" s="14" t="s">
        <v>382</v>
      </c>
      <c r="C230" s="16">
        <v>578819.63</v>
      </c>
      <c r="D230" s="15">
        <v>58772.17</v>
      </c>
      <c r="E230" s="16">
        <v>0</v>
      </c>
      <c r="F230" s="15">
        <v>0</v>
      </c>
      <c r="G230" s="16">
        <v>19120.849999999999</v>
      </c>
      <c r="H230" s="15">
        <v>388.6</v>
      </c>
      <c r="I230" s="16">
        <v>29898.3</v>
      </c>
      <c r="J230" s="15">
        <v>5790.58</v>
      </c>
      <c r="K230" s="17">
        <v>1039</v>
      </c>
      <c r="L230" s="16">
        <v>32473.75</v>
      </c>
      <c r="M230" s="3">
        <f t="shared" si="9"/>
        <v>726302.88</v>
      </c>
      <c r="N230" s="15">
        <v>13879.35</v>
      </c>
      <c r="O230" s="16">
        <v>44000</v>
      </c>
      <c r="P230" s="15">
        <v>22122</v>
      </c>
      <c r="Q230" s="16">
        <v>227.38</v>
      </c>
      <c r="R230" s="15">
        <v>13125</v>
      </c>
      <c r="S230" s="16">
        <v>62.6</v>
      </c>
      <c r="T230" s="15">
        <v>0</v>
      </c>
      <c r="U230" s="16">
        <v>2700</v>
      </c>
      <c r="V230" s="15">
        <v>0</v>
      </c>
      <c r="W230" s="16">
        <v>0</v>
      </c>
      <c r="X230" s="2">
        <f t="shared" si="10"/>
        <v>822419.21</v>
      </c>
      <c r="Y230" s="18">
        <v>14240</v>
      </c>
      <c r="Z230" s="25"/>
      <c r="AA230" s="18">
        <v>58880</v>
      </c>
      <c r="AB230" s="25"/>
      <c r="AC230" s="18">
        <v>43629.45</v>
      </c>
      <c r="AD230" s="25">
        <v>14240</v>
      </c>
      <c r="AE230" s="18"/>
      <c r="AF230" s="25"/>
      <c r="AG230" s="18"/>
      <c r="AH230" s="25"/>
      <c r="AI230" s="18"/>
      <c r="AJ230" s="25"/>
      <c r="AK230" s="18"/>
      <c r="AL230" s="68">
        <f t="shared" si="11"/>
        <v>130989.45</v>
      </c>
      <c r="AM230" s="33">
        <v>81</v>
      </c>
      <c r="AN230" s="34">
        <v>391</v>
      </c>
      <c r="AO230" s="16">
        <v>-11903.17</v>
      </c>
      <c r="AP230" s="25"/>
      <c r="AQ230" s="16">
        <v>-4.0999999999999996</v>
      </c>
      <c r="AR230" s="64">
        <v>0.7</v>
      </c>
      <c r="AS230" s="35"/>
      <c r="AT230" s="35"/>
      <c r="AU230" s="40"/>
      <c r="AV230" s="40"/>
      <c r="AW230" s="41"/>
      <c r="AX230" s="23"/>
      <c r="AZ230" s="40"/>
      <c r="BA230" s="40"/>
      <c r="BB230" s="41"/>
      <c r="BC230" s="42"/>
      <c r="BD230" s="42"/>
      <c r="BE230" s="42"/>
      <c r="BF230" s="42"/>
      <c r="BG230" s="42"/>
      <c r="BI230" s="38"/>
      <c r="BJ230" s="39"/>
      <c r="BK230" s="38"/>
      <c r="BL230" s="38"/>
      <c r="BM230" s="38"/>
    </row>
    <row r="231" spans="1:65" x14ac:dyDescent="0.25">
      <c r="A231" s="13">
        <v>5756</v>
      </c>
      <c r="B231" s="14" t="s">
        <v>383</v>
      </c>
      <c r="C231" s="16">
        <v>880794.47</v>
      </c>
      <c r="D231" s="15">
        <v>108791.03999999999</v>
      </c>
      <c r="E231" s="16">
        <v>0</v>
      </c>
      <c r="F231" s="15">
        <v>0</v>
      </c>
      <c r="G231" s="16">
        <v>29308.05</v>
      </c>
      <c r="H231" s="15">
        <v>1914.5</v>
      </c>
      <c r="I231" s="16">
        <v>0</v>
      </c>
      <c r="J231" s="15">
        <v>2532.85</v>
      </c>
      <c r="K231" s="17">
        <v>225</v>
      </c>
      <c r="L231" s="16">
        <v>45709.55</v>
      </c>
      <c r="M231" s="3">
        <f t="shared" si="9"/>
        <v>1069275.46</v>
      </c>
      <c r="N231" s="15">
        <v>20928.900000000001</v>
      </c>
      <c r="O231" s="16">
        <v>37651.300000000003</v>
      </c>
      <c r="P231" s="15">
        <v>17135.099999999999</v>
      </c>
      <c r="Q231" s="16">
        <v>1818.24</v>
      </c>
      <c r="R231" s="15">
        <v>13598.6</v>
      </c>
      <c r="S231" s="16">
        <v>1012.5</v>
      </c>
      <c r="T231" s="15">
        <v>0</v>
      </c>
      <c r="U231" s="16">
        <v>1635</v>
      </c>
      <c r="V231" s="15">
        <v>0</v>
      </c>
      <c r="W231" s="16">
        <v>0</v>
      </c>
      <c r="X231" s="2">
        <f t="shared" si="10"/>
        <v>1163055.1000000001</v>
      </c>
      <c r="Y231" s="18"/>
      <c r="Z231" s="25"/>
      <c r="AA231" s="18">
        <v>43011.1</v>
      </c>
      <c r="AB231" s="25"/>
      <c r="AC231" s="18">
        <v>16708.599999999999</v>
      </c>
      <c r="AD231" s="25">
        <v>22445.8</v>
      </c>
      <c r="AE231" s="18"/>
      <c r="AF231" s="25"/>
      <c r="AG231" s="18"/>
      <c r="AH231" s="25">
        <v>12245.2</v>
      </c>
      <c r="AI231" s="18"/>
      <c r="AJ231" s="25"/>
      <c r="AK231" s="18"/>
      <c r="AL231" s="68">
        <f t="shared" si="11"/>
        <v>94410.7</v>
      </c>
      <c r="AM231" s="33">
        <v>69</v>
      </c>
      <c r="AN231" s="34">
        <v>471</v>
      </c>
      <c r="AO231" s="16">
        <v>-18577.12</v>
      </c>
      <c r="AP231" s="25"/>
      <c r="AQ231" s="16">
        <v>-150.11000000000001</v>
      </c>
      <c r="AR231" s="64">
        <v>0.6</v>
      </c>
      <c r="AS231" s="35"/>
      <c r="AT231" s="35"/>
      <c r="AU231" s="40"/>
      <c r="AV231" s="40"/>
      <c r="AW231" s="41"/>
      <c r="AX231" s="23"/>
      <c r="AZ231" s="40"/>
      <c r="BA231" s="40"/>
      <c r="BB231" s="41"/>
      <c r="BC231" s="42"/>
      <c r="BD231" s="42"/>
      <c r="BE231" s="42"/>
      <c r="BF231" s="42"/>
      <c r="BG231" s="42"/>
      <c r="BI231" s="38"/>
      <c r="BJ231" s="39"/>
      <c r="BK231" s="38"/>
      <c r="BL231" s="38"/>
      <c r="BM231" s="38"/>
    </row>
    <row r="232" spans="1:65" x14ac:dyDescent="0.25">
      <c r="A232" s="13">
        <v>5757</v>
      </c>
      <c r="B232" s="14" t="s">
        <v>384</v>
      </c>
      <c r="C232" s="16">
        <v>9731260.9100000001</v>
      </c>
      <c r="D232" s="15">
        <v>715769.01</v>
      </c>
      <c r="E232" s="16">
        <v>0</v>
      </c>
      <c r="F232" s="15">
        <v>0</v>
      </c>
      <c r="G232" s="16">
        <v>2147767.75</v>
      </c>
      <c r="H232" s="15">
        <v>41052</v>
      </c>
      <c r="I232" s="16">
        <v>0</v>
      </c>
      <c r="J232" s="15">
        <v>447318.57</v>
      </c>
      <c r="K232" s="17">
        <v>67554.55</v>
      </c>
      <c r="L232" s="16">
        <v>1015882.55</v>
      </c>
      <c r="M232" s="3">
        <f t="shared" si="9"/>
        <v>14166605.340000002</v>
      </c>
      <c r="N232" s="15">
        <v>2518020.6</v>
      </c>
      <c r="O232" s="16">
        <v>64045.2</v>
      </c>
      <c r="P232" s="15">
        <v>450306.85</v>
      </c>
      <c r="Q232" s="16">
        <v>165173.26</v>
      </c>
      <c r="R232" s="15">
        <v>236216.9</v>
      </c>
      <c r="S232" s="16">
        <v>1200</v>
      </c>
      <c r="T232" s="15">
        <v>0</v>
      </c>
      <c r="U232" s="16">
        <v>40455</v>
      </c>
      <c r="V232" s="15">
        <v>0</v>
      </c>
      <c r="W232" s="16">
        <v>0</v>
      </c>
      <c r="X232" s="2">
        <f t="shared" si="10"/>
        <v>17642023.150000002</v>
      </c>
      <c r="Y232" s="18"/>
      <c r="Z232" s="25">
        <v>61150</v>
      </c>
      <c r="AA232" s="18"/>
      <c r="AB232" s="25"/>
      <c r="AC232" s="18">
        <v>614562</v>
      </c>
      <c r="AD232" s="25">
        <v>27960</v>
      </c>
      <c r="AE232" s="18"/>
      <c r="AF232" s="25"/>
      <c r="AG232" s="18">
        <v>21163</v>
      </c>
      <c r="AH232" s="25"/>
      <c r="AI232" s="18">
        <v>140403</v>
      </c>
      <c r="AJ232" s="25">
        <v>140403</v>
      </c>
      <c r="AK232" s="18"/>
      <c r="AL232" s="68">
        <f t="shared" si="11"/>
        <v>1005641</v>
      </c>
      <c r="AM232" s="33">
        <v>69</v>
      </c>
      <c r="AN232" s="34">
        <v>6738</v>
      </c>
      <c r="AO232" s="16">
        <v>-281079.86</v>
      </c>
      <c r="AP232" s="25"/>
      <c r="AQ232" s="16">
        <v>-1111.29</v>
      </c>
      <c r="AR232" s="64">
        <v>1</v>
      </c>
      <c r="AS232" s="35"/>
      <c r="AT232" s="35"/>
      <c r="AU232" s="40"/>
      <c r="AV232" s="40"/>
      <c r="AW232" s="41"/>
      <c r="AX232" s="23"/>
      <c r="AZ232" s="40"/>
      <c r="BA232" s="40"/>
      <c r="BB232" s="41"/>
      <c r="BC232" s="42"/>
      <c r="BD232" s="42"/>
      <c r="BE232" s="42"/>
      <c r="BF232" s="42"/>
      <c r="BG232" s="42"/>
      <c r="BI232" s="38"/>
      <c r="BJ232" s="39"/>
      <c r="BK232" s="38"/>
      <c r="BL232" s="38"/>
      <c r="BM232" s="38"/>
    </row>
    <row r="233" spans="1:65" x14ac:dyDescent="0.25">
      <c r="A233" s="13">
        <v>5758</v>
      </c>
      <c r="B233" s="14" t="s">
        <v>255</v>
      </c>
      <c r="C233" s="16">
        <v>249956.73</v>
      </c>
      <c r="D233" s="15">
        <v>40951.599999999999</v>
      </c>
      <c r="E233" s="16">
        <v>0</v>
      </c>
      <c r="F233" s="15">
        <v>790</v>
      </c>
      <c r="G233" s="16">
        <v>11905.9</v>
      </c>
      <c r="H233" s="15">
        <v>185.7</v>
      </c>
      <c r="I233" s="16">
        <v>0</v>
      </c>
      <c r="J233" s="15">
        <v>1666</v>
      </c>
      <c r="K233" s="17">
        <v>0</v>
      </c>
      <c r="L233" s="16">
        <v>17742.55</v>
      </c>
      <c r="M233" s="3">
        <f t="shared" si="9"/>
        <v>323198.48000000004</v>
      </c>
      <c r="N233" s="15">
        <v>0</v>
      </c>
      <c r="O233" s="16" t="s">
        <v>512</v>
      </c>
      <c r="P233" s="15">
        <v>4532</v>
      </c>
      <c r="Q233" s="16">
        <v>0</v>
      </c>
      <c r="R233" s="15">
        <v>20603.95</v>
      </c>
      <c r="S233" s="16">
        <v>0</v>
      </c>
      <c r="T233" s="15">
        <v>0</v>
      </c>
      <c r="U233" s="16">
        <v>840</v>
      </c>
      <c r="V233" s="15">
        <v>0</v>
      </c>
      <c r="W233" s="16">
        <v>0</v>
      </c>
      <c r="X233" s="2">
        <f t="shared" si="10"/>
        <v>349174.43000000005</v>
      </c>
      <c r="Y233" s="18">
        <v>5302.4</v>
      </c>
      <c r="Z233" s="25"/>
      <c r="AA233" s="18">
        <v>23180.2</v>
      </c>
      <c r="AB233" s="25"/>
      <c r="AC233" s="18">
        <v>12727.45</v>
      </c>
      <c r="AD233" s="25">
        <v>27239.8</v>
      </c>
      <c r="AE233" s="18"/>
      <c r="AF233" s="25"/>
      <c r="AG233" s="18"/>
      <c r="AH233" s="25"/>
      <c r="AI233" s="18"/>
      <c r="AJ233" s="25"/>
      <c r="AK233" s="18"/>
      <c r="AL233" s="68">
        <f t="shared" si="11"/>
        <v>68449.850000000006</v>
      </c>
      <c r="AM233" s="33">
        <v>83</v>
      </c>
      <c r="AN233" s="34">
        <v>156</v>
      </c>
      <c r="AO233" s="16">
        <v>-5276.27</v>
      </c>
      <c r="AP233" s="25"/>
      <c r="AQ233" s="16">
        <v>0</v>
      </c>
      <c r="AR233" s="64">
        <v>0.9</v>
      </c>
      <c r="AS233" s="35"/>
      <c r="AT233" s="35"/>
      <c r="AU233" s="40"/>
      <c r="AV233" s="40"/>
      <c r="AW233" s="41"/>
      <c r="AX233" s="23"/>
      <c r="AZ233" s="40"/>
      <c r="BA233" s="40"/>
      <c r="BB233" s="41"/>
      <c r="BC233" s="42"/>
      <c r="BD233" s="42"/>
      <c r="BE233" s="42"/>
      <c r="BF233" s="42"/>
      <c r="BG233" s="42"/>
      <c r="BI233" s="38"/>
      <c r="BJ233" s="39"/>
      <c r="BK233" s="38"/>
      <c r="BL233" s="38"/>
      <c r="BM233" s="38"/>
    </row>
    <row r="234" spans="1:65" x14ac:dyDescent="0.25">
      <c r="A234" s="13">
        <v>5759</v>
      </c>
      <c r="B234" s="14" t="s">
        <v>256</v>
      </c>
      <c r="C234" s="16">
        <v>238931.25</v>
      </c>
      <c r="D234" s="15">
        <v>42391.15</v>
      </c>
      <c r="E234" s="16">
        <v>0</v>
      </c>
      <c r="F234" s="15">
        <v>0</v>
      </c>
      <c r="G234" s="16">
        <v>6731.35</v>
      </c>
      <c r="H234" s="15">
        <v>18.899999999999999</v>
      </c>
      <c r="I234" s="16">
        <v>0</v>
      </c>
      <c r="J234" s="15">
        <v>2006.73</v>
      </c>
      <c r="K234" s="17">
        <v>168</v>
      </c>
      <c r="L234" s="16">
        <v>25013.3</v>
      </c>
      <c r="M234" s="3">
        <f t="shared" si="9"/>
        <v>315260.68</v>
      </c>
      <c r="N234" s="15">
        <v>3172.5</v>
      </c>
      <c r="O234" s="16">
        <v>6884.2</v>
      </c>
      <c r="P234" s="15">
        <v>15297.5</v>
      </c>
      <c r="Q234" s="16">
        <v>0</v>
      </c>
      <c r="R234" s="15">
        <v>3659.8</v>
      </c>
      <c r="S234" s="16">
        <v>0</v>
      </c>
      <c r="T234" s="15">
        <v>0</v>
      </c>
      <c r="U234" s="16">
        <v>950</v>
      </c>
      <c r="V234" s="15">
        <v>0</v>
      </c>
      <c r="W234" s="16">
        <v>0</v>
      </c>
      <c r="X234" s="2">
        <f t="shared" si="10"/>
        <v>345224.68</v>
      </c>
      <c r="Y234" s="18"/>
      <c r="Z234" s="25"/>
      <c r="AA234" s="18">
        <v>23423.1</v>
      </c>
      <c r="AB234" s="25"/>
      <c r="AC234" s="18">
        <v>16516</v>
      </c>
      <c r="AD234" s="25">
        <v>0</v>
      </c>
      <c r="AE234" s="18"/>
      <c r="AF234" s="25"/>
      <c r="AG234" s="18"/>
      <c r="AH234" s="25"/>
      <c r="AI234" s="18"/>
      <c r="AJ234" s="25"/>
      <c r="AK234" s="18"/>
      <c r="AL234" s="68">
        <f t="shared" si="11"/>
        <v>39939.1</v>
      </c>
      <c r="AM234" s="33">
        <v>81</v>
      </c>
      <c r="AN234" s="34">
        <v>182</v>
      </c>
      <c r="AO234" s="16">
        <v>-452.97</v>
      </c>
      <c r="AP234" s="25"/>
      <c r="AQ234" s="16">
        <v>-73.44</v>
      </c>
      <c r="AR234" s="64">
        <v>1</v>
      </c>
      <c r="AS234" s="35"/>
      <c r="AT234" s="35"/>
      <c r="AU234" s="40"/>
      <c r="AV234" s="40"/>
      <c r="AW234" s="41"/>
      <c r="AX234" s="23"/>
      <c r="AZ234" s="40"/>
      <c r="BA234" s="40"/>
      <c r="BB234" s="41"/>
      <c r="BC234" s="42"/>
      <c r="BD234" s="42"/>
      <c r="BE234" s="42"/>
      <c r="BF234" s="42"/>
      <c r="BG234" s="42"/>
      <c r="BI234" s="38"/>
      <c r="BJ234" s="39"/>
      <c r="BK234" s="38"/>
      <c r="BL234" s="38"/>
      <c r="BM234" s="38"/>
    </row>
    <row r="235" spans="1:65" x14ac:dyDescent="0.25">
      <c r="A235" s="13">
        <v>5760</v>
      </c>
      <c r="B235" s="14" t="s">
        <v>257</v>
      </c>
      <c r="C235" s="16">
        <v>768273.3</v>
      </c>
      <c r="D235" s="15">
        <v>68246.97</v>
      </c>
      <c r="E235" s="16">
        <v>0</v>
      </c>
      <c r="F235" s="15">
        <v>2210</v>
      </c>
      <c r="G235" s="16">
        <v>-7498.75</v>
      </c>
      <c r="H235" s="15">
        <v>431.05</v>
      </c>
      <c r="I235" s="16">
        <v>0</v>
      </c>
      <c r="J235" s="15">
        <v>6844.11</v>
      </c>
      <c r="K235" s="17">
        <v>0</v>
      </c>
      <c r="L235" s="16">
        <v>87976.65</v>
      </c>
      <c r="M235" s="3">
        <f t="shared" si="9"/>
        <v>926483.33000000007</v>
      </c>
      <c r="N235" s="15">
        <v>7799.35</v>
      </c>
      <c r="O235" s="16">
        <v>3717.9</v>
      </c>
      <c r="P235" s="15">
        <v>19326.849999999999</v>
      </c>
      <c r="Q235" s="16">
        <v>1583.65</v>
      </c>
      <c r="R235" s="15">
        <v>32436.35</v>
      </c>
      <c r="S235" s="16">
        <v>93.9</v>
      </c>
      <c r="T235" s="15">
        <v>550</v>
      </c>
      <c r="U235" s="16">
        <v>2525</v>
      </c>
      <c r="V235" s="15">
        <v>0</v>
      </c>
      <c r="W235" s="18">
        <v>0</v>
      </c>
      <c r="X235" s="2">
        <f t="shared" si="10"/>
        <v>994516.33000000007</v>
      </c>
      <c r="Y235" s="18">
        <v>7631.75</v>
      </c>
      <c r="Z235" s="25"/>
      <c r="AA235" s="18">
        <v>47415.4</v>
      </c>
      <c r="AB235" s="25">
        <v>67869.55</v>
      </c>
      <c r="AC235" s="18">
        <v>26449.55</v>
      </c>
      <c r="AD235" s="25"/>
      <c r="AE235" s="18"/>
      <c r="AF235" s="25"/>
      <c r="AG235" s="18"/>
      <c r="AH235" s="25"/>
      <c r="AI235" s="18"/>
      <c r="AJ235" s="25"/>
      <c r="AK235" s="18"/>
      <c r="AL235" s="68">
        <f t="shared" si="11"/>
        <v>149366.25</v>
      </c>
      <c r="AM235" s="33">
        <v>78</v>
      </c>
      <c r="AN235" s="34">
        <v>436</v>
      </c>
      <c r="AO235" s="16">
        <v>-14828.25</v>
      </c>
      <c r="AP235" s="25">
        <v>-575.57000000000005</v>
      </c>
      <c r="AQ235" s="16"/>
      <c r="AR235" s="64">
        <v>1.5</v>
      </c>
      <c r="AS235" s="35"/>
      <c r="AT235" s="35"/>
      <c r="AU235" s="40"/>
      <c r="AV235" s="40"/>
      <c r="AW235" s="41"/>
      <c r="AX235" s="23"/>
      <c r="AZ235" s="40"/>
      <c r="BA235" s="40"/>
      <c r="BB235" s="41"/>
      <c r="BC235" s="42"/>
      <c r="BD235" s="42"/>
      <c r="BE235" s="42"/>
      <c r="BF235" s="42"/>
      <c r="BG235" s="42"/>
      <c r="BI235" s="38"/>
      <c r="BJ235" s="39"/>
      <c r="BK235" s="38"/>
      <c r="BL235" s="38"/>
      <c r="BM235" s="38"/>
    </row>
    <row r="236" spans="1:65" x14ac:dyDescent="0.25">
      <c r="A236" s="13">
        <v>5761</v>
      </c>
      <c r="B236" s="14" t="s">
        <v>171</v>
      </c>
      <c r="C236" s="16">
        <v>723616.98</v>
      </c>
      <c r="D236" s="15">
        <v>86796.33</v>
      </c>
      <c r="E236" s="16">
        <v>0</v>
      </c>
      <c r="F236" s="15">
        <v>0</v>
      </c>
      <c r="G236" s="16">
        <v>6251.8</v>
      </c>
      <c r="H236" s="15">
        <v>862.1</v>
      </c>
      <c r="I236" s="16">
        <v>-20825.900000000001</v>
      </c>
      <c r="J236" s="15">
        <v>47213.56</v>
      </c>
      <c r="K236" s="17">
        <v>3646</v>
      </c>
      <c r="L236" s="16">
        <v>52645.7</v>
      </c>
      <c r="M236" s="3">
        <f t="shared" si="9"/>
        <v>900206.56999999983</v>
      </c>
      <c r="N236" s="15">
        <v>41477.599999999999</v>
      </c>
      <c r="O236" s="16">
        <v>4654.3</v>
      </c>
      <c r="P236" s="15">
        <v>31489.05</v>
      </c>
      <c r="Q236" s="16">
        <v>35248.61</v>
      </c>
      <c r="R236" s="15">
        <v>34603.25</v>
      </c>
      <c r="S236" s="16">
        <v>245</v>
      </c>
      <c r="T236" s="15">
        <v>0</v>
      </c>
      <c r="U236" s="16">
        <v>3132</v>
      </c>
      <c r="V236" s="15">
        <v>0</v>
      </c>
      <c r="W236" s="18">
        <v>0</v>
      </c>
      <c r="X236" s="2">
        <f t="shared" si="10"/>
        <v>1051056.3799999999</v>
      </c>
      <c r="Y236" s="18">
        <v>13156</v>
      </c>
      <c r="Z236" s="25"/>
      <c r="AA236" s="18">
        <v>91571.9</v>
      </c>
      <c r="AB236" s="25"/>
      <c r="AC236" s="18">
        <v>47089.5</v>
      </c>
      <c r="AD236" s="25">
        <v>4784</v>
      </c>
      <c r="AE236" s="18"/>
      <c r="AF236" s="25"/>
      <c r="AG236" s="18"/>
      <c r="AH236" s="25">
        <v>19818.55</v>
      </c>
      <c r="AI236" s="18"/>
      <c r="AJ236" s="25"/>
      <c r="AK236" s="18"/>
      <c r="AL236" s="68">
        <f t="shared" si="11"/>
        <v>176419.94999999998</v>
      </c>
      <c r="AM236" s="33">
        <v>76</v>
      </c>
      <c r="AN236" s="34">
        <v>527</v>
      </c>
      <c r="AO236" s="16">
        <v>-31569.4</v>
      </c>
      <c r="AP236" s="25"/>
      <c r="AQ236" s="16">
        <v>-4.54</v>
      </c>
      <c r="AR236" s="64">
        <v>0.8</v>
      </c>
      <c r="AS236" s="35"/>
      <c r="AT236" s="35"/>
      <c r="AU236" s="40"/>
      <c r="AV236" s="40"/>
      <c r="AW236" s="41"/>
      <c r="AX236" s="23"/>
      <c r="AZ236" s="40"/>
      <c r="BA236" s="40"/>
      <c r="BB236" s="41"/>
      <c r="BC236" s="42"/>
      <c r="BD236" s="42"/>
      <c r="BE236" s="42"/>
      <c r="BF236" s="42"/>
      <c r="BG236" s="42"/>
      <c r="BI236" s="38"/>
      <c r="BJ236" s="39"/>
      <c r="BK236" s="38"/>
      <c r="BL236" s="38"/>
      <c r="BM236" s="38"/>
    </row>
    <row r="237" spans="1:65" x14ac:dyDescent="0.25">
      <c r="A237" s="13">
        <v>5762</v>
      </c>
      <c r="B237" s="14" t="s">
        <v>172</v>
      </c>
      <c r="C237" s="16">
        <v>238957.61</v>
      </c>
      <c r="D237" s="15">
        <v>22607.200000000001</v>
      </c>
      <c r="E237" s="16">
        <v>0</v>
      </c>
      <c r="F237" s="15">
        <v>0</v>
      </c>
      <c r="G237" s="16">
        <v>61036.55</v>
      </c>
      <c r="H237" s="15">
        <v>0</v>
      </c>
      <c r="I237" s="16">
        <v>0</v>
      </c>
      <c r="J237" s="15">
        <v>1630.24</v>
      </c>
      <c r="K237" s="17">
        <v>0</v>
      </c>
      <c r="L237" s="16">
        <v>18134.099999999999</v>
      </c>
      <c r="M237" s="3">
        <f t="shared" si="9"/>
        <v>342365.69999999995</v>
      </c>
      <c r="N237" s="15">
        <v>9317.75</v>
      </c>
      <c r="O237" s="16">
        <v>1247.2</v>
      </c>
      <c r="P237" s="15">
        <v>3696.75</v>
      </c>
      <c r="Q237" s="16">
        <v>0</v>
      </c>
      <c r="R237" s="15" t="s">
        <v>512</v>
      </c>
      <c r="S237" s="16">
        <v>0</v>
      </c>
      <c r="T237" s="15">
        <v>0</v>
      </c>
      <c r="U237" s="16">
        <v>1200</v>
      </c>
      <c r="V237" s="15">
        <v>0</v>
      </c>
      <c r="W237" s="16">
        <v>0</v>
      </c>
      <c r="X237" s="2">
        <f t="shared" si="10"/>
        <v>357827.39999999997</v>
      </c>
      <c r="Y237" s="18"/>
      <c r="Z237" s="25"/>
      <c r="AA237" s="18">
        <v>5740</v>
      </c>
      <c r="AB237" s="25"/>
      <c r="AC237" s="18">
        <v>8623</v>
      </c>
      <c r="AD237" s="25"/>
      <c r="AE237" s="18"/>
      <c r="AF237" s="25"/>
      <c r="AG237" s="18"/>
      <c r="AH237" s="25"/>
      <c r="AI237" s="18"/>
      <c r="AJ237" s="25"/>
      <c r="AK237" s="18"/>
      <c r="AL237" s="68">
        <f t="shared" si="11"/>
        <v>14363</v>
      </c>
      <c r="AM237" s="33">
        <v>81</v>
      </c>
      <c r="AN237" s="34">
        <v>145</v>
      </c>
      <c r="AO237" s="16">
        <v>-50.75</v>
      </c>
      <c r="AP237" s="25"/>
      <c r="AQ237" s="16">
        <v>0</v>
      </c>
      <c r="AR237" s="64">
        <v>1</v>
      </c>
      <c r="AS237" s="35"/>
      <c r="AT237" s="35"/>
      <c r="AU237" s="40"/>
      <c r="AV237" s="40"/>
      <c r="AW237" s="41"/>
      <c r="AX237" s="23"/>
      <c r="AZ237" s="40"/>
      <c r="BA237" s="40"/>
      <c r="BB237" s="41"/>
      <c r="BC237" s="42"/>
      <c r="BD237" s="42"/>
      <c r="BE237" s="42"/>
      <c r="BF237" s="42"/>
      <c r="BG237" s="42"/>
      <c r="BI237" s="38"/>
      <c r="BJ237" s="39"/>
      <c r="BK237" s="38"/>
      <c r="BL237" s="38"/>
      <c r="BM237" s="38"/>
    </row>
    <row r="238" spans="1:65" x14ac:dyDescent="0.25">
      <c r="A238" s="13">
        <v>5763</v>
      </c>
      <c r="B238" s="14" t="s">
        <v>173</v>
      </c>
      <c r="C238" s="16">
        <v>864198.89</v>
      </c>
      <c r="D238" s="15">
        <v>85827.23</v>
      </c>
      <c r="E238" s="16">
        <v>0</v>
      </c>
      <c r="F238" s="15">
        <v>3190</v>
      </c>
      <c r="G238" s="16">
        <v>25552.6</v>
      </c>
      <c r="H238" s="15">
        <v>153.1</v>
      </c>
      <c r="I238" s="16">
        <v>0</v>
      </c>
      <c r="J238" s="15">
        <v>15561.67</v>
      </c>
      <c r="K238" s="17">
        <v>3624</v>
      </c>
      <c r="L238" s="16">
        <v>71351.649999999994</v>
      </c>
      <c r="M238" s="3">
        <f t="shared" si="9"/>
        <v>1069459.1399999999</v>
      </c>
      <c r="N238" s="15">
        <v>66847.600000000006</v>
      </c>
      <c r="O238" s="16" t="s">
        <v>512</v>
      </c>
      <c r="P238" s="15">
        <v>73004.899999999994</v>
      </c>
      <c r="Q238" s="16">
        <v>0</v>
      </c>
      <c r="R238" s="15">
        <v>29554.25</v>
      </c>
      <c r="S238" s="16">
        <v>0</v>
      </c>
      <c r="T238" s="15">
        <v>1350</v>
      </c>
      <c r="U238" s="16">
        <v>3550</v>
      </c>
      <c r="V238" s="15">
        <v>0</v>
      </c>
      <c r="W238" s="16">
        <v>0</v>
      </c>
      <c r="X238" s="2">
        <f t="shared" si="10"/>
        <v>1243765.8899999999</v>
      </c>
      <c r="Y238" s="18">
        <v>18852</v>
      </c>
      <c r="Z238" s="25"/>
      <c r="AA238" s="18">
        <v>91455.1</v>
      </c>
      <c r="AB238" s="25"/>
      <c r="AC238" s="18">
        <v>56314.05</v>
      </c>
      <c r="AD238" s="25">
        <v>7005</v>
      </c>
      <c r="AE238" s="18"/>
      <c r="AF238" s="25"/>
      <c r="AG238" s="18"/>
      <c r="AH238" s="25"/>
      <c r="AI238" s="18"/>
      <c r="AJ238" s="25"/>
      <c r="AK238" s="18"/>
      <c r="AL238" s="68">
        <f t="shared" si="11"/>
        <v>173626.15000000002</v>
      </c>
      <c r="AM238" s="33">
        <v>68</v>
      </c>
      <c r="AN238" s="34">
        <v>584</v>
      </c>
      <c r="AO238" s="16">
        <v>1851.01</v>
      </c>
      <c r="AP238" s="25"/>
      <c r="AQ238" s="16">
        <v>-99.4</v>
      </c>
      <c r="AR238" s="64">
        <v>1</v>
      </c>
      <c r="AS238" s="35"/>
      <c r="AT238" s="35"/>
      <c r="AU238" s="40"/>
      <c r="AV238" s="40"/>
      <c r="AW238" s="41"/>
      <c r="AX238" s="23"/>
      <c r="AZ238" s="40"/>
      <c r="BA238" s="40"/>
      <c r="BB238" s="41"/>
      <c r="BC238" s="42"/>
      <c r="BD238" s="42"/>
      <c r="BE238" s="42"/>
      <c r="BF238" s="42"/>
      <c r="BG238" s="42"/>
      <c r="BI238" s="38"/>
      <c r="BJ238" s="39"/>
      <c r="BK238" s="38"/>
      <c r="BL238" s="38"/>
      <c r="BM238" s="38"/>
    </row>
    <row r="239" spans="1:65" x14ac:dyDescent="0.25">
      <c r="A239" s="13">
        <v>5764</v>
      </c>
      <c r="B239" s="14" t="s">
        <v>385</v>
      </c>
      <c r="C239" s="16">
        <v>4496507.1399999997</v>
      </c>
      <c r="D239" s="15">
        <v>368618.9</v>
      </c>
      <c r="E239" s="16">
        <v>0</v>
      </c>
      <c r="F239" s="15">
        <v>0</v>
      </c>
      <c r="G239" s="16">
        <v>445231.75</v>
      </c>
      <c r="H239" s="15">
        <v>23837.1</v>
      </c>
      <c r="I239" s="16">
        <v>0</v>
      </c>
      <c r="J239" s="15">
        <v>301572.37</v>
      </c>
      <c r="K239" s="17">
        <v>19752</v>
      </c>
      <c r="L239" s="16">
        <v>364283.05</v>
      </c>
      <c r="M239" s="3">
        <f t="shared" si="9"/>
        <v>6019802.3099999996</v>
      </c>
      <c r="N239" s="15">
        <v>2155776.85</v>
      </c>
      <c r="O239" s="16">
        <v>23602</v>
      </c>
      <c r="P239" s="15">
        <v>154474.25</v>
      </c>
      <c r="Q239" s="16">
        <v>34792.94</v>
      </c>
      <c r="R239" s="15">
        <v>151770.5</v>
      </c>
      <c r="S239" s="16">
        <v>1125</v>
      </c>
      <c r="T239" s="15">
        <v>7851.7</v>
      </c>
      <c r="U239" s="16">
        <v>18555</v>
      </c>
      <c r="V239" s="15">
        <v>51284.3</v>
      </c>
      <c r="W239" s="16">
        <v>3390</v>
      </c>
      <c r="X239" s="2">
        <f t="shared" si="10"/>
        <v>8622424.8500000015</v>
      </c>
      <c r="Y239" s="18">
        <v>116556.3</v>
      </c>
      <c r="Z239" s="25">
        <v>10200</v>
      </c>
      <c r="AA239" s="18">
        <v>519400.55</v>
      </c>
      <c r="AB239" s="25"/>
      <c r="AC239" s="18">
        <v>519190.61</v>
      </c>
      <c r="AD239" s="25">
        <v>102042.6</v>
      </c>
      <c r="AE239" s="18">
        <v>8976</v>
      </c>
      <c r="AF239" s="25"/>
      <c r="AG239" s="18">
        <v>9269.6</v>
      </c>
      <c r="AH239" s="25">
        <v>209430.23</v>
      </c>
      <c r="AI239" s="18"/>
      <c r="AJ239" s="25"/>
      <c r="AK239" s="18"/>
      <c r="AL239" s="68">
        <f t="shared" si="11"/>
        <v>1495065.8900000001</v>
      </c>
      <c r="AM239" s="33">
        <v>74</v>
      </c>
      <c r="AN239" s="34">
        <v>3569</v>
      </c>
      <c r="AO239" s="16">
        <v>-173699.96</v>
      </c>
      <c r="AP239" s="25"/>
      <c r="AQ239" s="16">
        <v>-902.56</v>
      </c>
      <c r="AR239" s="64">
        <v>1</v>
      </c>
      <c r="AS239" s="35"/>
      <c r="AT239" s="35"/>
      <c r="AU239" s="40"/>
      <c r="AV239" s="40"/>
      <c r="AW239" s="41"/>
      <c r="AX239" s="23"/>
      <c r="AZ239" s="40"/>
      <c r="BA239" s="40"/>
      <c r="BB239" s="41"/>
      <c r="BC239" s="42"/>
      <c r="BD239" s="42"/>
      <c r="BE239" s="42"/>
      <c r="BF239" s="42"/>
      <c r="BG239" s="42"/>
      <c r="BI239" s="38"/>
      <c r="BJ239" s="39"/>
      <c r="BK239" s="38"/>
      <c r="BL239" s="38"/>
      <c r="BM239" s="38"/>
    </row>
    <row r="240" spans="1:65" x14ac:dyDescent="0.25">
      <c r="A240" s="13">
        <v>5765</v>
      </c>
      <c r="B240" s="14" t="s">
        <v>386</v>
      </c>
      <c r="C240" s="16">
        <v>706074.94</v>
      </c>
      <c r="D240" s="15">
        <v>58876.94</v>
      </c>
      <c r="E240" s="16">
        <v>0</v>
      </c>
      <c r="F240" s="15">
        <v>0</v>
      </c>
      <c r="G240" s="16">
        <v>16967.2</v>
      </c>
      <c r="H240" s="15">
        <v>316.5</v>
      </c>
      <c r="I240" s="16">
        <v>0</v>
      </c>
      <c r="J240" s="15">
        <v>11191.04</v>
      </c>
      <c r="K240" s="17">
        <v>0</v>
      </c>
      <c r="L240" s="16">
        <v>27068</v>
      </c>
      <c r="M240" s="3">
        <f t="shared" si="9"/>
        <v>820494.61999999988</v>
      </c>
      <c r="N240" s="15">
        <v>52333.35</v>
      </c>
      <c r="O240" s="16">
        <v>2114.3000000000002</v>
      </c>
      <c r="P240" s="15">
        <v>35052.25</v>
      </c>
      <c r="Q240" s="16">
        <v>9215.76</v>
      </c>
      <c r="R240" s="15">
        <v>12340.05</v>
      </c>
      <c r="S240" s="16">
        <v>0</v>
      </c>
      <c r="T240" s="15">
        <v>0</v>
      </c>
      <c r="U240" s="16">
        <v>0</v>
      </c>
      <c r="V240" s="15">
        <v>0</v>
      </c>
      <c r="W240" s="16">
        <v>0</v>
      </c>
      <c r="X240" s="2">
        <f t="shared" si="10"/>
        <v>931550.33</v>
      </c>
      <c r="Y240" s="18"/>
      <c r="Z240" s="25"/>
      <c r="AA240" s="18">
        <v>114601.1</v>
      </c>
      <c r="AB240" s="25"/>
      <c r="AC240" s="18">
        <v>63253.8</v>
      </c>
      <c r="AD240" s="25"/>
      <c r="AE240" s="18"/>
      <c r="AF240" s="25"/>
      <c r="AG240" s="18"/>
      <c r="AH240" s="25"/>
      <c r="AI240" s="18"/>
      <c r="AJ240" s="25"/>
      <c r="AK240" s="18"/>
      <c r="AL240" s="68">
        <f t="shared" si="11"/>
        <v>177854.90000000002</v>
      </c>
      <c r="AM240" s="33">
        <v>81</v>
      </c>
      <c r="AN240" s="34">
        <v>483</v>
      </c>
      <c r="AO240" s="16">
        <v>-29494.93</v>
      </c>
      <c r="AP240" s="25"/>
      <c r="AQ240" s="16">
        <v>-7.77</v>
      </c>
      <c r="AR240" s="64">
        <v>0.5</v>
      </c>
      <c r="AS240" s="35"/>
      <c r="AT240" s="35"/>
      <c r="AU240" s="40"/>
      <c r="AV240" s="40"/>
      <c r="AW240" s="41"/>
      <c r="AX240" s="23"/>
      <c r="AZ240" s="40"/>
      <c r="BA240" s="40"/>
      <c r="BB240" s="41"/>
      <c r="BC240" s="42"/>
      <c r="BD240" s="42"/>
      <c r="BE240" s="42"/>
      <c r="BF240" s="42"/>
      <c r="BG240" s="42"/>
      <c r="BI240" s="38"/>
      <c r="BJ240" s="39"/>
      <c r="BK240" s="38"/>
      <c r="BL240" s="38"/>
      <c r="BM240" s="38"/>
    </row>
    <row r="241" spans="1:65" x14ac:dyDescent="0.25">
      <c r="A241" s="13">
        <v>5766</v>
      </c>
      <c r="B241" s="14" t="s">
        <v>387</v>
      </c>
      <c r="C241" s="16">
        <v>813685.89</v>
      </c>
      <c r="D241" s="15">
        <v>98940.56</v>
      </c>
      <c r="E241" s="16">
        <v>0</v>
      </c>
      <c r="F241" s="15">
        <v>0</v>
      </c>
      <c r="G241" s="16">
        <v>17105.099999999999</v>
      </c>
      <c r="H241" s="15">
        <v>522.85</v>
      </c>
      <c r="I241" s="16">
        <v>0</v>
      </c>
      <c r="J241" s="15">
        <v>28155.82</v>
      </c>
      <c r="K241" s="17">
        <v>3585.5</v>
      </c>
      <c r="L241" s="16">
        <v>47227.75</v>
      </c>
      <c r="M241" s="3">
        <f t="shared" si="9"/>
        <v>1009223.4699999999</v>
      </c>
      <c r="N241" s="15">
        <v>17981.55</v>
      </c>
      <c r="O241" s="16" t="s">
        <v>512</v>
      </c>
      <c r="P241" s="15">
        <v>22968</v>
      </c>
      <c r="Q241" s="16">
        <v>0</v>
      </c>
      <c r="R241" s="15">
        <v>13152.95</v>
      </c>
      <c r="S241" s="16">
        <v>187.5</v>
      </c>
      <c r="T241" s="15">
        <v>0</v>
      </c>
      <c r="U241" s="16">
        <v>1820</v>
      </c>
      <c r="V241" s="15">
        <v>0</v>
      </c>
      <c r="W241" s="16">
        <v>0</v>
      </c>
      <c r="X241" s="2">
        <f t="shared" si="10"/>
        <v>1065333.47</v>
      </c>
      <c r="Y241" s="18"/>
      <c r="Z241" s="25"/>
      <c r="AA241" s="18">
        <v>38316.57</v>
      </c>
      <c r="AB241" s="25"/>
      <c r="AC241" s="18">
        <v>34772.199999999997</v>
      </c>
      <c r="AD241" s="25">
        <v>960</v>
      </c>
      <c r="AE241" s="18"/>
      <c r="AF241" s="25"/>
      <c r="AG241" s="18"/>
      <c r="AH241" s="25"/>
      <c r="AI241" s="18"/>
      <c r="AJ241" s="25"/>
      <c r="AK241" s="18"/>
      <c r="AL241" s="68">
        <f t="shared" si="11"/>
        <v>74048.76999999999</v>
      </c>
      <c r="AM241" s="33">
        <v>77</v>
      </c>
      <c r="AN241" s="34">
        <v>516</v>
      </c>
      <c r="AO241" s="16">
        <v>-14085.44</v>
      </c>
      <c r="AP241" s="25"/>
      <c r="AQ241" s="16">
        <v>-1.17</v>
      </c>
      <c r="AR241" s="64">
        <v>0.7</v>
      </c>
      <c r="AS241" s="35"/>
      <c r="AT241" s="35"/>
      <c r="AU241" s="40"/>
      <c r="AV241" s="40"/>
      <c r="AW241" s="41"/>
      <c r="AX241" s="23"/>
      <c r="AZ241" s="40"/>
      <c r="BA241" s="40"/>
      <c r="BB241" s="41"/>
      <c r="BC241" s="42"/>
      <c r="BD241" s="42"/>
      <c r="BE241" s="42"/>
      <c r="BF241" s="42"/>
      <c r="BG241" s="42"/>
      <c r="BI241" s="38"/>
      <c r="BJ241" s="39"/>
      <c r="BK241" s="38"/>
      <c r="BL241" s="38"/>
      <c r="BM241" s="38"/>
    </row>
    <row r="242" spans="1:65" x14ac:dyDescent="0.25">
      <c r="A242" s="13">
        <v>5782</v>
      </c>
      <c r="B242" s="14" t="s">
        <v>320</v>
      </c>
      <c r="C242" s="16">
        <v>1862728.97</v>
      </c>
      <c r="D242" s="15">
        <v>149775.06</v>
      </c>
      <c r="E242" s="16">
        <v>0</v>
      </c>
      <c r="F242" s="15">
        <v>0</v>
      </c>
      <c r="G242" s="16">
        <v>99774.399999999994</v>
      </c>
      <c r="H242" s="15">
        <v>1577.4</v>
      </c>
      <c r="I242" s="16">
        <v>0</v>
      </c>
      <c r="J242" s="15">
        <v>33954.71</v>
      </c>
      <c r="K242" s="17">
        <v>4668</v>
      </c>
      <c r="L242" s="16">
        <v>167892.7</v>
      </c>
      <c r="M242" s="3">
        <f t="shared" si="9"/>
        <v>2320371.2400000002</v>
      </c>
      <c r="N242" s="15">
        <v>6588.75</v>
      </c>
      <c r="O242" s="16" t="s">
        <v>512</v>
      </c>
      <c r="P242" s="15">
        <v>43856.75</v>
      </c>
      <c r="Q242" s="16">
        <v>0</v>
      </c>
      <c r="R242" s="15">
        <v>98988.4</v>
      </c>
      <c r="S242" s="16">
        <v>225</v>
      </c>
      <c r="T242" s="15">
        <v>0</v>
      </c>
      <c r="U242" s="16">
        <v>4950</v>
      </c>
      <c r="V242" s="15">
        <v>0</v>
      </c>
      <c r="W242" s="16">
        <v>0</v>
      </c>
      <c r="X242" s="2">
        <f t="shared" si="10"/>
        <v>2474980.14</v>
      </c>
      <c r="Y242" s="18">
        <v>105814.2</v>
      </c>
      <c r="Z242" s="25"/>
      <c r="AA242" s="18">
        <v>178700.85</v>
      </c>
      <c r="AB242" s="25"/>
      <c r="AC242" s="18">
        <v>51467.65</v>
      </c>
      <c r="AD242" s="25">
        <v>65406.400000000001</v>
      </c>
      <c r="AE242" s="18"/>
      <c r="AF242" s="25"/>
      <c r="AG242" s="18"/>
      <c r="AH242" s="25"/>
      <c r="AI242" s="18"/>
      <c r="AJ242" s="25"/>
      <c r="AK242" s="18"/>
      <c r="AL242" s="68">
        <f t="shared" si="11"/>
        <v>401389.10000000003</v>
      </c>
      <c r="AM242" s="33">
        <v>75</v>
      </c>
      <c r="AN242" s="34">
        <v>1103</v>
      </c>
      <c r="AO242" s="16">
        <v>-28497.17</v>
      </c>
      <c r="AP242" s="25"/>
      <c r="AQ242" s="16">
        <v>-23.76</v>
      </c>
      <c r="AR242" s="64">
        <v>1</v>
      </c>
      <c r="AS242" s="35"/>
      <c r="AT242" s="35"/>
      <c r="AU242" s="40"/>
      <c r="AV242" s="40"/>
      <c r="AW242" s="41"/>
      <c r="AX242" s="23"/>
      <c r="AZ242" s="40"/>
      <c r="BA242" s="40"/>
      <c r="BB242" s="41"/>
      <c r="BC242" s="42"/>
      <c r="BD242" s="42"/>
      <c r="BE242" s="42"/>
      <c r="BF242" s="42"/>
      <c r="BG242" s="42"/>
      <c r="BI242" s="38"/>
      <c r="BJ242" s="39"/>
      <c r="BK242" s="38"/>
      <c r="BL242" s="38"/>
      <c r="BM242" s="38"/>
    </row>
    <row r="243" spans="1:65" x14ac:dyDescent="0.25">
      <c r="A243" s="13">
        <v>5785</v>
      </c>
      <c r="B243" s="14" t="s">
        <v>322</v>
      </c>
      <c r="C243" s="16">
        <v>824794.02</v>
      </c>
      <c r="D243" s="15">
        <v>153985.49</v>
      </c>
      <c r="E243" s="16">
        <v>0</v>
      </c>
      <c r="F243" s="15">
        <v>0</v>
      </c>
      <c r="G243" s="16">
        <v>150943.4</v>
      </c>
      <c r="H243" s="15">
        <v>571.5</v>
      </c>
      <c r="I243" s="16">
        <v>0</v>
      </c>
      <c r="J243" s="15">
        <v>10439.31</v>
      </c>
      <c r="K243" s="17">
        <v>978.5</v>
      </c>
      <c r="L243" s="16">
        <v>62461.1</v>
      </c>
      <c r="M243" s="3">
        <f t="shared" si="9"/>
        <v>1204173.32</v>
      </c>
      <c r="N243" s="15">
        <v>0</v>
      </c>
      <c r="O243" s="16">
        <v>48861.3</v>
      </c>
      <c r="P243" s="15">
        <v>10681.95</v>
      </c>
      <c r="Q243" s="16">
        <v>0</v>
      </c>
      <c r="R243" s="15">
        <v>24687</v>
      </c>
      <c r="S243" s="16">
        <v>95</v>
      </c>
      <c r="T243" s="15">
        <v>0</v>
      </c>
      <c r="U243" s="16">
        <v>2680</v>
      </c>
      <c r="V243" s="15">
        <v>0</v>
      </c>
      <c r="W243" s="16">
        <v>0</v>
      </c>
      <c r="X243" s="2">
        <f t="shared" si="10"/>
        <v>1291178.57</v>
      </c>
      <c r="Y243" s="18">
        <v>3000</v>
      </c>
      <c r="Z243" s="25"/>
      <c r="AA243" s="18">
        <v>99451.7</v>
      </c>
      <c r="AB243" s="25"/>
      <c r="AC243" s="18">
        <v>39186.949999999997</v>
      </c>
      <c r="AD243" s="25">
        <v>2500</v>
      </c>
      <c r="AE243" s="18"/>
      <c r="AF243" s="25"/>
      <c r="AG243" s="18"/>
      <c r="AH243" s="25"/>
      <c r="AI243" s="18"/>
      <c r="AJ243" s="25"/>
      <c r="AK243" s="18"/>
      <c r="AL243" s="68">
        <f t="shared" si="11"/>
        <v>144138.65</v>
      </c>
      <c r="AM243" s="33">
        <v>79</v>
      </c>
      <c r="AN243" s="34">
        <v>443</v>
      </c>
      <c r="AO243" s="16">
        <v>-1705.3</v>
      </c>
      <c r="AP243" s="25"/>
      <c r="AQ243" s="16">
        <v>-13.95</v>
      </c>
      <c r="AR243" s="64">
        <v>1</v>
      </c>
      <c r="AS243" s="35"/>
      <c r="AT243" s="35"/>
      <c r="AU243" s="40"/>
      <c r="AV243" s="40"/>
      <c r="AW243" s="41"/>
      <c r="AX243" s="23"/>
      <c r="AZ243" s="40"/>
      <c r="BA243" s="40"/>
      <c r="BB243" s="41"/>
      <c r="BC243" s="42"/>
      <c r="BD243" s="42"/>
      <c r="BE243" s="42"/>
      <c r="BF243" s="42"/>
      <c r="BG243" s="42"/>
      <c r="BI243" s="38"/>
      <c r="BJ243" s="39"/>
      <c r="BK243" s="38"/>
      <c r="BL243" s="38"/>
      <c r="BM243" s="38"/>
    </row>
    <row r="244" spans="1:65" x14ac:dyDescent="0.25">
      <c r="A244" s="13">
        <v>5788</v>
      </c>
      <c r="B244" s="14" t="s">
        <v>323</v>
      </c>
      <c r="C244" s="16">
        <v>517489.61</v>
      </c>
      <c r="D244" s="15">
        <v>71835.38</v>
      </c>
      <c r="E244" s="16">
        <v>0</v>
      </c>
      <c r="F244" s="15">
        <v>0</v>
      </c>
      <c r="G244" s="16">
        <v>10754.55</v>
      </c>
      <c r="H244" s="15">
        <v>22.5</v>
      </c>
      <c r="I244" s="16">
        <v>0</v>
      </c>
      <c r="J244" s="15">
        <v>4015.33</v>
      </c>
      <c r="K244" s="17">
        <v>814</v>
      </c>
      <c r="L244" s="16">
        <v>66745.3</v>
      </c>
      <c r="M244" s="3">
        <f t="shared" si="9"/>
        <v>671676.67</v>
      </c>
      <c r="N244" s="15">
        <v>0</v>
      </c>
      <c r="O244" s="16">
        <v>2062.5</v>
      </c>
      <c r="P244" s="15">
        <v>6930</v>
      </c>
      <c r="Q244" s="16">
        <v>56.3</v>
      </c>
      <c r="R244" s="15" t="s">
        <v>512</v>
      </c>
      <c r="S244" s="16">
        <v>25</v>
      </c>
      <c r="T244" s="15">
        <v>0</v>
      </c>
      <c r="U244" s="16">
        <v>1470</v>
      </c>
      <c r="V244" s="15">
        <v>0</v>
      </c>
      <c r="W244" s="16">
        <v>0</v>
      </c>
      <c r="X244" s="2">
        <f t="shared" si="10"/>
        <v>682220.47000000009</v>
      </c>
      <c r="Y244" s="18"/>
      <c r="Z244" s="25"/>
      <c r="AA244" s="18">
        <v>41994</v>
      </c>
      <c r="AB244" s="25"/>
      <c r="AC244" s="18">
        <v>16430</v>
      </c>
      <c r="AD244" s="25"/>
      <c r="AE244" s="18"/>
      <c r="AF244" s="25"/>
      <c r="AG244" s="18"/>
      <c r="AH244" s="25"/>
      <c r="AI244" s="18"/>
      <c r="AJ244" s="25"/>
      <c r="AK244" s="18"/>
      <c r="AL244" s="68">
        <f t="shared" si="11"/>
        <v>58424</v>
      </c>
      <c r="AM244" s="33">
        <v>70</v>
      </c>
      <c r="AN244" s="34">
        <v>330</v>
      </c>
      <c r="AO244" s="16">
        <v>-6808.76</v>
      </c>
      <c r="AP244" s="25"/>
      <c r="AQ244" s="16">
        <v>-2.17</v>
      </c>
      <c r="AR244" s="64">
        <v>1.25</v>
      </c>
      <c r="AS244" s="35"/>
      <c r="AT244" s="35"/>
      <c r="AU244" s="40"/>
      <c r="AV244" s="40"/>
      <c r="AW244" s="41"/>
      <c r="AX244" s="23"/>
      <c r="AZ244" s="40"/>
      <c r="BA244" s="40"/>
      <c r="BB244" s="41"/>
      <c r="BC244" s="42"/>
      <c r="BD244" s="42"/>
      <c r="BE244" s="42"/>
      <c r="BF244" s="42"/>
      <c r="BG244" s="42"/>
      <c r="BI244" s="38"/>
      <c r="BJ244" s="39"/>
      <c r="BK244" s="38"/>
      <c r="BL244" s="38"/>
      <c r="BM244" s="38"/>
    </row>
    <row r="245" spans="1:65" x14ac:dyDescent="0.25">
      <c r="A245" s="13">
        <v>5789</v>
      </c>
      <c r="B245" s="14" t="s">
        <v>324</v>
      </c>
      <c r="C245" s="16">
        <v>624101.94999999995</v>
      </c>
      <c r="D245" s="15">
        <v>53769.11</v>
      </c>
      <c r="E245" s="16">
        <v>0</v>
      </c>
      <c r="F245" s="15">
        <v>0</v>
      </c>
      <c r="G245" s="16">
        <v>433.25</v>
      </c>
      <c r="H245" s="15">
        <v>303.60000000000002</v>
      </c>
      <c r="I245" s="16">
        <v>0</v>
      </c>
      <c r="J245" s="15">
        <v>8231.91</v>
      </c>
      <c r="K245" s="17">
        <v>29</v>
      </c>
      <c r="L245" s="16">
        <v>47050.45</v>
      </c>
      <c r="M245" s="3">
        <f t="shared" si="9"/>
        <v>733919.2699999999</v>
      </c>
      <c r="N245" s="15">
        <v>0</v>
      </c>
      <c r="O245" s="16" t="s">
        <v>512</v>
      </c>
      <c r="P245" s="15">
        <v>7052.6</v>
      </c>
      <c r="Q245" s="16">
        <v>0</v>
      </c>
      <c r="R245" s="15">
        <v>10328.35</v>
      </c>
      <c r="S245" s="16">
        <v>0</v>
      </c>
      <c r="T245" s="15">
        <v>0</v>
      </c>
      <c r="U245" s="16">
        <v>2275</v>
      </c>
      <c r="V245" s="15">
        <v>0</v>
      </c>
      <c r="W245" s="16">
        <v>0</v>
      </c>
      <c r="X245" s="2">
        <f t="shared" si="10"/>
        <v>753575.21999999986</v>
      </c>
      <c r="Y245" s="18"/>
      <c r="Z245" s="25"/>
      <c r="AA245" s="18">
        <v>35223.449999999997</v>
      </c>
      <c r="AB245" s="25"/>
      <c r="AC245" s="18">
        <v>19564.02</v>
      </c>
      <c r="AD245" s="25"/>
      <c r="AE245" s="18"/>
      <c r="AF245" s="25"/>
      <c r="AG245" s="18"/>
      <c r="AH245" s="25"/>
      <c r="AI245" s="18"/>
      <c r="AJ245" s="25"/>
      <c r="AK245" s="18"/>
      <c r="AL245" s="68">
        <f t="shared" si="11"/>
        <v>54787.47</v>
      </c>
      <c r="AM245" s="33">
        <v>77</v>
      </c>
      <c r="AN245" s="34">
        <v>330</v>
      </c>
      <c r="AO245" s="16">
        <v>-2677.75</v>
      </c>
      <c r="AP245" s="25"/>
      <c r="AQ245" s="16">
        <v>-0.92</v>
      </c>
      <c r="AR245" s="64">
        <v>1</v>
      </c>
      <c r="AS245" s="35"/>
      <c r="AT245" s="35"/>
      <c r="AU245" s="40"/>
      <c r="AV245" s="40"/>
      <c r="AW245" s="41"/>
      <c r="AX245" s="23"/>
      <c r="AZ245" s="40"/>
      <c r="BA245" s="40"/>
      <c r="BB245" s="41"/>
      <c r="BC245" s="42"/>
      <c r="BD245" s="42"/>
      <c r="BE245" s="42"/>
      <c r="BF245" s="42"/>
      <c r="BG245" s="42"/>
      <c r="BI245" s="38"/>
      <c r="BJ245" s="39"/>
      <c r="BK245" s="38"/>
      <c r="BL245" s="38"/>
      <c r="BM245" s="38"/>
    </row>
    <row r="246" spans="1:65" x14ac:dyDescent="0.25">
      <c r="A246" s="13">
        <v>5790</v>
      </c>
      <c r="B246" s="14" t="s">
        <v>325</v>
      </c>
      <c r="C246" s="16">
        <v>722799.59</v>
      </c>
      <c r="D246" s="15">
        <v>98261.08</v>
      </c>
      <c r="E246" s="16">
        <v>0</v>
      </c>
      <c r="F246" s="15">
        <v>0</v>
      </c>
      <c r="G246" s="16">
        <v>3913.95</v>
      </c>
      <c r="H246" s="15">
        <v>211.85</v>
      </c>
      <c r="I246" s="16">
        <v>0</v>
      </c>
      <c r="J246" s="15">
        <v>2103.65</v>
      </c>
      <c r="K246" s="17">
        <v>203.5</v>
      </c>
      <c r="L246" s="16">
        <v>68330.25</v>
      </c>
      <c r="M246" s="3">
        <f t="shared" si="9"/>
        <v>895823.86999999988</v>
      </c>
      <c r="N246" s="15">
        <v>0</v>
      </c>
      <c r="O246" s="16">
        <v>248.2</v>
      </c>
      <c r="P246" s="15">
        <v>14279.8</v>
      </c>
      <c r="Q246" s="16">
        <v>0</v>
      </c>
      <c r="R246" s="15">
        <v>49672.25</v>
      </c>
      <c r="S246" s="16">
        <v>0</v>
      </c>
      <c r="T246" s="15">
        <v>26</v>
      </c>
      <c r="U246" s="16">
        <v>4800</v>
      </c>
      <c r="V246" s="15">
        <v>0</v>
      </c>
      <c r="W246" s="16">
        <v>0</v>
      </c>
      <c r="X246" s="2">
        <f t="shared" si="10"/>
        <v>964850.11999999988</v>
      </c>
      <c r="Y246" s="18">
        <v>1800</v>
      </c>
      <c r="Z246" s="25"/>
      <c r="AA246" s="18">
        <v>42987.5</v>
      </c>
      <c r="AB246" s="25"/>
      <c r="AC246" s="18">
        <v>24388.35</v>
      </c>
      <c r="AD246" s="25">
        <v>968.6</v>
      </c>
      <c r="AE246" s="18"/>
      <c r="AF246" s="25"/>
      <c r="AG246" s="18"/>
      <c r="AH246" s="25"/>
      <c r="AI246" s="18"/>
      <c r="AJ246" s="25"/>
      <c r="AK246" s="18"/>
      <c r="AL246" s="68">
        <f t="shared" si="11"/>
        <v>70144.450000000012</v>
      </c>
      <c r="AM246" s="33">
        <v>76</v>
      </c>
      <c r="AN246" s="34">
        <v>444</v>
      </c>
      <c r="AO246" s="16">
        <v>-18743.59</v>
      </c>
      <c r="AP246" s="25"/>
      <c r="AQ246" s="16">
        <v>-114.08</v>
      </c>
      <c r="AR246" s="64">
        <v>1</v>
      </c>
      <c r="AS246" s="35"/>
      <c r="AT246" s="35"/>
      <c r="AU246" s="40"/>
      <c r="AV246" s="40"/>
      <c r="AW246" s="41"/>
      <c r="AX246" s="23"/>
      <c r="AZ246" s="40"/>
      <c r="BA246" s="40"/>
      <c r="BB246" s="41"/>
      <c r="BC246" s="42"/>
      <c r="BD246" s="42"/>
      <c r="BE246" s="42"/>
      <c r="BF246" s="42"/>
      <c r="BG246" s="42"/>
      <c r="BI246" s="38"/>
      <c r="BJ246" s="39"/>
      <c r="BK246" s="38"/>
      <c r="BL246" s="38"/>
      <c r="BM246" s="38"/>
    </row>
    <row r="247" spans="1:65" x14ac:dyDescent="0.25">
      <c r="A247" s="13">
        <v>5791</v>
      </c>
      <c r="B247" s="14" t="s">
        <v>326</v>
      </c>
      <c r="C247" s="16">
        <v>2461592.7400000002</v>
      </c>
      <c r="D247" s="15">
        <v>280770.59000000003</v>
      </c>
      <c r="E247" s="16">
        <v>0</v>
      </c>
      <c r="F247" s="15">
        <v>0</v>
      </c>
      <c r="G247" s="16">
        <v>106355.45</v>
      </c>
      <c r="H247" s="15">
        <v>1327.1</v>
      </c>
      <c r="I247" s="16">
        <v>55491.55</v>
      </c>
      <c r="J247" s="15">
        <v>46177.120000000003</v>
      </c>
      <c r="K247" s="17">
        <v>19325.5</v>
      </c>
      <c r="L247" s="16">
        <v>298030.40000000002</v>
      </c>
      <c r="M247" s="3">
        <f t="shared" si="9"/>
        <v>3269070.45</v>
      </c>
      <c r="N247" s="15">
        <v>1315.9</v>
      </c>
      <c r="O247" s="16">
        <v>95504.9</v>
      </c>
      <c r="P247" s="15">
        <v>91056.05</v>
      </c>
      <c r="Q247" s="16">
        <v>32605.91</v>
      </c>
      <c r="R247" s="15">
        <v>6679.55</v>
      </c>
      <c r="S247" s="16">
        <v>443.75</v>
      </c>
      <c r="T247" s="15">
        <v>2204</v>
      </c>
      <c r="U247" s="16">
        <v>4075</v>
      </c>
      <c r="V247" s="15">
        <v>20619.8</v>
      </c>
      <c r="W247" s="16">
        <v>0</v>
      </c>
      <c r="X247" s="2">
        <f t="shared" si="10"/>
        <v>3523575.3099999996</v>
      </c>
      <c r="Y247" s="18">
        <v>18900</v>
      </c>
      <c r="Z247" s="25"/>
      <c r="AA247" s="18">
        <v>134936.4</v>
      </c>
      <c r="AB247" s="25"/>
      <c r="AC247" s="18">
        <v>127304.65</v>
      </c>
      <c r="AD247" s="25">
        <v>18900</v>
      </c>
      <c r="AE247" s="18"/>
      <c r="AF247" s="25"/>
      <c r="AG247" s="18"/>
      <c r="AH247" s="25"/>
      <c r="AI247" s="18"/>
      <c r="AJ247" s="25"/>
      <c r="AK247" s="18"/>
      <c r="AL247" s="68">
        <f t="shared" si="11"/>
        <v>300041.05</v>
      </c>
      <c r="AM247" s="33">
        <v>76</v>
      </c>
      <c r="AN247" s="34">
        <v>1192</v>
      </c>
      <c r="AO247" s="16">
        <v>-37931.79</v>
      </c>
      <c r="AP247" s="25"/>
      <c r="AQ247" s="16">
        <v>-58.95</v>
      </c>
      <c r="AR247" s="64">
        <v>1.5</v>
      </c>
      <c r="AS247" s="35"/>
      <c r="AT247" s="35"/>
      <c r="AU247" s="40"/>
      <c r="AV247" s="40"/>
      <c r="AW247" s="41"/>
      <c r="AX247" s="23"/>
      <c r="AZ247" s="40"/>
      <c r="BA247" s="40"/>
      <c r="BB247" s="41"/>
      <c r="BC247" s="42"/>
      <c r="BD247" s="42"/>
      <c r="BE247" s="42"/>
      <c r="BF247" s="42"/>
      <c r="BG247" s="42"/>
      <c r="BI247" s="38"/>
      <c r="BJ247" s="39"/>
      <c r="BK247" s="38"/>
      <c r="BL247" s="38"/>
      <c r="BM247" s="38"/>
    </row>
    <row r="248" spans="1:65" x14ac:dyDescent="0.25">
      <c r="A248" s="13">
        <v>5792</v>
      </c>
      <c r="B248" s="14" t="s">
        <v>327</v>
      </c>
      <c r="C248" s="16">
        <v>1046853.1</v>
      </c>
      <c r="D248" s="15">
        <v>99765.5</v>
      </c>
      <c r="E248" s="16">
        <v>0</v>
      </c>
      <c r="F248" s="15">
        <v>0</v>
      </c>
      <c r="G248" s="16">
        <v>94157.85</v>
      </c>
      <c r="H248" s="15">
        <v>433.45</v>
      </c>
      <c r="I248" s="16">
        <v>0</v>
      </c>
      <c r="J248" s="15">
        <v>29941.7</v>
      </c>
      <c r="K248" s="17">
        <v>-481</v>
      </c>
      <c r="L248" s="16">
        <v>88896.4</v>
      </c>
      <c r="M248" s="3">
        <f t="shared" si="9"/>
        <v>1359567</v>
      </c>
      <c r="N248" s="15">
        <v>4256.2</v>
      </c>
      <c r="O248" s="16" t="s">
        <v>512</v>
      </c>
      <c r="P248" s="15">
        <v>28601.45</v>
      </c>
      <c r="Q248" s="16">
        <v>774.85</v>
      </c>
      <c r="R248" s="15">
        <v>58181.1</v>
      </c>
      <c r="S248" s="16">
        <v>62.5</v>
      </c>
      <c r="T248" s="15">
        <v>0</v>
      </c>
      <c r="U248" s="16">
        <v>2650</v>
      </c>
      <c r="V248" s="15">
        <v>0</v>
      </c>
      <c r="W248" s="16">
        <v>0</v>
      </c>
      <c r="X248" s="2">
        <f t="shared" si="10"/>
        <v>1454093.1</v>
      </c>
      <c r="Y248" s="18">
        <v>56118.3</v>
      </c>
      <c r="Z248" s="25"/>
      <c r="AA248" s="18">
        <v>63189.599999999999</v>
      </c>
      <c r="AB248" s="25"/>
      <c r="AC248" s="18">
        <v>36840</v>
      </c>
      <c r="AD248" s="25">
        <v>46789.65</v>
      </c>
      <c r="AE248" s="18"/>
      <c r="AF248" s="25"/>
      <c r="AG248" s="18"/>
      <c r="AH248" s="25">
        <v>14936.85</v>
      </c>
      <c r="AI248" s="18"/>
      <c r="AJ248" s="25"/>
      <c r="AK248" s="18"/>
      <c r="AL248" s="68">
        <f t="shared" si="11"/>
        <v>217874.4</v>
      </c>
      <c r="AM248" s="33">
        <v>79</v>
      </c>
      <c r="AN248" s="34">
        <v>597</v>
      </c>
      <c r="AO248" s="16">
        <v>-7637.84</v>
      </c>
      <c r="AP248" s="25">
        <v>-5517.4</v>
      </c>
      <c r="AQ248" s="16">
        <v>-14.04</v>
      </c>
      <c r="AR248" s="64">
        <v>1</v>
      </c>
      <c r="AS248" s="35"/>
      <c r="AT248" s="35"/>
      <c r="AU248" s="40"/>
      <c r="AV248" s="40"/>
      <c r="AW248" s="41"/>
      <c r="AX248" s="23"/>
      <c r="AZ248" s="40"/>
      <c r="BA248" s="40"/>
      <c r="BB248" s="41"/>
      <c r="BC248" s="42"/>
      <c r="BD248" s="42"/>
      <c r="BE248" s="42"/>
      <c r="BF248" s="42"/>
      <c r="BG248" s="42"/>
      <c r="BI248" s="38"/>
      <c r="BJ248" s="39"/>
      <c r="BK248" s="38"/>
      <c r="BL248" s="38"/>
      <c r="BM248" s="38"/>
    </row>
    <row r="249" spans="1:65" x14ac:dyDescent="0.25">
      <c r="A249" s="13">
        <v>5798</v>
      </c>
      <c r="B249" s="14" t="s">
        <v>328</v>
      </c>
      <c r="C249" s="16">
        <v>631175.49</v>
      </c>
      <c r="D249" s="15">
        <v>64643.82</v>
      </c>
      <c r="E249" s="16">
        <v>0</v>
      </c>
      <c r="F249" s="15">
        <v>0</v>
      </c>
      <c r="G249" s="16">
        <v>135124.65</v>
      </c>
      <c r="H249" s="15">
        <v>163.55000000000001</v>
      </c>
      <c r="I249" s="16">
        <v>0</v>
      </c>
      <c r="J249" s="15">
        <v>41648.870000000003</v>
      </c>
      <c r="K249" s="17">
        <v>-5017</v>
      </c>
      <c r="L249" s="16">
        <v>31982.25</v>
      </c>
      <c r="M249" s="3">
        <f t="shared" si="9"/>
        <v>899721.63</v>
      </c>
      <c r="N249" s="15">
        <v>0</v>
      </c>
      <c r="O249" s="16">
        <v>791.9</v>
      </c>
      <c r="P249" s="15">
        <v>60264.1</v>
      </c>
      <c r="Q249" s="16">
        <v>1034.8699999999999</v>
      </c>
      <c r="R249" s="15">
        <v>34987.5</v>
      </c>
      <c r="S249" s="16">
        <v>75</v>
      </c>
      <c r="T249" s="15">
        <v>0</v>
      </c>
      <c r="U249" s="16">
        <v>2220</v>
      </c>
      <c r="V249" s="15">
        <v>0</v>
      </c>
      <c r="W249" s="16">
        <v>0</v>
      </c>
      <c r="X249" s="2">
        <f t="shared" si="10"/>
        <v>999095</v>
      </c>
      <c r="Y249" s="18"/>
      <c r="Z249" s="25">
        <v>5080</v>
      </c>
      <c r="AA249" s="18">
        <v>54367.5</v>
      </c>
      <c r="AB249" s="25"/>
      <c r="AC249" s="18">
        <v>28217.55</v>
      </c>
      <c r="AD249" s="25">
        <v>7635</v>
      </c>
      <c r="AE249" s="18"/>
      <c r="AF249" s="25"/>
      <c r="AG249" s="18"/>
      <c r="AH249" s="25"/>
      <c r="AI249" s="18"/>
      <c r="AJ249" s="25"/>
      <c r="AK249" s="18"/>
      <c r="AL249" s="68">
        <f t="shared" si="11"/>
        <v>95300.05</v>
      </c>
      <c r="AM249" s="33">
        <v>77.5</v>
      </c>
      <c r="AN249" s="34">
        <v>409</v>
      </c>
      <c r="AO249" s="16">
        <v>-24176.76</v>
      </c>
      <c r="AP249" s="25"/>
      <c r="AQ249" s="16">
        <v>-151.86000000000001</v>
      </c>
      <c r="AR249" s="64">
        <v>1</v>
      </c>
      <c r="AS249" s="35"/>
      <c r="AT249" s="35"/>
      <c r="AU249" s="40"/>
      <c r="AV249" s="40"/>
      <c r="AW249" s="41"/>
      <c r="AX249" s="23"/>
      <c r="AZ249" s="40"/>
      <c r="BA249" s="40"/>
      <c r="BB249" s="41"/>
      <c r="BC249" s="42"/>
      <c r="BD249" s="42"/>
      <c r="BE249" s="42"/>
      <c r="BF249" s="42"/>
      <c r="BG249" s="42"/>
      <c r="BI249" s="38"/>
      <c r="BJ249" s="39"/>
      <c r="BK249" s="38"/>
      <c r="BL249" s="38"/>
      <c r="BM249" s="38"/>
    </row>
    <row r="250" spans="1:65" x14ac:dyDescent="0.25">
      <c r="A250" s="13">
        <v>5799</v>
      </c>
      <c r="B250" s="14" t="s">
        <v>329</v>
      </c>
      <c r="C250" s="16">
        <v>3962428.76</v>
      </c>
      <c r="D250" s="15">
        <v>439269.59</v>
      </c>
      <c r="E250" s="16">
        <v>0</v>
      </c>
      <c r="F250" s="15">
        <v>0</v>
      </c>
      <c r="G250" s="16">
        <v>72558.649999999994</v>
      </c>
      <c r="H250" s="15">
        <v>1435.9</v>
      </c>
      <c r="I250" s="16">
        <v>0</v>
      </c>
      <c r="J250" s="15">
        <v>39792.300000000003</v>
      </c>
      <c r="K250" s="17">
        <v>-34783</v>
      </c>
      <c r="L250" s="16">
        <v>300364</v>
      </c>
      <c r="M250" s="3">
        <f t="shared" si="9"/>
        <v>4781066.2</v>
      </c>
      <c r="N250" s="15">
        <v>14494.2</v>
      </c>
      <c r="O250" s="16">
        <v>100</v>
      </c>
      <c r="P250" s="15">
        <v>338532.25</v>
      </c>
      <c r="Q250" s="16">
        <v>73167.960000000006</v>
      </c>
      <c r="R250" s="15">
        <v>301054.5</v>
      </c>
      <c r="S250" s="16">
        <v>175</v>
      </c>
      <c r="T250" s="15">
        <v>3050</v>
      </c>
      <c r="U250" s="16">
        <v>9625</v>
      </c>
      <c r="V250" s="15">
        <v>64992.55</v>
      </c>
      <c r="W250" s="16">
        <v>0</v>
      </c>
      <c r="X250" s="2">
        <f t="shared" si="10"/>
        <v>5586257.6600000001</v>
      </c>
      <c r="Y250" s="18">
        <v>10881.35</v>
      </c>
      <c r="Z250" s="25"/>
      <c r="AA250" s="18">
        <v>223269.05</v>
      </c>
      <c r="AB250" s="25"/>
      <c r="AC250" s="18">
        <v>109909.35</v>
      </c>
      <c r="AD250" s="25"/>
      <c r="AE250" s="18"/>
      <c r="AF250" s="25"/>
      <c r="AG250" s="18"/>
      <c r="AH250" s="25">
        <v>61014</v>
      </c>
      <c r="AI250" s="18"/>
      <c r="AJ250" s="25"/>
      <c r="AK250" s="18"/>
      <c r="AL250" s="68">
        <f t="shared" si="11"/>
        <v>405073.75</v>
      </c>
      <c r="AM250" s="33">
        <v>69</v>
      </c>
      <c r="AN250" s="34">
        <v>1893</v>
      </c>
      <c r="AO250" s="16">
        <v>-137196.63</v>
      </c>
      <c r="AP250" s="25"/>
      <c r="AQ250" s="16">
        <v>-367.95</v>
      </c>
      <c r="AR250" s="64">
        <v>1</v>
      </c>
      <c r="AS250" s="35"/>
      <c r="AT250" s="35"/>
      <c r="AU250" s="40"/>
      <c r="AV250" s="40"/>
      <c r="AW250" s="41"/>
      <c r="AX250" s="23"/>
      <c r="AZ250" s="40"/>
      <c r="BA250" s="40"/>
      <c r="BB250" s="41"/>
      <c r="BC250" s="42"/>
      <c r="BD250" s="42"/>
      <c r="BE250" s="42"/>
      <c r="BF250" s="42"/>
      <c r="BG250" s="42"/>
      <c r="BI250" s="38"/>
      <c r="BJ250" s="39"/>
      <c r="BK250" s="38"/>
      <c r="BL250" s="38"/>
      <c r="BM250" s="38"/>
    </row>
    <row r="251" spans="1:65" x14ac:dyDescent="0.25">
      <c r="A251" s="13">
        <v>5803</v>
      </c>
      <c r="B251" s="14" t="s">
        <v>438</v>
      </c>
      <c r="C251" s="16">
        <v>791681.45</v>
      </c>
      <c r="D251" s="15">
        <v>117746.41</v>
      </c>
      <c r="E251" s="16">
        <v>0</v>
      </c>
      <c r="F251" s="15">
        <v>0</v>
      </c>
      <c r="G251" s="16">
        <v>-1649.1</v>
      </c>
      <c r="H251" s="15">
        <v>264.3</v>
      </c>
      <c r="I251" s="16">
        <v>0</v>
      </c>
      <c r="J251" s="15">
        <v>9554.1299999999992</v>
      </c>
      <c r="K251" s="17">
        <v>0</v>
      </c>
      <c r="L251" s="16">
        <v>63711.15</v>
      </c>
      <c r="M251" s="3">
        <f t="shared" si="9"/>
        <v>981308.34000000008</v>
      </c>
      <c r="N251" s="15">
        <v>0</v>
      </c>
      <c r="O251" s="16">
        <v>34779.800000000003</v>
      </c>
      <c r="P251" s="15">
        <v>55263.45</v>
      </c>
      <c r="Q251" s="16">
        <v>0</v>
      </c>
      <c r="R251" s="15">
        <v>111110.5</v>
      </c>
      <c r="S251" s="16">
        <v>750</v>
      </c>
      <c r="T251" s="15">
        <v>0</v>
      </c>
      <c r="U251" s="16">
        <v>4950</v>
      </c>
      <c r="V251" s="15">
        <v>100</v>
      </c>
      <c r="W251" s="16">
        <v>0</v>
      </c>
      <c r="X251" s="2">
        <f t="shared" si="10"/>
        <v>1188262.0900000001</v>
      </c>
      <c r="Y251" s="18">
        <v>86940</v>
      </c>
      <c r="Z251" s="25"/>
      <c r="AA251" s="18">
        <v>35591</v>
      </c>
      <c r="AB251" s="25"/>
      <c r="AC251" s="18">
        <v>24743.15</v>
      </c>
      <c r="AD251" s="25">
        <v>156020</v>
      </c>
      <c r="AE251" s="18">
        <v>9700</v>
      </c>
      <c r="AF251" s="25"/>
      <c r="AG251" s="18"/>
      <c r="AH251" s="25"/>
      <c r="AI251" s="18"/>
      <c r="AJ251" s="25"/>
      <c r="AK251" s="18"/>
      <c r="AL251" s="68">
        <f t="shared" si="11"/>
        <v>312994.15000000002</v>
      </c>
      <c r="AM251" s="33">
        <v>81</v>
      </c>
      <c r="AN251" s="34">
        <v>442</v>
      </c>
      <c r="AO251" s="16">
        <v>-1709.2</v>
      </c>
      <c r="AP251" s="25"/>
      <c r="AQ251" s="16">
        <v>-5.43</v>
      </c>
      <c r="AR251" s="64">
        <v>1</v>
      </c>
      <c r="AS251" s="35"/>
      <c r="AT251" s="35"/>
      <c r="AU251" s="40"/>
      <c r="AV251" s="40"/>
      <c r="AW251" s="41"/>
      <c r="AX251" s="23"/>
      <c r="AZ251" s="40"/>
      <c r="BA251" s="40"/>
      <c r="BB251" s="41"/>
      <c r="BC251" s="42"/>
      <c r="BD251" s="42"/>
      <c r="BE251" s="42"/>
      <c r="BF251" s="42"/>
      <c r="BG251" s="42"/>
      <c r="BI251" s="38"/>
      <c r="BJ251" s="39"/>
      <c r="BK251" s="38"/>
      <c r="BL251" s="38"/>
      <c r="BM251" s="38"/>
    </row>
    <row r="252" spans="1:65" x14ac:dyDescent="0.25">
      <c r="A252" s="13">
        <v>5804</v>
      </c>
      <c r="B252" s="14" t="s">
        <v>499</v>
      </c>
      <c r="C252" s="16">
        <v>2525983.2400000002</v>
      </c>
      <c r="D252" s="15">
        <v>276886.95</v>
      </c>
      <c r="E252" s="16">
        <v>0</v>
      </c>
      <c r="F252" s="15">
        <v>0</v>
      </c>
      <c r="G252" s="16">
        <v>67333.75</v>
      </c>
      <c r="H252" s="15">
        <v>709.25</v>
      </c>
      <c r="I252" s="16">
        <v>0</v>
      </c>
      <c r="J252" s="15">
        <v>67259.86</v>
      </c>
      <c r="K252" s="17">
        <v>2802</v>
      </c>
      <c r="L252" s="16">
        <v>211945.15</v>
      </c>
      <c r="M252" s="3">
        <f t="shared" si="9"/>
        <v>3152920.2</v>
      </c>
      <c r="N252" s="15">
        <v>5331.85</v>
      </c>
      <c r="O252" s="16">
        <v>13099.3</v>
      </c>
      <c r="P252" s="15">
        <v>77871.05</v>
      </c>
      <c r="Q252" s="16">
        <v>13367.84</v>
      </c>
      <c r="R252" s="15">
        <v>13598.6</v>
      </c>
      <c r="S252" s="16">
        <v>218.75</v>
      </c>
      <c r="T252" s="15">
        <v>1300</v>
      </c>
      <c r="U252" s="16">
        <v>11950</v>
      </c>
      <c r="V252" s="15">
        <v>0</v>
      </c>
      <c r="W252" s="16">
        <v>0</v>
      </c>
      <c r="X252" s="2">
        <f t="shared" si="10"/>
        <v>3289657.59</v>
      </c>
      <c r="Y252" s="18">
        <v>64363.55</v>
      </c>
      <c r="Z252" s="25"/>
      <c r="AA252" s="18">
        <v>175236.9</v>
      </c>
      <c r="AB252" s="25"/>
      <c r="AC252" s="18">
        <v>141209.25</v>
      </c>
      <c r="AD252" s="25">
        <v>51702.400000000001</v>
      </c>
      <c r="AE252" s="18"/>
      <c r="AF252" s="25"/>
      <c r="AG252" s="18"/>
      <c r="AH252" s="25">
        <v>47024.35</v>
      </c>
      <c r="AI252" s="18"/>
      <c r="AJ252" s="25"/>
      <c r="AK252" s="18"/>
      <c r="AL252" s="68">
        <f t="shared" si="11"/>
        <v>479536.45</v>
      </c>
      <c r="AM252" s="33">
        <v>72</v>
      </c>
      <c r="AN252" s="34">
        <v>1469</v>
      </c>
      <c r="AO252" s="16">
        <v>-91030.94</v>
      </c>
      <c r="AP252" s="25"/>
      <c r="AQ252" s="16">
        <v>-47.22</v>
      </c>
      <c r="AR252" s="64">
        <v>1</v>
      </c>
      <c r="AS252" s="35"/>
      <c r="AT252" s="35"/>
      <c r="AU252" s="40"/>
      <c r="AV252" s="40"/>
      <c r="AW252" s="41"/>
      <c r="AX252" s="23"/>
      <c r="AZ252" s="40"/>
      <c r="BA252" s="40"/>
      <c r="BB252" s="41"/>
      <c r="BC252" s="42"/>
      <c r="BD252" s="42"/>
      <c r="BE252" s="42"/>
      <c r="BF252" s="42"/>
      <c r="BG252" s="42"/>
      <c r="BI252" s="38"/>
      <c r="BJ252" s="39"/>
      <c r="BK252" s="38"/>
      <c r="BL252" s="38"/>
      <c r="BM252" s="38"/>
    </row>
    <row r="253" spans="1:65" x14ac:dyDescent="0.25">
      <c r="A253" s="13">
        <v>5805</v>
      </c>
      <c r="B253" s="14" t="s">
        <v>501</v>
      </c>
      <c r="C253" s="16">
        <v>7186595.46</v>
      </c>
      <c r="D253" s="15">
        <v>874597.28</v>
      </c>
      <c r="E253" s="16">
        <v>0</v>
      </c>
      <c r="F253" s="15">
        <v>0</v>
      </c>
      <c r="G253" s="16">
        <v>1039452.95</v>
      </c>
      <c r="H253" s="15">
        <v>65338.05</v>
      </c>
      <c r="I253" s="16">
        <v>42.9</v>
      </c>
      <c r="J253" s="15">
        <v>218437.25</v>
      </c>
      <c r="K253" s="17">
        <v>46437</v>
      </c>
      <c r="L253" s="16">
        <v>828752.85</v>
      </c>
      <c r="M253" s="3">
        <f t="shared" si="9"/>
        <v>10259653.74</v>
      </c>
      <c r="N253" s="15">
        <v>37668.9</v>
      </c>
      <c r="O253" s="16">
        <v>43830</v>
      </c>
      <c r="P253" s="15">
        <v>332404.55</v>
      </c>
      <c r="Q253" s="16">
        <v>36684.33</v>
      </c>
      <c r="R253" s="15">
        <v>214444.5</v>
      </c>
      <c r="S253" s="16">
        <v>5037.5</v>
      </c>
      <c r="T253" s="15">
        <v>0</v>
      </c>
      <c r="U253" s="16">
        <v>36550</v>
      </c>
      <c r="V253" s="15">
        <v>2400</v>
      </c>
      <c r="W253" s="16">
        <v>3165.15</v>
      </c>
      <c r="X253" s="2">
        <f t="shared" si="10"/>
        <v>10971838.670000002</v>
      </c>
      <c r="Y253" s="18">
        <v>153901.35</v>
      </c>
      <c r="Z253" s="25"/>
      <c r="AA253" s="18">
        <v>702651.7</v>
      </c>
      <c r="AB253" s="25"/>
      <c r="AC253" s="18">
        <v>510787.1</v>
      </c>
      <c r="AD253" s="25">
        <v>54854.65</v>
      </c>
      <c r="AE253" s="18"/>
      <c r="AF253" s="25"/>
      <c r="AG253" s="18"/>
      <c r="AH253" s="25"/>
      <c r="AI253" s="18"/>
      <c r="AJ253" s="25"/>
      <c r="AK253" s="18"/>
      <c r="AL253" s="68">
        <f t="shared" si="11"/>
        <v>1422194.7999999998</v>
      </c>
      <c r="AM253" s="33">
        <v>69</v>
      </c>
      <c r="AN253" s="34">
        <v>5180</v>
      </c>
      <c r="AO253" s="16">
        <v>-195327.48</v>
      </c>
      <c r="AP253" s="25"/>
      <c r="AQ253" s="16">
        <v>-27.09</v>
      </c>
      <c r="AR253" s="64">
        <v>1.1000000000000001</v>
      </c>
      <c r="AS253" s="35"/>
      <c r="AT253" s="35"/>
      <c r="AU253" s="40"/>
      <c r="AV253" s="40"/>
      <c r="AW253" s="41"/>
      <c r="AX253" s="23"/>
      <c r="AZ253" s="40"/>
      <c r="BA253" s="40"/>
      <c r="BB253" s="41"/>
      <c r="BC253" s="42"/>
      <c r="BD253" s="42"/>
      <c r="BE253" s="42"/>
      <c r="BF253" s="42"/>
      <c r="BG253" s="42"/>
      <c r="BI253" s="38"/>
      <c r="BJ253" s="39"/>
      <c r="BK253" s="38"/>
      <c r="BL253" s="38"/>
      <c r="BM253" s="38"/>
    </row>
    <row r="254" spans="1:65" x14ac:dyDescent="0.25">
      <c r="A254" s="13">
        <v>5812</v>
      </c>
      <c r="B254" s="14" t="s">
        <v>439</v>
      </c>
      <c r="C254" s="16">
        <v>184526.63</v>
      </c>
      <c r="D254" s="15">
        <v>8797.7999999999993</v>
      </c>
      <c r="E254" s="16">
        <v>0</v>
      </c>
      <c r="F254" s="15">
        <v>0</v>
      </c>
      <c r="G254" s="16">
        <v>198.15</v>
      </c>
      <c r="H254" s="15">
        <v>77.95</v>
      </c>
      <c r="I254" s="16">
        <v>0</v>
      </c>
      <c r="J254" s="15">
        <v>4657.71</v>
      </c>
      <c r="K254" s="17">
        <v>10</v>
      </c>
      <c r="L254" s="16">
        <v>11220.1</v>
      </c>
      <c r="M254" s="3">
        <f t="shared" si="9"/>
        <v>209488.34</v>
      </c>
      <c r="N254" s="15">
        <v>0</v>
      </c>
      <c r="O254" s="16" t="s">
        <v>512</v>
      </c>
      <c r="P254" s="15">
        <v>87.1</v>
      </c>
      <c r="Q254" s="16">
        <v>0</v>
      </c>
      <c r="R254" s="15">
        <v>14083.35</v>
      </c>
      <c r="S254" s="16">
        <v>0</v>
      </c>
      <c r="T254" s="15">
        <v>0</v>
      </c>
      <c r="U254" s="16">
        <v>440</v>
      </c>
      <c r="V254" s="15">
        <v>0</v>
      </c>
      <c r="W254" s="16">
        <v>0</v>
      </c>
      <c r="X254" s="2">
        <f t="shared" si="10"/>
        <v>224098.79</v>
      </c>
      <c r="Y254" s="18">
        <v>-2400</v>
      </c>
      <c r="Z254" s="25"/>
      <c r="AA254" s="18">
        <v>11567</v>
      </c>
      <c r="AB254" s="25"/>
      <c r="AC254" s="18">
        <v>12155</v>
      </c>
      <c r="AD254" s="25"/>
      <c r="AE254" s="18"/>
      <c r="AF254" s="25">
        <v>840</v>
      </c>
      <c r="AG254" s="18"/>
      <c r="AH254" s="25">
        <v>2676.15</v>
      </c>
      <c r="AI254" s="18"/>
      <c r="AJ254" s="25"/>
      <c r="AK254" s="18"/>
      <c r="AL254" s="68">
        <f t="shared" si="11"/>
        <v>24838.15</v>
      </c>
      <c r="AM254" s="33">
        <v>77</v>
      </c>
      <c r="AN254" s="34">
        <v>137</v>
      </c>
      <c r="AO254" s="16">
        <v>-70.36</v>
      </c>
      <c r="AP254" s="25"/>
      <c r="AQ254" s="16">
        <v>0</v>
      </c>
      <c r="AR254" s="64">
        <v>0.8</v>
      </c>
      <c r="AS254" s="35"/>
      <c r="AT254" s="35"/>
      <c r="AU254" s="40"/>
      <c r="AV254" s="40"/>
      <c r="AW254" s="41"/>
      <c r="AX254" s="23"/>
      <c r="AZ254" s="40"/>
      <c r="BA254" s="40"/>
      <c r="BB254" s="41"/>
      <c r="BC254" s="42"/>
      <c r="BD254" s="42"/>
      <c r="BE254" s="42"/>
      <c r="BF254" s="42"/>
      <c r="BG254" s="42"/>
      <c r="BI254" s="38"/>
      <c r="BJ254" s="39"/>
      <c r="BK254" s="38"/>
      <c r="BL254" s="38"/>
      <c r="BM254" s="38"/>
    </row>
    <row r="255" spans="1:65" x14ac:dyDescent="0.25">
      <c r="A255" s="13">
        <v>5813</v>
      </c>
      <c r="B255" s="14" t="s">
        <v>440</v>
      </c>
      <c r="C255" s="16">
        <v>629573.91</v>
      </c>
      <c r="D255" s="15">
        <v>91568.54</v>
      </c>
      <c r="E255" s="16">
        <v>0</v>
      </c>
      <c r="F255" s="15">
        <v>2630</v>
      </c>
      <c r="G255" s="16">
        <v>3769.3</v>
      </c>
      <c r="H255" s="15">
        <v>184.15</v>
      </c>
      <c r="I255" s="16">
        <v>0</v>
      </c>
      <c r="J255" s="15">
        <v>17576.05</v>
      </c>
      <c r="K255" s="17">
        <v>0</v>
      </c>
      <c r="L255" s="16">
        <v>76711.899999999994</v>
      </c>
      <c r="M255" s="3">
        <f t="shared" si="9"/>
        <v>822013.85000000021</v>
      </c>
      <c r="N255" s="15">
        <v>0</v>
      </c>
      <c r="O255" s="16">
        <v>13595.4</v>
      </c>
      <c r="P255" s="15">
        <v>19855.849999999999</v>
      </c>
      <c r="Q255" s="16">
        <v>0</v>
      </c>
      <c r="R255" s="15">
        <v>36318.449999999997</v>
      </c>
      <c r="S255" s="16">
        <v>0</v>
      </c>
      <c r="T255" s="15">
        <v>1120</v>
      </c>
      <c r="U255" s="16">
        <v>3550</v>
      </c>
      <c r="V255" s="15">
        <v>0</v>
      </c>
      <c r="W255" s="16">
        <v>0</v>
      </c>
      <c r="X255" s="2">
        <f t="shared" si="10"/>
        <v>896453.55000000016</v>
      </c>
      <c r="Y255" s="18">
        <v>1049</v>
      </c>
      <c r="Z255" s="25"/>
      <c r="AA255" s="18">
        <v>49117.8</v>
      </c>
      <c r="AB255" s="25"/>
      <c r="AC255" s="18">
        <v>42624.1</v>
      </c>
      <c r="AD255" s="25">
        <v>524.5</v>
      </c>
      <c r="AE255" s="18"/>
      <c r="AF255" s="25"/>
      <c r="AG255" s="18">
        <v>76445</v>
      </c>
      <c r="AH255" s="25"/>
      <c r="AI255" s="18">
        <v>16559.099999999999</v>
      </c>
      <c r="AJ255" s="25"/>
      <c r="AK255" s="18"/>
      <c r="AL255" s="68">
        <f t="shared" si="11"/>
        <v>186319.5</v>
      </c>
      <c r="AM255" s="33">
        <v>70</v>
      </c>
      <c r="AN255" s="34">
        <v>418</v>
      </c>
      <c r="AO255" s="16">
        <v>-8543.69</v>
      </c>
      <c r="AP255" s="25"/>
      <c r="AQ255" s="16">
        <v>-2.52</v>
      </c>
      <c r="AR255" s="64">
        <v>1.2</v>
      </c>
      <c r="AS255" s="35"/>
      <c r="AT255" s="35"/>
      <c r="AU255" s="40"/>
      <c r="AV255" s="40"/>
      <c r="AW255" s="41"/>
      <c r="AX255" s="23"/>
      <c r="AZ255" s="40"/>
      <c r="BA255" s="40"/>
      <c r="BB255" s="41"/>
      <c r="BC255" s="42"/>
      <c r="BD255" s="42"/>
      <c r="BE255" s="42"/>
      <c r="BF255" s="42"/>
      <c r="BG255" s="42"/>
      <c r="BI255" s="38"/>
      <c r="BJ255" s="39"/>
      <c r="BK255" s="38"/>
      <c r="BL255" s="38"/>
      <c r="BM255" s="38"/>
    </row>
    <row r="256" spans="1:65" x14ac:dyDescent="0.25">
      <c r="A256" s="13">
        <v>5816</v>
      </c>
      <c r="B256" s="14" t="s">
        <v>12</v>
      </c>
      <c r="C256" s="16">
        <v>2787589.28</v>
      </c>
      <c r="D256" s="15">
        <v>234465.45</v>
      </c>
      <c r="E256" s="16">
        <v>0</v>
      </c>
      <c r="F256" s="15">
        <v>0</v>
      </c>
      <c r="G256" s="16">
        <v>282465.59999999998</v>
      </c>
      <c r="H256" s="15">
        <v>17250.650000000001</v>
      </c>
      <c r="I256" s="16">
        <v>0</v>
      </c>
      <c r="J256" s="15">
        <v>105016.18</v>
      </c>
      <c r="K256" s="17">
        <v>23997</v>
      </c>
      <c r="L256" s="16">
        <v>187776</v>
      </c>
      <c r="M256" s="3">
        <f t="shared" si="9"/>
        <v>3638560.16</v>
      </c>
      <c r="N256" s="15">
        <v>9817.15</v>
      </c>
      <c r="O256" s="16">
        <v>211736.2</v>
      </c>
      <c r="P256" s="15">
        <v>144471.70000000001</v>
      </c>
      <c r="Q256" s="16">
        <v>206342.01</v>
      </c>
      <c r="R256" s="15">
        <v>72949.2</v>
      </c>
      <c r="S256" s="16">
        <v>725</v>
      </c>
      <c r="T256" s="15">
        <v>5170</v>
      </c>
      <c r="U256" s="16">
        <v>9030</v>
      </c>
      <c r="V256" s="15">
        <v>0</v>
      </c>
      <c r="W256" s="16">
        <v>0</v>
      </c>
      <c r="X256" s="2">
        <f t="shared" si="10"/>
        <v>4298801.4200000009</v>
      </c>
      <c r="Y256" s="18">
        <v>137259.79999999999</v>
      </c>
      <c r="Z256" s="25"/>
      <c r="AA256" s="18">
        <v>424299.15</v>
      </c>
      <c r="AB256" s="25"/>
      <c r="AC256" s="18">
        <v>137184.39000000001</v>
      </c>
      <c r="AD256" s="25">
        <v>105611.15</v>
      </c>
      <c r="AE256" s="18"/>
      <c r="AF256" s="25"/>
      <c r="AG256" s="18"/>
      <c r="AH256" s="25"/>
      <c r="AI256" s="18"/>
      <c r="AJ256" s="25"/>
      <c r="AK256" s="18"/>
      <c r="AL256" s="68">
        <f t="shared" si="11"/>
        <v>804354.49</v>
      </c>
      <c r="AM256" s="33">
        <v>72</v>
      </c>
      <c r="AN256" s="34">
        <v>2091</v>
      </c>
      <c r="AO256" s="16">
        <v>-230394.9</v>
      </c>
      <c r="AP256" s="25"/>
      <c r="AQ256" s="16">
        <v>-0.19</v>
      </c>
      <c r="AR256" s="64">
        <v>0.7</v>
      </c>
      <c r="AS256" s="35"/>
      <c r="AT256" s="35"/>
      <c r="AU256" s="40"/>
      <c r="AV256" s="40"/>
      <c r="AW256" s="41"/>
      <c r="AX256" s="23"/>
      <c r="AZ256" s="40"/>
      <c r="BA256" s="40"/>
      <c r="BB256" s="41"/>
      <c r="BC256" s="42"/>
      <c r="BD256" s="42"/>
      <c r="BE256" s="42"/>
      <c r="BF256" s="42"/>
      <c r="BG256" s="42"/>
      <c r="BI256" s="38"/>
      <c r="BJ256" s="39"/>
      <c r="BK256" s="38"/>
      <c r="BL256" s="38"/>
      <c r="BM256" s="38"/>
    </row>
    <row r="257" spans="1:65" x14ac:dyDescent="0.25">
      <c r="A257" s="13">
        <v>5817</v>
      </c>
      <c r="B257" s="14" t="s">
        <v>13</v>
      </c>
      <c r="C257" s="16">
        <v>1355094.13</v>
      </c>
      <c r="D257" s="15">
        <v>127297.8</v>
      </c>
      <c r="E257" s="16">
        <v>0</v>
      </c>
      <c r="F257" s="15">
        <v>4760</v>
      </c>
      <c r="G257" s="16">
        <v>26673</v>
      </c>
      <c r="H257" s="15">
        <v>570.79999999999995</v>
      </c>
      <c r="I257" s="16">
        <v>0</v>
      </c>
      <c r="J257" s="15">
        <v>15044.86</v>
      </c>
      <c r="K257" s="17">
        <v>3259.5</v>
      </c>
      <c r="L257" s="16">
        <v>94094.85</v>
      </c>
      <c r="M257" s="3">
        <f t="shared" si="9"/>
        <v>1626794.9400000002</v>
      </c>
      <c r="N257" s="15">
        <v>0</v>
      </c>
      <c r="O257" s="16" t="s">
        <v>512</v>
      </c>
      <c r="P257" s="15">
        <v>51711.4</v>
      </c>
      <c r="Q257" s="16">
        <v>0</v>
      </c>
      <c r="R257" s="15">
        <v>33107.1</v>
      </c>
      <c r="S257" s="16">
        <v>137.5</v>
      </c>
      <c r="T257" s="15">
        <v>685</v>
      </c>
      <c r="U257" s="16">
        <v>3450</v>
      </c>
      <c r="V257" s="15">
        <v>0</v>
      </c>
      <c r="W257" s="16">
        <v>0</v>
      </c>
      <c r="X257" s="2">
        <f t="shared" si="10"/>
        <v>1715885.9400000002</v>
      </c>
      <c r="Y257" s="18">
        <v>78741.8</v>
      </c>
      <c r="Z257" s="25"/>
      <c r="AA257" s="18">
        <v>237714.25</v>
      </c>
      <c r="AB257" s="25"/>
      <c r="AC257" s="18">
        <v>67783.45</v>
      </c>
      <c r="AD257" s="25">
        <v>24954.400000000001</v>
      </c>
      <c r="AE257" s="18"/>
      <c r="AF257" s="25"/>
      <c r="AG257" s="18"/>
      <c r="AH257" s="25">
        <v>26544.9</v>
      </c>
      <c r="AI257" s="18"/>
      <c r="AJ257" s="25"/>
      <c r="AK257" s="18"/>
      <c r="AL257" s="68">
        <f t="shared" si="11"/>
        <v>435738.80000000005</v>
      </c>
      <c r="AM257" s="33">
        <v>79.5</v>
      </c>
      <c r="AN257" s="34">
        <v>863</v>
      </c>
      <c r="AO257" s="16">
        <v>-28786.720000000001</v>
      </c>
      <c r="AP257" s="25"/>
      <c r="AQ257" s="16">
        <v>-25.38</v>
      </c>
      <c r="AR257" s="64">
        <v>1</v>
      </c>
      <c r="AS257" s="35"/>
      <c r="AT257" s="35"/>
      <c r="AU257" s="40"/>
      <c r="AV257" s="40"/>
      <c r="AW257" s="41"/>
      <c r="AX257" s="23"/>
      <c r="AZ257" s="40"/>
      <c r="BA257" s="40"/>
      <c r="BB257" s="41"/>
      <c r="BC257" s="42"/>
      <c r="BD257" s="42"/>
      <c r="BE257" s="42"/>
      <c r="BF257" s="42"/>
      <c r="BG257" s="42"/>
      <c r="BI257" s="38"/>
      <c r="BJ257" s="39"/>
      <c r="BK257" s="38"/>
      <c r="BL257" s="38"/>
      <c r="BM257" s="38"/>
    </row>
    <row r="258" spans="1:65" x14ac:dyDescent="0.25">
      <c r="A258" s="13">
        <v>5819</v>
      </c>
      <c r="B258" s="14" t="s">
        <v>14</v>
      </c>
      <c r="C258" s="16">
        <v>363734.79</v>
      </c>
      <c r="D258" s="15">
        <v>-1013.86</v>
      </c>
      <c r="E258" s="16">
        <v>0</v>
      </c>
      <c r="F258" s="15">
        <v>0</v>
      </c>
      <c r="G258" s="16">
        <v>226534.2</v>
      </c>
      <c r="H258" s="15">
        <v>4578.25</v>
      </c>
      <c r="I258" s="16">
        <v>0</v>
      </c>
      <c r="J258" s="15">
        <v>8790.23</v>
      </c>
      <c r="K258" s="17">
        <v>1300.5</v>
      </c>
      <c r="L258" s="16">
        <v>71798.850000000006</v>
      </c>
      <c r="M258" s="3">
        <f t="shared" si="9"/>
        <v>675722.96</v>
      </c>
      <c r="N258" s="15">
        <v>14211.7</v>
      </c>
      <c r="O258" s="16" t="s">
        <v>512</v>
      </c>
      <c r="P258" s="15">
        <v>6393.75</v>
      </c>
      <c r="Q258" s="16">
        <v>0</v>
      </c>
      <c r="R258" s="15">
        <v>3470.65</v>
      </c>
      <c r="S258" s="16">
        <v>0</v>
      </c>
      <c r="T258" s="15">
        <v>0</v>
      </c>
      <c r="U258" s="16">
        <v>660</v>
      </c>
      <c r="V258" s="15">
        <v>0</v>
      </c>
      <c r="W258" s="16">
        <v>0</v>
      </c>
      <c r="X258" s="2">
        <f t="shared" si="10"/>
        <v>700459.05999999994</v>
      </c>
      <c r="Y258" s="18">
        <v>201000</v>
      </c>
      <c r="Z258" s="25"/>
      <c r="AA258" s="18">
        <v>13469.6</v>
      </c>
      <c r="AB258" s="25"/>
      <c r="AC258" s="18">
        <v>33698.9</v>
      </c>
      <c r="AD258" s="25">
        <v>98700</v>
      </c>
      <c r="AE258" s="18"/>
      <c r="AF258" s="25"/>
      <c r="AG258" s="18"/>
      <c r="AH258" s="25"/>
      <c r="AI258" s="18"/>
      <c r="AJ258" s="25"/>
      <c r="AK258" s="18"/>
      <c r="AL258" s="68">
        <f t="shared" si="11"/>
        <v>346868.5</v>
      </c>
      <c r="AM258" s="33">
        <v>67</v>
      </c>
      <c r="AN258" s="34">
        <v>287</v>
      </c>
      <c r="AO258" s="16">
        <v>-13160.39</v>
      </c>
      <c r="AP258" s="25"/>
      <c r="AQ258" s="16">
        <v>-319.45999999999998</v>
      </c>
      <c r="AR258" s="64">
        <v>1</v>
      </c>
      <c r="AS258" s="35"/>
      <c r="AT258" s="35"/>
      <c r="AU258" s="40"/>
      <c r="AV258" s="40"/>
      <c r="AW258" s="41"/>
      <c r="AX258" s="23"/>
      <c r="AZ258" s="40"/>
      <c r="BA258" s="40"/>
      <c r="BB258" s="41"/>
      <c r="BC258" s="42"/>
      <c r="BD258" s="42"/>
      <c r="BE258" s="42"/>
      <c r="BF258" s="42"/>
      <c r="BG258" s="42"/>
      <c r="BI258" s="38"/>
      <c r="BJ258" s="39"/>
      <c r="BK258" s="38"/>
      <c r="BL258" s="38"/>
      <c r="BM258" s="38"/>
    </row>
    <row r="259" spans="1:65" x14ac:dyDescent="0.25">
      <c r="A259" s="13">
        <v>5821</v>
      </c>
      <c r="B259" s="14" t="s">
        <v>15</v>
      </c>
      <c r="C259" s="16">
        <v>438119.44</v>
      </c>
      <c r="D259" s="15">
        <v>48565.89</v>
      </c>
      <c r="E259" s="16">
        <v>0</v>
      </c>
      <c r="F259" s="15">
        <v>0</v>
      </c>
      <c r="G259" s="16">
        <v>4004.25</v>
      </c>
      <c r="H259" s="15">
        <v>171.5</v>
      </c>
      <c r="I259" s="16">
        <v>0</v>
      </c>
      <c r="J259" s="15">
        <v>21028.16</v>
      </c>
      <c r="K259" s="17">
        <v>1254</v>
      </c>
      <c r="L259" s="16">
        <v>36667.9</v>
      </c>
      <c r="M259" s="3">
        <f t="shared" si="9"/>
        <v>549811.14</v>
      </c>
      <c r="N259" s="15">
        <v>0</v>
      </c>
      <c r="O259" s="16" t="s">
        <v>512</v>
      </c>
      <c r="P259" s="15">
        <v>37234.6</v>
      </c>
      <c r="Q259" s="16">
        <v>2655.73</v>
      </c>
      <c r="R259" s="15">
        <v>34295.9</v>
      </c>
      <c r="S259" s="16">
        <v>0</v>
      </c>
      <c r="T259" s="15">
        <v>0</v>
      </c>
      <c r="U259" s="16">
        <v>3050</v>
      </c>
      <c r="V259" s="15">
        <v>0</v>
      </c>
      <c r="W259" s="16">
        <v>0</v>
      </c>
      <c r="X259" s="2">
        <f t="shared" si="10"/>
        <v>627047.37</v>
      </c>
      <c r="Y259" s="18">
        <v>29365.200000000001</v>
      </c>
      <c r="Z259" s="25"/>
      <c r="AA259" s="18">
        <v>45658.5</v>
      </c>
      <c r="AB259" s="25"/>
      <c r="AC259" s="18">
        <v>31079.75</v>
      </c>
      <c r="AD259" s="25">
        <v>40916.25</v>
      </c>
      <c r="AE259" s="18"/>
      <c r="AF259" s="25"/>
      <c r="AG259" s="18"/>
      <c r="AH259" s="25">
        <v>8387.9500000000007</v>
      </c>
      <c r="AI259" s="18"/>
      <c r="AJ259" s="25">
        <v>63.8</v>
      </c>
      <c r="AK259" s="18"/>
      <c r="AL259" s="68">
        <f t="shared" si="11"/>
        <v>155471.45000000001</v>
      </c>
      <c r="AM259" s="33">
        <v>72</v>
      </c>
      <c r="AN259" s="34">
        <v>335</v>
      </c>
      <c r="AO259" s="16">
        <v>-12663.2</v>
      </c>
      <c r="AP259" s="25"/>
      <c r="AQ259" s="16">
        <v>0</v>
      </c>
      <c r="AR259" s="64">
        <v>1</v>
      </c>
      <c r="AS259" s="35"/>
      <c r="AT259" s="35"/>
      <c r="AU259" s="40"/>
      <c r="AV259" s="40"/>
      <c r="AW259" s="41"/>
      <c r="AX259" s="23"/>
      <c r="AZ259" s="40"/>
      <c r="BA259" s="40"/>
      <c r="BB259" s="41"/>
      <c r="BC259" s="42"/>
      <c r="BD259" s="42"/>
      <c r="BE259" s="42"/>
      <c r="BF259" s="42"/>
      <c r="BG259" s="42"/>
      <c r="BI259" s="38"/>
      <c r="BJ259" s="39"/>
      <c r="BK259" s="38"/>
      <c r="BL259" s="38"/>
      <c r="BM259" s="38"/>
    </row>
    <row r="260" spans="1:65" x14ac:dyDescent="0.25">
      <c r="A260" s="13">
        <v>5822</v>
      </c>
      <c r="B260" s="14" t="s">
        <v>16</v>
      </c>
      <c r="C260" s="16">
        <v>12374738.32</v>
      </c>
      <c r="D260" s="15">
        <v>1335443.28</v>
      </c>
      <c r="E260" s="16">
        <v>0</v>
      </c>
      <c r="F260" s="15">
        <v>0</v>
      </c>
      <c r="G260" s="16">
        <v>1837685.55</v>
      </c>
      <c r="H260" s="15">
        <v>46126.45</v>
      </c>
      <c r="I260" s="16">
        <v>8820.35</v>
      </c>
      <c r="J260" s="15">
        <v>613074.81999999995</v>
      </c>
      <c r="K260" s="17">
        <v>126495</v>
      </c>
      <c r="L260" s="16">
        <v>1143270.45</v>
      </c>
      <c r="M260" s="3">
        <f t="shared" si="9"/>
        <v>17485654.219999999</v>
      </c>
      <c r="N260" s="15">
        <v>22324.45</v>
      </c>
      <c r="O260" s="16">
        <v>830815.1</v>
      </c>
      <c r="P260" s="15">
        <v>416400.95</v>
      </c>
      <c r="Q260" s="16">
        <v>157075.9</v>
      </c>
      <c r="R260" s="15">
        <v>441055.95</v>
      </c>
      <c r="S260" s="16">
        <v>152151.20000000001</v>
      </c>
      <c r="T260" s="15">
        <v>32775</v>
      </c>
      <c r="U260" s="16">
        <v>14125</v>
      </c>
      <c r="V260" s="15">
        <v>721875.25</v>
      </c>
      <c r="W260" s="16">
        <v>0</v>
      </c>
      <c r="X260" s="2">
        <f t="shared" si="10"/>
        <v>20274253.019999996</v>
      </c>
      <c r="Y260" s="18">
        <v>191914.25</v>
      </c>
      <c r="Z260" s="25"/>
      <c r="AA260" s="18">
        <v>2335269.7999999998</v>
      </c>
      <c r="AB260" s="25"/>
      <c r="AC260" s="18">
        <v>1221103.07</v>
      </c>
      <c r="AD260" s="25">
        <v>37348.699999999997</v>
      </c>
      <c r="AE260" s="18"/>
      <c r="AF260" s="25"/>
      <c r="AG260" s="18">
        <v>1594</v>
      </c>
      <c r="AH260" s="25"/>
      <c r="AI260" s="18"/>
      <c r="AJ260" s="25"/>
      <c r="AK260" s="18"/>
      <c r="AL260" s="68">
        <f t="shared" si="11"/>
        <v>3787229.8200000003</v>
      </c>
      <c r="AM260" s="33">
        <v>73</v>
      </c>
      <c r="AN260" s="34">
        <v>9207</v>
      </c>
      <c r="AO260" s="16">
        <v>-693331.35</v>
      </c>
      <c r="AP260" s="25"/>
      <c r="AQ260" s="16">
        <v>-866.47</v>
      </c>
      <c r="AR260" s="64">
        <v>1</v>
      </c>
      <c r="AS260" s="35"/>
      <c r="AT260" s="35"/>
      <c r="AU260" s="40"/>
      <c r="AV260" s="40"/>
      <c r="AW260" s="41"/>
      <c r="AX260" s="23"/>
      <c r="AZ260" s="40"/>
      <c r="BA260" s="40"/>
      <c r="BB260" s="41"/>
      <c r="BC260" s="42"/>
      <c r="BD260" s="42"/>
      <c r="BE260" s="42"/>
      <c r="BF260" s="42"/>
      <c r="BG260" s="42"/>
      <c r="BI260" s="38"/>
      <c r="BJ260" s="39"/>
      <c r="BK260" s="38"/>
      <c r="BL260" s="38"/>
      <c r="BM260" s="38"/>
    </row>
    <row r="261" spans="1:65" x14ac:dyDescent="0.25">
      <c r="A261" s="13">
        <v>5827</v>
      </c>
      <c r="B261" s="14" t="s">
        <v>17</v>
      </c>
      <c r="C261" s="16">
        <v>416173.6</v>
      </c>
      <c r="D261" s="15">
        <v>46367.92</v>
      </c>
      <c r="E261" s="16">
        <v>0</v>
      </c>
      <c r="F261" s="15">
        <v>0</v>
      </c>
      <c r="G261" s="16">
        <v>10658.65</v>
      </c>
      <c r="H261" s="15">
        <v>73.05</v>
      </c>
      <c r="I261" s="16">
        <v>0</v>
      </c>
      <c r="J261" s="15">
        <v>-451.13</v>
      </c>
      <c r="K261" s="17">
        <v>141</v>
      </c>
      <c r="L261" s="16">
        <v>31066.55</v>
      </c>
      <c r="M261" s="3">
        <f t="shared" si="9"/>
        <v>504029.63999999996</v>
      </c>
      <c r="N261" s="15">
        <v>6013.45</v>
      </c>
      <c r="O261" s="16" t="s">
        <v>512</v>
      </c>
      <c r="P261" s="15">
        <v>10010</v>
      </c>
      <c r="Q261" s="16">
        <v>5530.66</v>
      </c>
      <c r="R261" s="15">
        <v>13372.3</v>
      </c>
      <c r="S261" s="16">
        <v>0</v>
      </c>
      <c r="T261" s="15">
        <v>0</v>
      </c>
      <c r="U261" s="16">
        <v>1650</v>
      </c>
      <c r="V261" s="15">
        <v>0</v>
      </c>
      <c r="W261" s="16">
        <v>0</v>
      </c>
      <c r="X261" s="2">
        <f t="shared" si="10"/>
        <v>540606.05000000005</v>
      </c>
      <c r="Y261" s="18"/>
      <c r="Z261" s="25"/>
      <c r="AA261" s="18">
        <v>24596.6</v>
      </c>
      <c r="AB261" s="25"/>
      <c r="AC261" s="18">
        <v>13130</v>
      </c>
      <c r="AD261" s="25"/>
      <c r="AE261" s="18"/>
      <c r="AF261" s="25"/>
      <c r="AG261" s="18"/>
      <c r="AH261" s="25"/>
      <c r="AI261" s="18"/>
      <c r="AJ261" s="25"/>
      <c r="AK261" s="18"/>
      <c r="AL261" s="68">
        <f t="shared" si="11"/>
        <v>37726.6</v>
      </c>
      <c r="AM261" s="33">
        <v>80</v>
      </c>
      <c r="AN261" s="34">
        <v>267</v>
      </c>
      <c r="AO261" s="16">
        <v>-17675.16</v>
      </c>
      <c r="AP261" s="25"/>
      <c r="AQ261" s="16">
        <v>-8.15</v>
      </c>
      <c r="AR261" s="64">
        <v>1</v>
      </c>
      <c r="AS261" s="35"/>
      <c r="AT261" s="35"/>
      <c r="AU261" s="40"/>
      <c r="AV261" s="40"/>
      <c r="AW261" s="41"/>
      <c r="AX261" s="23"/>
      <c r="AZ261" s="40"/>
      <c r="BA261" s="40"/>
      <c r="BB261" s="41"/>
      <c r="BC261" s="42"/>
      <c r="BD261" s="42"/>
      <c r="BE261" s="42"/>
      <c r="BF261" s="42"/>
      <c r="BG261" s="42"/>
      <c r="BI261" s="38"/>
      <c r="BJ261" s="39"/>
      <c r="BK261" s="38"/>
      <c r="BL261" s="38"/>
      <c r="BM261" s="38"/>
    </row>
    <row r="262" spans="1:65" x14ac:dyDescent="0.25">
      <c r="A262" s="13">
        <v>5828</v>
      </c>
      <c r="B262" s="14" t="s">
        <v>18</v>
      </c>
      <c r="C262" s="16">
        <v>177785.12</v>
      </c>
      <c r="D262" s="15">
        <v>19526.07</v>
      </c>
      <c r="E262" s="16">
        <v>0</v>
      </c>
      <c r="F262" s="15">
        <v>0</v>
      </c>
      <c r="G262" s="16">
        <v>148.80000000000001</v>
      </c>
      <c r="H262" s="15">
        <v>56</v>
      </c>
      <c r="I262" s="16">
        <v>0</v>
      </c>
      <c r="J262" s="15">
        <v>1731.91</v>
      </c>
      <c r="K262" s="17">
        <v>0</v>
      </c>
      <c r="L262" s="16">
        <v>20348.849999999999</v>
      </c>
      <c r="M262" s="3">
        <f t="shared" si="9"/>
        <v>219596.75</v>
      </c>
      <c r="N262" s="15">
        <v>0</v>
      </c>
      <c r="O262" s="16">
        <v>3266.7</v>
      </c>
      <c r="P262" s="15">
        <v>6333.8</v>
      </c>
      <c r="Q262" s="16">
        <v>0</v>
      </c>
      <c r="R262" s="15">
        <v>13683</v>
      </c>
      <c r="S262" s="16">
        <v>0</v>
      </c>
      <c r="T262" s="15">
        <v>0</v>
      </c>
      <c r="U262" s="16">
        <v>570</v>
      </c>
      <c r="V262" s="15">
        <v>0</v>
      </c>
      <c r="W262" s="16">
        <v>0</v>
      </c>
      <c r="X262" s="2">
        <f t="shared" si="10"/>
        <v>243450.25</v>
      </c>
      <c r="Y262" s="18"/>
      <c r="Z262" s="25"/>
      <c r="AA262" s="18">
        <v>18685</v>
      </c>
      <c r="AB262" s="25"/>
      <c r="AC262" s="18">
        <v>10136.1</v>
      </c>
      <c r="AD262" s="25"/>
      <c r="AE262" s="18"/>
      <c r="AF262" s="25"/>
      <c r="AG262" s="18"/>
      <c r="AH262" s="25">
        <v>3383</v>
      </c>
      <c r="AI262" s="18"/>
      <c r="AJ262" s="25"/>
      <c r="AK262" s="18"/>
      <c r="AL262" s="68">
        <f t="shared" si="11"/>
        <v>32204.1</v>
      </c>
      <c r="AM262" s="33">
        <v>84</v>
      </c>
      <c r="AN262" s="34">
        <v>120</v>
      </c>
      <c r="AO262" s="16">
        <v>-6350.05</v>
      </c>
      <c r="AP262" s="25"/>
      <c r="AQ262" s="16">
        <v>-0.13</v>
      </c>
      <c r="AR262" s="64">
        <v>1.5</v>
      </c>
      <c r="AS262" s="35"/>
      <c r="AT262" s="35"/>
      <c r="AU262" s="40"/>
      <c r="AV262" s="40"/>
      <c r="AW262" s="41"/>
      <c r="AX262" s="23"/>
      <c r="AZ262" s="40"/>
      <c r="BA262" s="40"/>
      <c r="BB262" s="41"/>
      <c r="BC262" s="42"/>
      <c r="BD262" s="42"/>
      <c r="BE262" s="42"/>
      <c r="BF262" s="42"/>
      <c r="BG262" s="42"/>
      <c r="BI262" s="38"/>
      <c r="BJ262" s="39"/>
      <c r="BK262" s="38"/>
      <c r="BL262" s="38"/>
      <c r="BM262" s="38"/>
    </row>
    <row r="263" spans="1:65" x14ac:dyDescent="0.25">
      <c r="A263" s="13">
        <v>5830</v>
      </c>
      <c r="B263" s="14" t="s">
        <v>19</v>
      </c>
      <c r="C263" s="16">
        <v>656360.19999999995</v>
      </c>
      <c r="D263" s="15">
        <v>76075.179999999993</v>
      </c>
      <c r="E263" s="16">
        <v>0</v>
      </c>
      <c r="F263" s="15">
        <v>2360</v>
      </c>
      <c r="G263" s="16">
        <v>3531.15</v>
      </c>
      <c r="H263" s="15">
        <v>66.150000000000006</v>
      </c>
      <c r="I263" s="16">
        <v>0</v>
      </c>
      <c r="J263" s="15">
        <v>12893.52</v>
      </c>
      <c r="K263" s="17">
        <v>1075</v>
      </c>
      <c r="L263" s="16">
        <v>49640.25</v>
      </c>
      <c r="M263" s="3">
        <f t="shared" si="9"/>
        <v>802001.45</v>
      </c>
      <c r="N263" s="15">
        <v>0</v>
      </c>
      <c r="O263" s="16" t="s">
        <v>512</v>
      </c>
      <c r="P263" s="15">
        <v>25694.65</v>
      </c>
      <c r="Q263" s="16">
        <v>0</v>
      </c>
      <c r="R263" s="15">
        <v>31284.400000000001</v>
      </c>
      <c r="S263" s="16">
        <v>0</v>
      </c>
      <c r="T263" s="15">
        <v>0</v>
      </c>
      <c r="U263" s="16">
        <v>2700</v>
      </c>
      <c r="V263" s="15">
        <v>0</v>
      </c>
      <c r="W263" s="16">
        <v>0</v>
      </c>
      <c r="X263" s="2">
        <f t="shared" si="10"/>
        <v>861680.5</v>
      </c>
      <c r="Y263" s="18">
        <v>14000</v>
      </c>
      <c r="Z263" s="25"/>
      <c r="AA263" s="18">
        <v>52153.8</v>
      </c>
      <c r="AB263" s="25"/>
      <c r="AC263" s="18">
        <v>29244.6</v>
      </c>
      <c r="AD263" s="25">
        <v>4000</v>
      </c>
      <c r="AE263" s="18"/>
      <c r="AF263" s="25"/>
      <c r="AG263" s="18"/>
      <c r="AH263" s="25"/>
      <c r="AI263" s="18"/>
      <c r="AJ263" s="25"/>
      <c r="AK263" s="18"/>
      <c r="AL263" s="68">
        <f t="shared" si="11"/>
        <v>99398.399999999994</v>
      </c>
      <c r="AM263" s="33">
        <v>81</v>
      </c>
      <c r="AN263" s="34">
        <v>413</v>
      </c>
      <c r="AO263" s="16">
        <v>-1046.68</v>
      </c>
      <c r="AP263" s="25"/>
      <c r="AQ263" s="16">
        <v>-0.55000000000000004</v>
      </c>
      <c r="AR263" s="64">
        <v>1</v>
      </c>
      <c r="AS263" s="35"/>
      <c r="AT263" s="35"/>
      <c r="AU263" s="40"/>
      <c r="AV263" s="40"/>
      <c r="AW263" s="41"/>
      <c r="AX263" s="23"/>
      <c r="AZ263" s="40"/>
      <c r="BA263" s="40"/>
      <c r="BB263" s="41"/>
      <c r="BC263" s="42"/>
      <c r="BD263" s="42"/>
      <c r="BE263" s="42"/>
      <c r="BF263" s="42"/>
      <c r="BG263" s="42"/>
      <c r="BI263" s="38"/>
      <c r="BJ263" s="39"/>
      <c r="BK263" s="38"/>
      <c r="BL263" s="38"/>
      <c r="BM263" s="38"/>
    </row>
    <row r="264" spans="1:65" x14ac:dyDescent="0.25">
      <c r="A264" s="13">
        <v>5831</v>
      </c>
      <c r="B264" s="14" t="s">
        <v>500</v>
      </c>
      <c r="C264" s="16">
        <v>4013105.05</v>
      </c>
      <c r="D264" s="15">
        <v>551698.48</v>
      </c>
      <c r="E264" s="16">
        <v>0</v>
      </c>
      <c r="F264" s="15">
        <v>0</v>
      </c>
      <c r="G264" s="16">
        <v>503787.75</v>
      </c>
      <c r="H264" s="15">
        <v>7358.7</v>
      </c>
      <c r="I264" s="16">
        <v>29038.75</v>
      </c>
      <c r="J264" s="15">
        <v>121977.02</v>
      </c>
      <c r="K264" s="17">
        <v>10310</v>
      </c>
      <c r="L264" s="16">
        <v>218418.95</v>
      </c>
      <c r="M264" s="3">
        <f t="shared" ref="M264:M324" si="12">SUM(C264:L264)</f>
        <v>5455694.6999999993</v>
      </c>
      <c r="N264" s="15">
        <v>16971.599999999999</v>
      </c>
      <c r="O264" s="16">
        <v>51514.9</v>
      </c>
      <c r="P264" s="15">
        <v>91814.45</v>
      </c>
      <c r="Q264" s="16">
        <v>19951.560000000001</v>
      </c>
      <c r="R264" s="15">
        <v>130504.9</v>
      </c>
      <c r="S264" s="16">
        <v>812.5</v>
      </c>
      <c r="T264" s="15">
        <v>0</v>
      </c>
      <c r="U264" s="16">
        <v>15275</v>
      </c>
      <c r="V264" s="15">
        <v>0</v>
      </c>
      <c r="W264" s="16">
        <v>0</v>
      </c>
      <c r="X264" s="2">
        <f t="shared" ref="X264:X324" si="13">SUM(M264:W264)</f>
        <v>5782539.6099999994</v>
      </c>
      <c r="Y264" s="18">
        <v>82505.25</v>
      </c>
      <c r="Z264" s="25"/>
      <c r="AA264" s="18">
        <v>302991.88</v>
      </c>
      <c r="AB264" s="25"/>
      <c r="AC264" s="18">
        <v>205208.27</v>
      </c>
      <c r="AD264" s="25">
        <v>45807.25</v>
      </c>
      <c r="AE264" s="18">
        <v>85020</v>
      </c>
      <c r="AF264" s="25"/>
      <c r="AG264" s="18"/>
      <c r="AH264" s="25">
        <v>146951.95000000001</v>
      </c>
      <c r="AI264" s="18"/>
      <c r="AJ264" s="25"/>
      <c r="AK264" s="18"/>
      <c r="AL264" s="68">
        <f t="shared" ref="AL264:AL324" si="14">SUM(Y264:AK264)</f>
        <v>868484.60000000009</v>
      </c>
      <c r="AM264" s="33">
        <v>75</v>
      </c>
      <c r="AN264" s="34">
        <v>2928</v>
      </c>
      <c r="AO264" s="16">
        <v>-206915.44</v>
      </c>
      <c r="AP264" s="25"/>
      <c r="AQ264" s="16">
        <v>-163.38999999999999</v>
      </c>
      <c r="AR264" s="64">
        <v>0.6</v>
      </c>
      <c r="AS264" s="35"/>
      <c r="AT264" s="35"/>
      <c r="AU264" s="40"/>
      <c r="AV264" s="40"/>
      <c r="AW264" s="41"/>
      <c r="AX264" s="23"/>
      <c r="AZ264" s="40"/>
      <c r="BA264" s="40"/>
      <c r="BB264" s="41"/>
      <c r="BC264" s="42"/>
      <c r="BD264" s="42"/>
      <c r="BE264" s="42"/>
      <c r="BF264" s="42"/>
      <c r="BG264" s="42"/>
      <c r="BI264" s="38"/>
      <c r="BJ264" s="39"/>
      <c r="BK264" s="38"/>
      <c r="BL264" s="38"/>
      <c r="BM264" s="38"/>
    </row>
    <row r="265" spans="1:65" x14ac:dyDescent="0.25">
      <c r="A265" s="13">
        <v>5841</v>
      </c>
      <c r="B265" s="14" t="s">
        <v>20</v>
      </c>
      <c r="C265" s="16">
        <v>5144586.34</v>
      </c>
      <c r="D265" s="15">
        <v>1549528.3</v>
      </c>
      <c r="E265" s="16">
        <v>0</v>
      </c>
      <c r="F265" s="15">
        <v>0</v>
      </c>
      <c r="G265" s="16">
        <v>468008.05</v>
      </c>
      <c r="H265" s="15">
        <v>10888.6</v>
      </c>
      <c r="I265" s="16">
        <v>616955.80000000005</v>
      </c>
      <c r="J265" s="15">
        <v>308641.48</v>
      </c>
      <c r="K265" s="17">
        <v>29140</v>
      </c>
      <c r="L265" s="16">
        <v>1287783.45</v>
      </c>
      <c r="M265" s="3">
        <f t="shared" si="12"/>
        <v>9415532.0199999977</v>
      </c>
      <c r="N265" s="15">
        <v>9161.9500000000007</v>
      </c>
      <c r="O265" s="16">
        <v>81246.3</v>
      </c>
      <c r="P265" s="15">
        <v>549430.05000000005</v>
      </c>
      <c r="Q265" s="16">
        <v>10963.95</v>
      </c>
      <c r="R265" s="15">
        <v>326149.55</v>
      </c>
      <c r="S265" s="16">
        <v>1281.25</v>
      </c>
      <c r="T265" s="15">
        <v>15789</v>
      </c>
      <c r="U265" s="16">
        <v>19800</v>
      </c>
      <c r="V265" s="15">
        <v>0</v>
      </c>
      <c r="W265" s="16">
        <v>0</v>
      </c>
      <c r="X265" s="2">
        <f t="shared" si="13"/>
        <v>10429354.069999998</v>
      </c>
      <c r="Y265" s="18">
        <v>125046.3</v>
      </c>
      <c r="Z265" s="25"/>
      <c r="AA265" s="18">
        <v>1074908.6000000001</v>
      </c>
      <c r="AB265" s="25"/>
      <c r="AC265" s="18">
        <v>592402.69999999995</v>
      </c>
      <c r="AD265" s="25"/>
      <c r="AE265" s="18"/>
      <c r="AF265" s="25"/>
      <c r="AG265" s="18">
        <v>537720.42000000004</v>
      </c>
      <c r="AH265" s="25">
        <v>164187.15</v>
      </c>
      <c r="AI265" s="18"/>
      <c r="AJ265" s="25"/>
      <c r="AK265" s="18"/>
      <c r="AL265" s="68">
        <f t="shared" si="14"/>
        <v>2494265.17</v>
      </c>
      <c r="AM265" s="33">
        <v>83</v>
      </c>
      <c r="AN265" s="34">
        <v>3440</v>
      </c>
      <c r="AO265" s="16">
        <v>-80918.210000000006</v>
      </c>
      <c r="AP265" s="25"/>
      <c r="AQ265" s="16">
        <v>-1936.95</v>
      </c>
      <c r="AR265" s="64">
        <v>1.5</v>
      </c>
      <c r="AS265" s="35"/>
      <c r="AT265" s="35"/>
      <c r="AU265" s="40"/>
      <c r="AV265" s="40"/>
      <c r="AW265" s="41"/>
      <c r="AX265" s="23"/>
      <c r="AZ265" s="40"/>
      <c r="BA265" s="40"/>
      <c r="BB265" s="41"/>
      <c r="BC265" s="42"/>
      <c r="BD265" s="42"/>
      <c r="BE265" s="42"/>
      <c r="BF265" s="42"/>
      <c r="BG265" s="42"/>
      <c r="BI265" s="38"/>
      <c r="BJ265" s="39"/>
      <c r="BK265" s="38"/>
      <c r="BL265" s="38"/>
      <c r="BM265" s="38"/>
    </row>
    <row r="266" spans="1:65" x14ac:dyDescent="0.25">
      <c r="A266" s="13">
        <v>5842</v>
      </c>
      <c r="B266" s="14" t="s">
        <v>21</v>
      </c>
      <c r="C266" s="16">
        <v>801370.73</v>
      </c>
      <c r="D266" s="15">
        <v>196603.92</v>
      </c>
      <c r="E266" s="16">
        <v>0</v>
      </c>
      <c r="F266" s="15">
        <v>0</v>
      </c>
      <c r="G266" s="16">
        <v>28024.6</v>
      </c>
      <c r="H266" s="15">
        <v>118.7</v>
      </c>
      <c r="I266" s="16">
        <v>46608.4</v>
      </c>
      <c r="J266" s="15">
        <v>21745.66</v>
      </c>
      <c r="K266" s="17">
        <v>388</v>
      </c>
      <c r="L266" s="16">
        <v>131901.45000000001</v>
      </c>
      <c r="M266" s="3">
        <f t="shared" si="12"/>
        <v>1226761.4599999997</v>
      </c>
      <c r="N266" s="15">
        <v>0</v>
      </c>
      <c r="O266" s="16">
        <v>62403.8</v>
      </c>
      <c r="P266" s="15">
        <v>13857.95</v>
      </c>
      <c r="Q266" s="16">
        <v>0</v>
      </c>
      <c r="R266" s="15">
        <v>9081.15</v>
      </c>
      <c r="S266" s="16">
        <v>187.5</v>
      </c>
      <c r="T266" s="15">
        <v>0</v>
      </c>
      <c r="U266" s="16">
        <v>3200</v>
      </c>
      <c r="V266" s="15">
        <v>0</v>
      </c>
      <c r="W266" s="16">
        <v>0</v>
      </c>
      <c r="X266" s="2">
        <f t="shared" si="13"/>
        <v>1315491.8599999996</v>
      </c>
      <c r="Y266" s="18"/>
      <c r="Z266" s="25"/>
      <c r="AA266" s="18">
        <v>62175.9</v>
      </c>
      <c r="AB266" s="25"/>
      <c r="AC266" s="18">
        <v>39456.35</v>
      </c>
      <c r="AD266" s="25"/>
      <c r="AE266" s="18"/>
      <c r="AF266" s="25"/>
      <c r="AG266" s="18"/>
      <c r="AH266" s="25"/>
      <c r="AI266" s="18"/>
      <c r="AJ266" s="25"/>
      <c r="AK266" s="18"/>
      <c r="AL266" s="68">
        <f t="shared" si="14"/>
        <v>101632.25</v>
      </c>
      <c r="AM266" s="33">
        <v>81</v>
      </c>
      <c r="AN266" s="34">
        <v>552</v>
      </c>
      <c r="AO266" s="16">
        <v>-2372.77</v>
      </c>
      <c r="AP266" s="25"/>
      <c r="AQ266" s="16">
        <v>-1260.1300000000001</v>
      </c>
      <c r="AR266" s="64">
        <v>1.5</v>
      </c>
      <c r="AS266" s="35"/>
      <c r="AT266" s="35"/>
      <c r="AU266" s="40"/>
      <c r="AV266" s="40"/>
      <c r="AW266" s="41"/>
      <c r="AX266" s="23"/>
      <c r="AZ266" s="40"/>
      <c r="BA266" s="40"/>
      <c r="BB266" s="41"/>
      <c r="BC266" s="42"/>
      <c r="BD266" s="42"/>
      <c r="BE266" s="42"/>
      <c r="BF266" s="42"/>
      <c r="BG266" s="42"/>
      <c r="BI266" s="38"/>
      <c r="BJ266" s="39"/>
      <c r="BK266" s="38"/>
      <c r="BL266" s="38"/>
      <c r="BM266" s="38"/>
    </row>
    <row r="267" spans="1:65" x14ac:dyDescent="0.25">
      <c r="A267" s="13">
        <v>5843</v>
      </c>
      <c r="B267" s="14" t="s">
        <v>22</v>
      </c>
      <c r="C267" s="16">
        <v>2211239.73</v>
      </c>
      <c r="D267" s="15">
        <v>1377307.39</v>
      </c>
      <c r="E267" s="16">
        <v>0</v>
      </c>
      <c r="F267" s="15">
        <v>0</v>
      </c>
      <c r="G267" s="16">
        <v>191334.55</v>
      </c>
      <c r="H267" s="15">
        <v>12290.95</v>
      </c>
      <c r="I267" s="16">
        <v>1005316.27</v>
      </c>
      <c r="J267" s="15">
        <v>116324.24</v>
      </c>
      <c r="K267" s="17">
        <v>16160</v>
      </c>
      <c r="L267" s="16">
        <v>964288</v>
      </c>
      <c r="M267" s="3">
        <f t="shared" si="12"/>
        <v>5894261.1300000008</v>
      </c>
      <c r="N267" s="15">
        <v>0</v>
      </c>
      <c r="O267" s="16">
        <v>341644.7</v>
      </c>
      <c r="P267" s="15">
        <v>788324.1</v>
      </c>
      <c r="Q267" s="16">
        <v>2253</v>
      </c>
      <c r="R267" s="15">
        <v>413170.3</v>
      </c>
      <c r="S267" s="16">
        <v>1907.5</v>
      </c>
      <c r="T267" s="15">
        <v>0</v>
      </c>
      <c r="U267" s="16">
        <v>4740</v>
      </c>
      <c r="V267" s="15">
        <v>0</v>
      </c>
      <c r="W267" s="16">
        <v>0</v>
      </c>
      <c r="X267" s="2">
        <f t="shared" si="13"/>
        <v>7446300.7300000004</v>
      </c>
      <c r="Y267" s="18"/>
      <c r="Z267" s="25"/>
      <c r="AA267" s="18"/>
      <c r="AB267" s="25"/>
      <c r="AC267" s="18"/>
      <c r="AD267" s="25"/>
      <c r="AE267" s="18"/>
      <c r="AF267" s="25"/>
      <c r="AG267" s="18"/>
      <c r="AH267" s="25"/>
      <c r="AI267" s="18"/>
      <c r="AJ267" s="25"/>
      <c r="AK267" s="18"/>
      <c r="AL267" s="68">
        <f t="shared" si="14"/>
        <v>0</v>
      </c>
      <c r="AM267" s="33">
        <v>69</v>
      </c>
      <c r="AN267" s="34">
        <v>882</v>
      </c>
      <c r="AO267" s="16">
        <v>-19794.79</v>
      </c>
      <c r="AP267" s="25"/>
      <c r="AQ267" s="16">
        <v>-2893.87</v>
      </c>
      <c r="AR267" s="64">
        <v>1.5</v>
      </c>
      <c r="AS267" s="35"/>
      <c r="AT267" s="35"/>
      <c r="AU267" s="40"/>
      <c r="AV267" s="40"/>
      <c r="AW267" s="41"/>
      <c r="AX267" s="23"/>
      <c r="AZ267" s="40"/>
      <c r="BA267" s="40"/>
      <c r="BB267" s="41"/>
      <c r="BC267" s="42"/>
      <c r="BD267" s="42"/>
      <c r="BE267" s="42"/>
      <c r="BF267" s="42"/>
      <c r="BG267" s="42"/>
      <c r="BI267" s="38"/>
      <c r="BJ267" s="39"/>
      <c r="BK267" s="38"/>
      <c r="BL267" s="38"/>
      <c r="BM267" s="38"/>
    </row>
    <row r="268" spans="1:65" x14ac:dyDescent="0.25">
      <c r="A268" s="13">
        <v>5851</v>
      </c>
      <c r="B268" s="14" t="s">
        <v>23</v>
      </c>
      <c r="C268" s="16">
        <v>758825.81</v>
      </c>
      <c r="D268" s="15">
        <v>148583.6</v>
      </c>
      <c r="E268" s="16">
        <v>0</v>
      </c>
      <c r="F268" s="15">
        <v>0</v>
      </c>
      <c r="G268" s="16">
        <v>292266.59999999998</v>
      </c>
      <c r="H268" s="15">
        <v>858.25</v>
      </c>
      <c r="I268" s="16">
        <v>72900.95</v>
      </c>
      <c r="J268" s="15">
        <v>19949.439999999999</v>
      </c>
      <c r="K268" s="17">
        <v>29089.5</v>
      </c>
      <c r="L268" s="16">
        <v>198134.95</v>
      </c>
      <c r="M268" s="3">
        <f t="shared" si="12"/>
        <v>1520609.0999999999</v>
      </c>
      <c r="N268" s="15">
        <v>39239.050000000003</v>
      </c>
      <c r="O268" s="16">
        <v>680186.3</v>
      </c>
      <c r="P268" s="15">
        <v>15481.95</v>
      </c>
      <c r="Q268" s="16">
        <v>346.38</v>
      </c>
      <c r="R268" s="15">
        <v>35312.9</v>
      </c>
      <c r="S268" s="16">
        <v>412.5</v>
      </c>
      <c r="T268" s="15">
        <v>0</v>
      </c>
      <c r="U268" s="16">
        <v>2100</v>
      </c>
      <c r="V268" s="15">
        <v>250</v>
      </c>
      <c r="W268" s="16">
        <v>0</v>
      </c>
      <c r="X268" s="2">
        <f t="shared" si="13"/>
        <v>2293938.1800000002</v>
      </c>
      <c r="Y268" s="18">
        <v>46786.48</v>
      </c>
      <c r="Z268" s="25"/>
      <c r="AA268" s="18">
        <v>178304.01</v>
      </c>
      <c r="AB268" s="25"/>
      <c r="AC268" s="18">
        <v>37077.15</v>
      </c>
      <c r="AD268" s="25"/>
      <c r="AE268" s="18"/>
      <c r="AF268" s="25"/>
      <c r="AG268" s="18"/>
      <c r="AH268" s="25">
        <v>55461.5</v>
      </c>
      <c r="AI268" s="18"/>
      <c r="AJ268" s="25"/>
      <c r="AK268" s="18"/>
      <c r="AL268" s="68">
        <f t="shared" si="14"/>
        <v>317629.14</v>
      </c>
      <c r="AM268" s="33">
        <v>61</v>
      </c>
      <c r="AN268" s="34">
        <v>401</v>
      </c>
      <c r="AO268" s="16">
        <v>-15706.19</v>
      </c>
      <c r="AP268" s="25"/>
      <c r="AQ268" s="16">
        <v>-312.94</v>
      </c>
      <c r="AR268" s="64">
        <v>1</v>
      </c>
      <c r="AS268" s="35"/>
      <c r="AT268" s="35"/>
      <c r="AU268" s="40"/>
      <c r="AV268" s="40"/>
      <c r="AW268" s="41"/>
      <c r="AX268" s="23"/>
      <c r="AZ268" s="40"/>
      <c r="BA268" s="40"/>
      <c r="BB268" s="41"/>
      <c r="BC268" s="42"/>
      <c r="BD268" s="42"/>
      <c r="BE268" s="42"/>
      <c r="BF268" s="42"/>
      <c r="BG268" s="42"/>
      <c r="BI268" s="38"/>
      <c r="BJ268" s="39"/>
      <c r="BK268" s="38"/>
      <c r="BL268" s="38"/>
      <c r="BM268" s="38"/>
    </row>
    <row r="269" spans="1:65" x14ac:dyDescent="0.25">
      <c r="A269" s="13">
        <v>5852</v>
      </c>
      <c r="B269" s="14" t="s">
        <v>24</v>
      </c>
      <c r="C269" s="16">
        <v>1095092.26</v>
      </c>
      <c r="D269" s="15">
        <v>152809.68</v>
      </c>
      <c r="E269" s="16">
        <v>0</v>
      </c>
      <c r="F269" s="15">
        <v>0</v>
      </c>
      <c r="G269" s="16">
        <v>21530.5</v>
      </c>
      <c r="H269" s="15">
        <v>3472.2</v>
      </c>
      <c r="I269" s="16">
        <v>356928.25</v>
      </c>
      <c r="J269" s="15">
        <v>62389.54</v>
      </c>
      <c r="K269" s="17">
        <v>6646.5</v>
      </c>
      <c r="L269" s="16">
        <v>166875.1</v>
      </c>
      <c r="M269" s="3">
        <f t="shared" si="12"/>
        <v>1865744.03</v>
      </c>
      <c r="N269" s="15">
        <v>5664.7</v>
      </c>
      <c r="O269" s="16">
        <v>96846.3</v>
      </c>
      <c r="P269" s="15">
        <v>12265</v>
      </c>
      <c r="Q269" s="16">
        <v>16298.48</v>
      </c>
      <c r="R269" s="15" t="s">
        <v>512</v>
      </c>
      <c r="S269" s="16">
        <v>0</v>
      </c>
      <c r="T269" s="15">
        <v>0</v>
      </c>
      <c r="U269" s="16">
        <v>3060</v>
      </c>
      <c r="V269" s="15">
        <v>0</v>
      </c>
      <c r="W269" s="16">
        <v>0</v>
      </c>
      <c r="X269" s="2">
        <f t="shared" si="13"/>
        <v>1999878.51</v>
      </c>
      <c r="Y269" s="18">
        <v>2450</v>
      </c>
      <c r="Z269" s="25"/>
      <c r="AA269" s="18">
        <v>38421</v>
      </c>
      <c r="AB269" s="25"/>
      <c r="AC269" s="18">
        <v>16425</v>
      </c>
      <c r="AD269" s="25"/>
      <c r="AE269" s="18"/>
      <c r="AF269" s="25"/>
      <c r="AG269" s="18">
        <v>10596.1</v>
      </c>
      <c r="AH269" s="25"/>
      <c r="AI269" s="18"/>
      <c r="AJ269" s="25"/>
      <c r="AK269" s="18"/>
      <c r="AL269" s="68">
        <f t="shared" si="14"/>
        <v>67892.100000000006</v>
      </c>
      <c r="AM269" s="33">
        <v>61.5</v>
      </c>
      <c r="AN269" s="34">
        <v>471</v>
      </c>
      <c r="AO269" s="16">
        <v>-42073.8</v>
      </c>
      <c r="AP269" s="25"/>
      <c r="AQ269" s="16">
        <v>-204.03</v>
      </c>
      <c r="AR269" s="64">
        <v>1</v>
      </c>
      <c r="AS269" s="35"/>
      <c r="AT269" s="35"/>
      <c r="AU269" s="40"/>
      <c r="AV269" s="40"/>
      <c r="AW269" s="41"/>
      <c r="AX269" s="23"/>
      <c r="AZ269" s="40"/>
      <c r="BA269" s="40"/>
      <c r="BB269" s="41"/>
      <c r="BC269" s="42"/>
      <c r="BD269" s="42"/>
      <c r="BE269" s="42"/>
      <c r="BF269" s="42"/>
      <c r="BG269" s="42"/>
      <c r="BI269" s="38"/>
      <c r="BJ269" s="39"/>
      <c r="BK269" s="38"/>
      <c r="BL269" s="38"/>
      <c r="BM269" s="38"/>
    </row>
    <row r="270" spans="1:65" x14ac:dyDescent="0.25">
      <c r="A270" s="13">
        <v>5853</v>
      </c>
      <c r="B270" s="14" t="s">
        <v>25</v>
      </c>
      <c r="C270" s="16">
        <v>1760561.93</v>
      </c>
      <c r="D270" s="15">
        <v>276272.46000000002</v>
      </c>
      <c r="E270" s="16">
        <v>0</v>
      </c>
      <c r="F270" s="15">
        <v>0</v>
      </c>
      <c r="G270" s="16">
        <v>55093.65</v>
      </c>
      <c r="H270" s="15">
        <v>10152.75</v>
      </c>
      <c r="I270" s="16">
        <v>193640.6</v>
      </c>
      <c r="J270" s="15">
        <v>58178.95</v>
      </c>
      <c r="K270" s="17">
        <v>11693</v>
      </c>
      <c r="L270" s="16">
        <v>180904.6</v>
      </c>
      <c r="M270" s="3">
        <f t="shared" si="12"/>
        <v>2546497.9400000004</v>
      </c>
      <c r="N270" s="15">
        <v>43123.35</v>
      </c>
      <c r="O270" s="16">
        <v>13050.4</v>
      </c>
      <c r="P270" s="15">
        <v>36700.85</v>
      </c>
      <c r="Q270" s="16">
        <v>4462.6400000000003</v>
      </c>
      <c r="R270" s="15">
        <v>169023.85</v>
      </c>
      <c r="S270" s="16">
        <v>100</v>
      </c>
      <c r="T270" s="15">
        <v>0</v>
      </c>
      <c r="U270" s="16">
        <v>3800</v>
      </c>
      <c r="V270" s="15">
        <v>0</v>
      </c>
      <c r="W270" s="16">
        <v>0</v>
      </c>
      <c r="X270" s="2">
        <f t="shared" si="13"/>
        <v>2816759.0300000007</v>
      </c>
      <c r="Y270" s="18">
        <v>3694.3</v>
      </c>
      <c r="Z270" s="25"/>
      <c r="AA270" s="18">
        <v>135017.79999999999</v>
      </c>
      <c r="AB270" s="25"/>
      <c r="AC270" s="18">
        <v>39492.400000000001</v>
      </c>
      <c r="AD270" s="25">
        <v>2790.95</v>
      </c>
      <c r="AE270" s="18"/>
      <c r="AF270" s="25"/>
      <c r="AG270" s="18"/>
      <c r="AH270" s="25"/>
      <c r="AI270" s="18"/>
      <c r="AJ270" s="25"/>
      <c r="AK270" s="18"/>
      <c r="AL270" s="68">
        <f t="shared" si="14"/>
        <v>180995.44999999998</v>
      </c>
      <c r="AM270" s="33">
        <v>71</v>
      </c>
      <c r="AN270" s="34">
        <v>764</v>
      </c>
      <c r="AO270" s="16">
        <v>-16590</v>
      </c>
      <c r="AP270" s="25"/>
      <c r="AQ270" s="16">
        <v>-1781</v>
      </c>
      <c r="AR270" s="64">
        <v>1</v>
      </c>
      <c r="AS270" s="35"/>
      <c r="AT270" s="35"/>
      <c r="AU270" s="40"/>
      <c r="AV270" s="40"/>
      <c r="AW270" s="41"/>
      <c r="AX270" s="23"/>
      <c r="AZ270" s="40"/>
      <c r="BA270" s="40"/>
      <c r="BB270" s="41"/>
      <c r="BC270" s="42"/>
      <c r="BD270" s="42"/>
      <c r="BE270" s="42"/>
      <c r="BF270" s="42"/>
      <c r="BG270" s="42"/>
      <c r="BI270" s="38"/>
      <c r="BJ270" s="39"/>
      <c r="BK270" s="38"/>
      <c r="BL270" s="38"/>
      <c r="BM270" s="38"/>
    </row>
    <row r="271" spans="1:65" x14ac:dyDescent="0.25">
      <c r="A271" s="13">
        <v>5854</v>
      </c>
      <c r="B271" s="14" t="s">
        <v>26</v>
      </c>
      <c r="C271" s="16">
        <v>632682.53</v>
      </c>
      <c r="D271" s="15">
        <v>87413.16</v>
      </c>
      <c r="E271" s="16">
        <v>0</v>
      </c>
      <c r="F271" s="15">
        <v>0</v>
      </c>
      <c r="G271" s="16">
        <v>43003.3</v>
      </c>
      <c r="H271" s="15">
        <v>301</v>
      </c>
      <c r="I271" s="16">
        <v>0</v>
      </c>
      <c r="J271" s="15">
        <v>14924.44</v>
      </c>
      <c r="K271" s="17">
        <v>1165.5</v>
      </c>
      <c r="L271" s="16">
        <v>89499.95</v>
      </c>
      <c r="M271" s="3">
        <f t="shared" si="12"/>
        <v>868989.88</v>
      </c>
      <c r="N271" s="15">
        <v>22875.65</v>
      </c>
      <c r="O271" s="16">
        <v>8731.2999999999993</v>
      </c>
      <c r="P271" s="15">
        <v>3850</v>
      </c>
      <c r="Q271" s="16">
        <v>165.84</v>
      </c>
      <c r="R271" s="15">
        <v>15262.5</v>
      </c>
      <c r="S271" s="16">
        <v>0</v>
      </c>
      <c r="T271" s="15">
        <v>0</v>
      </c>
      <c r="U271" s="16">
        <v>1525</v>
      </c>
      <c r="V271" s="15">
        <v>0</v>
      </c>
      <c r="W271" s="16">
        <v>0</v>
      </c>
      <c r="X271" s="2">
        <f t="shared" si="13"/>
        <v>921400.17</v>
      </c>
      <c r="Y271" s="18">
        <v>3877</v>
      </c>
      <c r="Z271" s="25"/>
      <c r="AA271" s="18">
        <v>26680</v>
      </c>
      <c r="AB271" s="25"/>
      <c r="AC271" s="18">
        <v>28920</v>
      </c>
      <c r="AD271" s="25">
        <v>2513</v>
      </c>
      <c r="AE271" s="18"/>
      <c r="AF271" s="25"/>
      <c r="AG271" s="18">
        <v>2273.3000000000002</v>
      </c>
      <c r="AH271" s="25">
        <v>5100</v>
      </c>
      <c r="AI271" s="18"/>
      <c r="AJ271" s="25"/>
      <c r="AK271" s="18"/>
      <c r="AL271" s="68">
        <f t="shared" si="14"/>
        <v>69363.3</v>
      </c>
      <c r="AM271" s="33">
        <v>76</v>
      </c>
      <c r="AN271" s="34">
        <v>371</v>
      </c>
      <c r="AO271" s="16">
        <v>-8830.56</v>
      </c>
      <c r="AP271" s="25"/>
      <c r="AQ271" s="16">
        <v>-3.33</v>
      </c>
      <c r="AR271" s="64">
        <v>1.5</v>
      </c>
      <c r="AS271" s="35"/>
      <c r="AT271" s="35"/>
      <c r="AU271" s="40"/>
      <c r="AV271" s="40"/>
      <c r="AW271" s="41"/>
      <c r="AX271" s="23"/>
      <c r="AZ271" s="40"/>
      <c r="BA271" s="40"/>
      <c r="BB271" s="41"/>
      <c r="BC271" s="42"/>
      <c r="BD271" s="42"/>
      <c r="BE271" s="42"/>
      <c r="BF271" s="42"/>
      <c r="BG271" s="42"/>
      <c r="BI271" s="38"/>
      <c r="BJ271" s="39"/>
      <c r="BK271" s="38"/>
      <c r="BL271" s="38"/>
      <c r="BM271" s="38"/>
    </row>
    <row r="272" spans="1:65" x14ac:dyDescent="0.25">
      <c r="A272" s="13">
        <v>5855</v>
      </c>
      <c r="B272" s="14" t="s">
        <v>27</v>
      </c>
      <c r="C272" s="16">
        <v>2260703.98</v>
      </c>
      <c r="D272" s="15">
        <v>675067.42</v>
      </c>
      <c r="E272" s="16">
        <v>0</v>
      </c>
      <c r="F272" s="15">
        <v>0</v>
      </c>
      <c r="G272" s="16">
        <v>-14018.3</v>
      </c>
      <c r="H272" s="15">
        <v>16751.05</v>
      </c>
      <c r="I272" s="16">
        <v>637067.66</v>
      </c>
      <c r="J272" s="15">
        <v>76202.69</v>
      </c>
      <c r="K272" s="17">
        <v>6585.5</v>
      </c>
      <c r="L272" s="16">
        <v>146500.70000000001</v>
      </c>
      <c r="M272" s="3">
        <f t="shared" si="12"/>
        <v>3804860.7</v>
      </c>
      <c r="N272" s="15">
        <v>5255.75</v>
      </c>
      <c r="O272" s="16">
        <v>594</v>
      </c>
      <c r="P272" s="15">
        <v>158070</v>
      </c>
      <c r="Q272" s="16">
        <v>0</v>
      </c>
      <c r="R272" s="15">
        <v>465216.5</v>
      </c>
      <c r="S272" s="16">
        <v>93.75</v>
      </c>
      <c r="T272" s="15">
        <v>0</v>
      </c>
      <c r="U272" s="16">
        <v>2180</v>
      </c>
      <c r="V272" s="15">
        <v>0</v>
      </c>
      <c r="W272" s="16">
        <v>0</v>
      </c>
      <c r="X272" s="2">
        <f t="shared" si="13"/>
        <v>4436270.7</v>
      </c>
      <c r="Y272" s="18">
        <v>28475.8</v>
      </c>
      <c r="Z272" s="25"/>
      <c r="AA272" s="18">
        <v>119743.2</v>
      </c>
      <c r="AB272" s="25"/>
      <c r="AC272" s="18">
        <v>19718.5</v>
      </c>
      <c r="AD272" s="25"/>
      <c r="AE272" s="18"/>
      <c r="AF272" s="25"/>
      <c r="AG272" s="18">
        <v>9105.1</v>
      </c>
      <c r="AH272" s="25"/>
      <c r="AI272" s="18"/>
      <c r="AJ272" s="25"/>
      <c r="AK272" s="18"/>
      <c r="AL272" s="68">
        <f t="shared" si="14"/>
        <v>177042.6</v>
      </c>
      <c r="AM272" s="33">
        <v>49</v>
      </c>
      <c r="AN272" s="34">
        <v>612</v>
      </c>
      <c r="AO272" s="16">
        <v>-15686.05</v>
      </c>
      <c r="AP272" s="25"/>
      <c r="AQ272" s="16">
        <v>-1634.28</v>
      </c>
      <c r="AR272" s="64">
        <v>0.5</v>
      </c>
      <c r="AS272" s="35"/>
      <c r="AT272" s="35"/>
      <c r="AU272" s="40"/>
      <c r="AV272" s="40"/>
      <c r="AW272" s="41"/>
      <c r="AX272" s="23"/>
      <c r="AZ272" s="40"/>
      <c r="BA272" s="40"/>
      <c r="BB272" s="41"/>
      <c r="BC272" s="42"/>
      <c r="BD272" s="42"/>
      <c r="BE272" s="42"/>
      <c r="BF272" s="42"/>
      <c r="BG272" s="42"/>
      <c r="BI272" s="38"/>
      <c r="BJ272" s="39"/>
      <c r="BK272" s="38"/>
      <c r="BL272" s="38"/>
      <c r="BM272" s="38"/>
    </row>
    <row r="273" spans="1:65" x14ac:dyDescent="0.25">
      <c r="A273" s="13">
        <v>5856</v>
      </c>
      <c r="B273" s="14" t="s">
        <v>28</v>
      </c>
      <c r="C273" s="16">
        <v>1734784.49</v>
      </c>
      <c r="D273" s="15">
        <v>218333.49</v>
      </c>
      <c r="E273" s="16">
        <v>0</v>
      </c>
      <c r="F273" s="15">
        <v>0</v>
      </c>
      <c r="G273" s="16">
        <v>15178.6</v>
      </c>
      <c r="H273" s="15">
        <v>115.8</v>
      </c>
      <c r="I273" s="16">
        <v>198122.25</v>
      </c>
      <c r="J273" s="15">
        <v>211610.03</v>
      </c>
      <c r="K273" s="17">
        <v>1507.5</v>
      </c>
      <c r="L273" s="16">
        <v>210338.95</v>
      </c>
      <c r="M273" s="3">
        <f t="shared" si="12"/>
        <v>2589991.11</v>
      </c>
      <c r="N273" s="15">
        <v>0</v>
      </c>
      <c r="O273" s="16" t="s">
        <v>512</v>
      </c>
      <c r="P273" s="15">
        <v>63159.6</v>
      </c>
      <c r="Q273" s="16">
        <v>0</v>
      </c>
      <c r="R273" s="15">
        <v>36809.449999999997</v>
      </c>
      <c r="S273" s="16">
        <v>0</v>
      </c>
      <c r="T273" s="15">
        <v>0</v>
      </c>
      <c r="U273" s="16">
        <v>2800</v>
      </c>
      <c r="V273" s="15">
        <v>0</v>
      </c>
      <c r="W273" s="16">
        <v>0</v>
      </c>
      <c r="X273" s="2">
        <f t="shared" si="13"/>
        <v>2692760.16</v>
      </c>
      <c r="Y273" s="18"/>
      <c r="Z273" s="25"/>
      <c r="AA273" s="18">
        <v>132412.95000000001</v>
      </c>
      <c r="AB273" s="25"/>
      <c r="AC273" s="18">
        <v>77552.5</v>
      </c>
      <c r="AD273" s="25"/>
      <c r="AE273" s="18"/>
      <c r="AF273" s="25"/>
      <c r="AG273" s="18"/>
      <c r="AH273" s="25"/>
      <c r="AI273" s="18"/>
      <c r="AJ273" s="25"/>
      <c r="AK273" s="18"/>
      <c r="AL273" s="68">
        <f t="shared" si="14"/>
        <v>209965.45</v>
      </c>
      <c r="AM273" s="33">
        <v>68</v>
      </c>
      <c r="AN273" s="34">
        <v>698</v>
      </c>
      <c r="AO273" s="16">
        <v>-148.04</v>
      </c>
      <c r="AP273" s="25"/>
      <c r="AQ273" s="16">
        <v>-1.67</v>
      </c>
      <c r="AR273" s="64">
        <v>1.3</v>
      </c>
      <c r="AS273" s="35"/>
      <c r="AT273" s="35"/>
      <c r="AU273" s="40"/>
      <c r="AV273" s="40"/>
      <c r="AW273" s="41"/>
      <c r="AX273" s="23"/>
      <c r="AZ273" s="40"/>
      <c r="BA273" s="40"/>
      <c r="BB273" s="41"/>
      <c r="BC273" s="42"/>
      <c r="BD273" s="42"/>
      <c r="BE273" s="42"/>
      <c r="BF273" s="42"/>
      <c r="BG273" s="42"/>
      <c r="BI273" s="38"/>
      <c r="BJ273" s="39"/>
      <c r="BK273" s="38"/>
      <c r="BL273" s="38"/>
      <c r="BM273" s="38"/>
    </row>
    <row r="274" spans="1:65" x14ac:dyDescent="0.25">
      <c r="A274" s="13">
        <v>5857</v>
      </c>
      <c r="B274" s="14" t="s">
        <v>29</v>
      </c>
      <c r="C274" s="16">
        <v>3324700.26</v>
      </c>
      <c r="D274" s="15">
        <v>575184.11</v>
      </c>
      <c r="E274" s="16">
        <v>0</v>
      </c>
      <c r="F274" s="15">
        <v>0</v>
      </c>
      <c r="G274" s="16">
        <v>13261.85</v>
      </c>
      <c r="H274" s="15">
        <v>979.85</v>
      </c>
      <c r="I274" s="16">
        <v>61223.6</v>
      </c>
      <c r="J274" s="15">
        <v>31841.01</v>
      </c>
      <c r="K274" s="17">
        <v>6885</v>
      </c>
      <c r="L274" s="16">
        <v>295472.75</v>
      </c>
      <c r="M274" s="3">
        <f t="shared" si="12"/>
        <v>4309548.43</v>
      </c>
      <c r="N274" s="15">
        <v>53061.45</v>
      </c>
      <c r="O274" s="16">
        <v>8925.2000000000007</v>
      </c>
      <c r="P274" s="15">
        <v>270862.05</v>
      </c>
      <c r="Q274" s="16">
        <v>0</v>
      </c>
      <c r="R274" s="15">
        <v>439630.85</v>
      </c>
      <c r="S274" s="16">
        <v>31.25</v>
      </c>
      <c r="T274" s="15">
        <v>0</v>
      </c>
      <c r="U274" s="16">
        <v>1515</v>
      </c>
      <c r="V274" s="15">
        <v>0</v>
      </c>
      <c r="W274" s="16">
        <v>0</v>
      </c>
      <c r="X274" s="2">
        <f t="shared" si="13"/>
        <v>5083574.2299999995</v>
      </c>
      <c r="Y274" s="18">
        <v>399243</v>
      </c>
      <c r="Z274" s="25"/>
      <c r="AA274" s="18">
        <v>73978</v>
      </c>
      <c r="AB274" s="25"/>
      <c r="AC274" s="18">
        <v>61942.75</v>
      </c>
      <c r="AD274" s="25">
        <v>-1438.6</v>
      </c>
      <c r="AE274" s="18"/>
      <c r="AF274" s="25"/>
      <c r="AG274" s="18">
        <v>1551.75</v>
      </c>
      <c r="AH274" s="25">
        <v>28377.05</v>
      </c>
      <c r="AI274" s="18"/>
      <c r="AJ274" s="25"/>
      <c r="AK274" s="18"/>
      <c r="AL274" s="68">
        <f t="shared" si="14"/>
        <v>563653.95000000007</v>
      </c>
      <c r="AM274" s="33">
        <v>66</v>
      </c>
      <c r="AN274" s="34">
        <v>1074</v>
      </c>
      <c r="AO274" s="16">
        <v>-68212.58</v>
      </c>
      <c r="AP274" s="25"/>
      <c r="AQ274" s="16">
        <v>-434.12</v>
      </c>
      <c r="AR274" s="64">
        <v>1</v>
      </c>
      <c r="AS274" s="35"/>
      <c r="AT274" s="35"/>
      <c r="AU274" s="40"/>
      <c r="AV274" s="40"/>
      <c r="AW274" s="41"/>
      <c r="AX274" s="23"/>
      <c r="AZ274" s="40"/>
      <c r="BA274" s="40"/>
      <c r="BB274" s="41"/>
      <c r="BC274" s="42"/>
      <c r="BD274" s="42"/>
      <c r="BE274" s="42"/>
      <c r="BF274" s="42"/>
      <c r="BG274" s="42"/>
      <c r="BI274" s="38"/>
      <c r="BJ274" s="39"/>
      <c r="BK274" s="38"/>
      <c r="BL274" s="38"/>
      <c r="BM274" s="38"/>
    </row>
    <row r="275" spans="1:65" x14ac:dyDescent="0.25">
      <c r="A275" s="13">
        <v>5858</v>
      </c>
      <c r="B275" s="14" t="s">
        <v>30</v>
      </c>
      <c r="C275" s="16">
        <v>1573518.31</v>
      </c>
      <c r="D275" s="15">
        <v>236192.55</v>
      </c>
      <c r="E275" s="16">
        <v>0</v>
      </c>
      <c r="F275" s="15">
        <v>0</v>
      </c>
      <c r="G275" s="16">
        <v>20207.900000000001</v>
      </c>
      <c r="H275" s="15">
        <v>1424.6</v>
      </c>
      <c r="I275" s="16">
        <v>160530.6</v>
      </c>
      <c r="J275" s="15">
        <v>27980.59</v>
      </c>
      <c r="K275" s="17">
        <v>899.1</v>
      </c>
      <c r="L275" s="16">
        <v>189351.1</v>
      </c>
      <c r="M275" s="3">
        <f t="shared" si="12"/>
        <v>2210104.7500000005</v>
      </c>
      <c r="N275" s="15">
        <v>21719.200000000001</v>
      </c>
      <c r="O275" s="16">
        <v>6876</v>
      </c>
      <c r="P275" s="15">
        <v>39380</v>
      </c>
      <c r="Q275" s="16">
        <v>608.4</v>
      </c>
      <c r="R275" s="15">
        <v>63191.75</v>
      </c>
      <c r="S275" s="16">
        <v>0</v>
      </c>
      <c r="T275" s="15">
        <v>650</v>
      </c>
      <c r="U275" s="16">
        <v>1950</v>
      </c>
      <c r="V275" s="15">
        <v>0</v>
      </c>
      <c r="W275" s="16">
        <v>0</v>
      </c>
      <c r="X275" s="2">
        <f t="shared" si="13"/>
        <v>2344480.1000000006</v>
      </c>
      <c r="Y275" s="18">
        <v>100128</v>
      </c>
      <c r="Z275" s="25"/>
      <c r="AA275" s="18">
        <v>26019</v>
      </c>
      <c r="AB275" s="25"/>
      <c r="AC275" s="18">
        <v>31772</v>
      </c>
      <c r="AD275" s="25">
        <v>92310</v>
      </c>
      <c r="AE275" s="18"/>
      <c r="AF275" s="25"/>
      <c r="AG275" s="18">
        <v>27</v>
      </c>
      <c r="AH275" s="25">
        <v>19234</v>
      </c>
      <c r="AI275" s="18"/>
      <c r="AJ275" s="25"/>
      <c r="AK275" s="18"/>
      <c r="AL275" s="68">
        <f t="shared" si="14"/>
        <v>269490</v>
      </c>
      <c r="AM275" s="33">
        <v>60</v>
      </c>
      <c r="AN275" s="34">
        <v>608</v>
      </c>
      <c r="AO275" s="16">
        <v>-13467.41</v>
      </c>
      <c r="AP275" s="25"/>
      <c r="AQ275" s="16">
        <v>-129.43</v>
      </c>
      <c r="AR275" s="64">
        <v>1.5</v>
      </c>
      <c r="AS275" s="35"/>
      <c r="AT275" s="35"/>
      <c r="AU275" s="40"/>
      <c r="AV275" s="40"/>
      <c r="AW275" s="41"/>
      <c r="AX275" s="23"/>
      <c r="AZ275" s="40"/>
      <c r="BA275" s="40"/>
      <c r="BB275" s="41"/>
      <c r="BC275" s="42"/>
      <c r="BD275" s="42"/>
      <c r="BE275" s="42"/>
      <c r="BF275" s="42"/>
      <c r="BG275" s="42"/>
      <c r="BI275" s="38"/>
      <c r="BJ275" s="39"/>
      <c r="BK275" s="38"/>
      <c r="BL275" s="38"/>
      <c r="BM275" s="38"/>
    </row>
    <row r="276" spans="1:65" x14ac:dyDescent="0.25">
      <c r="A276" s="13">
        <v>5859</v>
      </c>
      <c r="B276" s="14" t="s">
        <v>31</v>
      </c>
      <c r="C276" s="16">
        <v>6029392.0300000003</v>
      </c>
      <c r="D276" s="15">
        <v>1201486.58</v>
      </c>
      <c r="E276" s="16">
        <v>0</v>
      </c>
      <c r="F276" s="15">
        <v>0</v>
      </c>
      <c r="G276" s="16">
        <v>107056.9</v>
      </c>
      <c r="H276" s="15">
        <v>-6693.5</v>
      </c>
      <c r="I276" s="16">
        <v>502630.7</v>
      </c>
      <c r="J276" s="15">
        <v>227848</v>
      </c>
      <c r="K276" s="17">
        <v>15547.8</v>
      </c>
      <c r="L276" s="16">
        <v>562175.1</v>
      </c>
      <c r="M276" s="3">
        <f t="shared" si="12"/>
        <v>8639443.6100000013</v>
      </c>
      <c r="N276" s="15">
        <v>42193.1</v>
      </c>
      <c r="O276" s="16">
        <v>10681.2</v>
      </c>
      <c r="P276" s="15">
        <v>210719.8</v>
      </c>
      <c r="Q276" s="16">
        <v>728.03</v>
      </c>
      <c r="R276" s="15">
        <v>573821.4</v>
      </c>
      <c r="S276" s="16">
        <v>0</v>
      </c>
      <c r="T276" s="15">
        <v>0</v>
      </c>
      <c r="U276" s="16">
        <v>13150</v>
      </c>
      <c r="V276" s="15">
        <v>0</v>
      </c>
      <c r="W276" s="16">
        <v>0</v>
      </c>
      <c r="X276" s="2">
        <f t="shared" si="13"/>
        <v>9490737.1400000006</v>
      </c>
      <c r="Y276" s="18">
        <v>42789.35</v>
      </c>
      <c r="Z276" s="25"/>
      <c r="AA276" s="18">
        <v>322256.15000000002</v>
      </c>
      <c r="AB276" s="25"/>
      <c r="AC276" s="18">
        <v>184913.9</v>
      </c>
      <c r="AD276" s="25"/>
      <c r="AE276" s="18"/>
      <c r="AF276" s="25"/>
      <c r="AG276" s="18"/>
      <c r="AH276" s="25"/>
      <c r="AI276" s="18"/>
      <c r="AJ276" s="25"/>
      <c r="AK276" s="18"/>
      <c r="AL276" s="68">
        <f t="shared" si="14"/>
        <v>549959.4</v>
      </c>
      <c r="AM276" s="33">
        <v>63</v>
      </c>
      <c r="AN276" s="34">
        <v>2602</v>
      </c>
      <c r="AO276" s="16">
        <v>-70070.97</v>
      </c>
      <c r="AP276" s="25"/>
      <c r="AQ276" s="16">
        <v>-5603.58</v>
      </c>
      <c r="AR276" s="64">
        <v>1</v>
      </c>
      <c r="AS276" s="35"/>
      <c r="AT276" s="35"/>
      <c r="AU276" s="40"/>
      <c r="AV276" s="40"/>
      <c r="AW276" s="41"/>
      <c r="AX276" s="23"/>
      <c r="AZ276" s="40"/>
      <c r="BA276" s="40"/>
      <c r="BB276" s="41"/>
      <c r="BC276" s="42"/>
      <c r="BD276" s="42"/>
      <c r="BE276" s="42"/>
      <c r="BF276" s="42"/>
      <c r="BG276" s="42"/>
      <c r="BI276" s="38"/>
      <c r="BJ276" s="39"/>
      <c r="BK276" s="38"/>
      <c r="BL276" s="38"/>
      <c r="BM276" s="38"/>
    </row>
    <row r="277" spans="1:65" x14ac:dyDescent="0.25">
      <c r="A277" s="13">
        <v>5860</v>
      </c>
      <c r="B277" s="14" t="s">
        <v>32</v>
      </c>
      <c r="C277" s="16">
        <v>3086275.06</v>
      </c>
      <c r="D277" s="15">
        <v>647709.75</v>
      </c>
      <c r="E277" s="16">
        <v>0</v>
      </c>
      <c r="F277" s="15">
        <v>0</v>
      </c>
      <c r="G277" s="16">
        <v>44832.55</v>
      </c>
      <c r="H277" s="15">
        <v>2985.6</v>
      </c>
      <c r="I277" s="16">
        <v>360937.35</v>
      </c>
      <c r="J277" s="15">
        <v>57315.35</v>
      </c>
      <c r="K277" s="17">
        <v>22191</v>
      </c>
      <c r="L277" s="16">
        <v>425163.9</v>
      </c>
      <c r="M277" s="3">
        <f t="shared" si="12"/>
        <v>4647410.5600000005</v>
      </c>
      <c r="N277" s="15">
        <v>11862.45</v>
      </c>
      <c r="O277" s="16">
        <v>23611.599999999999</v>
      </c>
      <c r="P277" s="15">
        <v>187737.25</v>
      </c>
      <c r="Q277" s="16">
        <v>21375.29</v>
      </c>
      <c r="R277" s="15">
        <v>161627.85</v>
      </c>
      <c r="S277" s="16">
        <v>0</v>
      </c>
      <c r="T277" s="15">
        <v>0</v>
      </c>
      <c r="U277" s="16">
        <v>6600</v>
      </c>
      <c r="V277" s="15">
        <v>0</v>
      </c>
      <c r="W277" s="16">
        <v>0</v>
      </c>
      <c r="X277" s="2">
        <f t="shared" si="13"/>
        <v>5060225</v>
      </c>
      <c r="Y277" s="18">
        <v>315182.28000000003</v>
      </c>
      <c r="Z277" s="25"/>
      <c r="AA277" s="18">
        <v>226070.48</v>
      </c>
      <c r="AB277" s="25"/>
      <c r="AC277" s="18">
        <v>83664.070000000007</v>
      </c>
      <c r="AD277" s="25"/>
      <c r="AE277" s="18"/>
      <c r="AF277" s="25"/>
      <c r="AG277" s="18"/>
      <c r="AH277" s="25"/>
      <c r="AI277" s="18"/>
      <c r="AJ277" s="25"/>
      <c r="AK277" s="18"/>
      <c r="AL277" s="68">
        <f t="shared" si="14"/>
        <v>624916.83000000007</v>
      </c>
      <c r="AM277" s="33">
        <v>58</v>
      </c>
      <c r="AN277" s="34">
        <v>1395</v>
      </c>
      <c r="AO277" s="16">
        <v>-547054.56000000006</v>
      </c>
      <c r="AP277" s="25"/>
      <c r="AQ277" s="16">
        <v>-4087.41</v>
      </c>
      <c r="AR277" s="64">
        <v>1</v>
      </c>
      <c r="AS277" s="35"/>
      <c r="AT277" s="35"/>
      <c r="AU277" s="40"/>
      <c r="AV277" s="40"/>
      <c r="AW277" s="41"/>
      <c r="AX277" s="23"/>
      <c r="AZ277" s="40"/>
      <c r="BA277" s="40"/>
      <c r="BB277" s="41"/>
      <c r="BC277" s="42"/>
      <c r="BD277" s="42"/>
      <c r="BE277" s="42"/>
      <c r="BF277" s="42"/>
      <c r="BG277" s="42"/>
      <c r="BI277" s="38"/>
      <c r="BJ277" s="39"/>
      <c r="BK277" s="38"/>
      <c r="BL277" s="38"/>
      <c r="BM277" s="38"/>
    </row>
    <row r="278" spans="1:65" x14ac:dyDescent="0.25">
      <c r="A278" s="13">
        <v>5861</v>
      </c>
      <c r="B278" s="14" t="s">
        <v>33</v>
      </c>
      <c r="C278" s="16">
        <v>12004955.449999999</v>
      </c>
      <c r="D278" s="15">
        <v>1957122.07</v>
      </c>
      <c r="E278" s="16">
        <v>0</v>
      </c>
      <c r="F278" s="15">
        <v>0</v>
      </c>
      <c r="G278" s="16">
        <v>3371312.45</v>
      </c>
      <c r="H278" s="15">
        <v>641900.15</v>
      </c>
      <c r="I278" s="16">
        <v>686461.41</v>
      </c>
      <c r="J278" s="15">
        <v>918193.11</v>
      </c>
      <c r="K278" s="17">
        <v>228718.5</v>
      </c>
      <c r="L278" s="16">
        <v>1644980</v>
      </c>
      <c r="M278" s="3">
        <f t="shared" si="12"/>
        <v>21453643.139999997</v>
      </c>
      <c r="N278" s="15">
        <v>782086.7</v>
      </c>
      <c r="O278" s="16">
        <v>955690.6</v>
      </c>
      <c r="P278" s="15">
        <v>653650.69999999995</v>
      </c>
      <c r="Q278" s="16">
        <v>39344.83</v>
      </c>
      <c r="R278" s="15">
        <v>468681.1</v>
      </c>
      <c r="S278" s="16">
        <v>981.25</v>
      </c>
      <c r="T278" s="15">
        <v>0</v>
      </c>
      <c r="U278" s="16">
        <v>20812.5</v>
      </c>
      <c r="V278" s="15">
        <v>0</v>
      </c>
      <c r="W278" s="16">
        <v>0</v>
      </c>
      <c r="X278" s="2">
        <f t="shared" si="13"/>
        <v>24374890.819999997</v>
      </c>
      <c r="Y278" s="18">
        <v>198361</v>
      </c>
      <c r="Z278" s="25">
        <v>401251</v>
      </c>
      <c r="AA278" s="18">
        <v>1044590</v>
      </c>
      <c r="AB278" s="25"/>
      <c r="AC278" s="18">
        <v>334402</v>
      </c>
      <c r="AD278" s="25"/>
      <c r="AE278" s="18"/>
      <c r="AF278" s="25"/>
      <c r="AG278" s="18">
        <v>103083</v>
      </c>
      <c r="AH278" s="25">
        <v>221942</v>
      </c>
      <c r="AI278" s="18"/>
      <c r="AJ278" s="25"/>
      <c r="AK278" s="18"/>
      <c r="AL278" s="68">
        <f t="shared" si="14"/>
        <v>2303629</v>
      </c>
      <c r="AM278" s="33">
        <v>59.5</v>
      </c>
      <c r="AN278" s="34">
        <v>5900</v>
      </c>
      <c r="AO278" s="16">
        <v>-266006.45</v>
      </c>
      <c r="AP278" s="25"/>
      <c r="AQ278" s="16">
        <v>-13436.74</v>
      </c>
      <c r="AR278" s="64">
        <v>1</v>
      </c>
      <c r="AS278" s="35"/>
      <c r="AT278" s="35"/>
      <c r="AU278" s="40"/>
      <c r="AV278" s="40"/>
      <c r="AW278" s="41"/>
      <c r="AX278" s="23"/>
      <c r="AZ278" s="40"/>
      <c r="BA278" s="40"/>
      <c r="BB278" s="41"/>
      <c r="BC278" s="42"/>
      <c r="BD278" s="42"/>
      <c r="BE278" s="42"/>
      <c r="BF278" s="42"/>
      <c r="BG278" s="42"/>
      <c r="BI278" s="38"/>
      <c r="BJ278" s="39"/>
      <c r="BK278" s="38"/>
      <c r="BL278" s="38"/>
      <c r="BM278" s="38"/>
    </row>
    <row r="279" spans="1:65" x14ac:dyDescent="0.25">
      <c r="A279" s="13">
        <v>5862</v>
      </c>
      <c r="B279" s="14" t="s">
        <v>34</v>
      </c>
      <c r="C279" s="16">
        <v>484548.73</v>
      </c>
      <c r="D279" s="15">
        <v>85065.47</v>
      </c>
      <c r="E279" s="16">
        <v>0</v>
      </c>
      <c r="F279" s="15">
        <v>0</v>
      </c>
      <c r="G279" s="16">
        <v>2619</v>
      </c>
      <c r="H279" s="15">
        <v>236.8</v>
      </c>
      <c r="I279" s="16">
        <v>0</v>
      </c>
      <c r="J279" s="15">
        <v>38454.51</v>
      </c>
      <c r="K279" s="17">
        <v>0</v>
      </c>
      <c r="L279" s="16">
        <v>38266.949999999997</v>
      </c>
      <c r="M279" s="3">
        <f t="shared" si="12"/>
        <v>649191.46</v>
      </c>
      <c r="N279" s="15">
        <v>6303.8</v>
      </c>
      <c r="O279" s="16" t="s">
        <v>512</v>
      </c>
      <c r="P279" s="15">
        <v>70568.7</v>
      </c>
      <c r="Q279" s="16">
        <v>925.19</v>
      </c>
      <c r="R279" s="15">
        <v>30609.5</v>
      </c>
      <c r="S279" s="16">
        <v>62.5</v>
      </c>
      <c r="T279" s="15">
        <v>0</v>
      </c>
      <c r="U279" s="16">
        <v>825</v>
      </c>
      <c r="V279" s="15">
        <v>0</v>
      </c>
      <c r="W279" s="16">
        <v>0</v>
      </c>
      <c r="X279" s="2">
        <f t="shared" si="13"/>
        <v>758486.14999999991</v>
      </c>
      <c r="Y279" s="18"/>
      <c r="Z279" s="25"/>
      <c r="AA279" s="18">
        <v>39977.599999999999</v>
      </c>
      <c r="AB279" s="25"/>
      <c r="AC279" s="18">
        <v>37034.46</v>
      </c>
      <c r="AD279" s="25">
        <v>17801.2</v>
      </c>
      <c r="AE279" s="18"/>
      <c r="AF279" s="25"/>
      <c r="AG279" s="18">
        <v>111.9</v>
      </c>
      <c r="AH279" s="25"/>
      <c r="AI279" s="18"/>
      <c r="AJ279" s="25"/>
      <c r="AK279" s="18"/>
      <c r="AL279" s="68">
        <f t="shared" si="14"/>
        <v>94925.159999999989</v>
      </c>
      <c r="AM279" s="33">
        <v>84</v>
      </c>
      <c r="AN279" s="34">
        <v>228</v>
      </c>
      <c r="AO279" s="16">
        <v>-4602.34</v>
      </c>
      <c r="AP279" s="25"/>
      <c r="AQ279" s="16">
        <v>-1.1599999999999999</v>
      </c>
      <c r="AR279" s="64">
        <v>0.9</v>
      </c>
      <c r="AS279" s="35"/>
      <c r="AT279" s="35"/>
      <c r="AU279" s="40"/>
      <c r="AV279" s="40"/>
      <c r="AW279" s="41"/>
      <c r="AX279" s="23"/>
      <c r="AZ279" s="40"/>
      <c r="BA279" s="40"/>
      <c r="BB279" s="41"/>
      <c r="BC279" s="42"/>
      <c r="BD279" s="42"/>
      <c r="BE279" s="42"/>
      <c r="BF279" s="42"/>
      <c r="BG279" s="42"/>
      <c r="BI279" s="38"/>
      <c r="BJ279" s="39"/>
      <c r="BK279" s="38"/>
      <c r="BL279" s="38"/>
      <c r="BM279" s="38"/>
    </row>
    <row r="280" spans="1:65" x14ac:dyDescent="0.25">
      <c r="A280" s="13">
        <v>5863</v>
      </c>
      <c r="B280" s="14" t="s">
        <v>35</v>
      </c>
      <c r="C280" s="16">
        <v>1226991.3799999999</v>
      </c>
      <c r="D280" s="15">
        <v>190737.25</v>
      </c>
      <c r="E280" s="16">
        <v>0</v>
      </c>
      <c r="F280" s="15">
        <v>0</v>
      </c>
      <c r="G280" s="16">
        <v>59610.05</v>
      </c>
      <c r="H280" s="15">
        <v>-81.2</v>
      </c>
      <c r="I280" s="16">
        <v>0</v>
      </c>
      <c r="J280" s="15">
        <v>9995.2199999999993</v>
      </c>
      <c r="K280" s="17">
        <v>1387</v>
      </c>
      <c r="L280" s="16">
        <v>71488.399999999994</v>
      </c>
      <c r="M280" s="3">
        <f t="shared" si="12"/>
        <v>1560128.0999999999</v>
      </c>
      <c r="N280" s="15">
        <v>15226</v>
      </c>
      <c r="O280" s="16" t="s">
        <v>512</v>
      </c>
      <c r="P280" s="15">
        <v>158.4</v>
      </c>
      <c r="Q280" s="16">
        <v>5832.18</v>
      </c>
      <c r="R280" s="15">
        <v>315</v>
      </c>
      <c r="S280" s="16">
        <v>356.25</v>
      </c>
      <c r="T280" s="15">
        <v>0</v>
      </c>
      <c r="U280" s="16">
        <v>1300</v>
      </c>
      <c r="V280" s="15">
        <v>0</v>
      </c>
      <c r="W280" s="16">
        <v>0</v>
      </c>
      <c r="X280" s="2">
        <f t="shared" si="13"/>
        <v>1583315.9299999997</v>
      </c>
      <c r="Y280" s="18"/>
      <c r="Z280" s="25"/>
      <c r="AA280" s="18">
        <v>14122</v>
      </c>
      <c r="AB280" s="25"/>
      <c r="AC280" s="18">
        <v>37391.1</v>
      </c>
      <c r="AD280" s="25"/>
      <c r="AE280" s="18"/>
      <c r="AF280" s="25"/>
      <c r="AG280" s="18">
        <v>711.6</v>
      </c>
      <c r="AH280" s="25">
        <v>6260.4</v>
      </c>
      <c r="AI280" s="18"/>
      <c r="AJ280" s="25"/>
      <c r="AK280" s="18"/>
      <c r="AL280" s="68">
        <f t="shared" si="14"/>
        <v>58485.1</v>
      </c>
      <c r="AM280" s="33">
        <v>73</v>
      </c>
      <c r="AN280" s="34">
        <v>352</v>
      </c>
      <c r="AO280" s="16">
        <v>-22487.49</v>
      </c>
      <c r="AP280" s="25">
        <v>-947.35</v>
      </c>
      <c r="AQ280" s="16">
        <v>-1462.17</v>
      </c>
      <c r="AR280" s="64">
        <v>1</v>
      </c>
      <c r="AS280" s="35"/>
      <c r="AT280" s="35"/>
      <c r="AU280" s="40"/>
      <c r="AV280" s="40"/>
      <c r="AW280" s="41"/>
      <c r="AX280" s="23"/>
      <c r="AZ280" s="40"/>
      <c r="BA280" s="40"/>
      <c r="BB280" s="41"/>
      <c r="BC280" s="42"/>
      <c r="BD280" s="42"/>
      <c r="BE280" s="42"/>
      <c r="BF280" s="42"/>
      <c r="BG280" s="42"/>
      <c r="BI280" s="38"/>
      <c r="BJ280" s="39"/>
      <c r="BK280" s="38"/>
      <c r="BL280" s="38"/>
      <c r="BM280" s="38"/>
    </row>
    <row r="281" spans="1:65" x14ac:dyDescent="0.25">
      <c r="A281" s="13">
        <v>5871</v>
      </c>
      <c r="B281" s="14" t="s">
        <v>36</v>
      </c>
      <c r="C281" s="16">
        <v>2910147.35</v>
      </c>
      <c r="D281" s="15">
        <v>370477.46</v>
      </c>
      <c r="E281" s="16">
        <v>0</v>
      </c>
      <c r="F281" s="15">
        <v>0</v>
      </c>
      <c r="G281" s="16">
        <v>1131575.3499999999</v>
      </c>
      <c r="H281" s="15">
        <v>3188.1</v>
      </c>
      <c r="I281" s="16">
        <v>0</v>
      </c>
      <c r="J281" s="15">
        <v>69102.53</v>
      </c>
      <c r="K281" s="17">
        <v>2631.25</v>
      </c>
      <c r="L281" s="16">
        <v>216490.6</v>
      </c>
      <c r="M281" s="3">
        <f t="shared" si="12"/>
        <v>4703612.6399999997</v>
      </c>
      <c r="N281" s="25">
        <v>514317.1</v>
      </c>
      <c r="O281" s="18">
        <v>6501.7</v>
      </c>
      <c r="P281" s="25">
        <v>108096.05</v>
      </c>
      <c r="Q281" s="18">
        <v>3409.16</v>
      </c>
      <c r="R281" s="25">
        <v>133144.1</v>
      </c>
      <c r="S281" s="18">
        <v>312.5</v>
      </c>
      <c r="T281" s="25">
        <v>0</v>
      </c>
      <c r="U281" s="18">
        <v>6750</v>
      </c>
      <c r="V281" s="25">
        <v>0</v>
      </c>
      <c r="W281" s="18">
        <v>0</v>
      </c>
      <c r="X281" s="2">
        <f t="shared" si="13"/>
        <v>5476143.2499999991</v>
      </c>
      <c r="Y281" s="18">
        <v>18266.5</v>
      </c>
      <c r="Z281" s="25">
        <v>8865.6</v>
      </c>
      <c r="AA281" s="18">
        <v>292318.5</v>
      </c>
      <c r="AB281" s="25"/>
      <c r="AC281" s="18">
        <v>143117.5</v>
      </c>
      <c r="AD281" s="25"/>
      <c r="AE281" s="18"/>
      <c r="AF281" s="25"/>
      <c r="AG281" s="18">
        <v>58339.95</v>
      </c>
      <c r="AH281" s="25"/>
      <c r="AI281" s="18"/>
      <c r="AJ281" s="25"/>
      <c r="AK281" s="18"/>
      <c r="AL281" s="68">
        <f t="shared" si="14"/>
        <v>520908.05</v>
      </c>
      <c r="AM281" s="33">
        <v>76.98</v>
      </c>
      <c r="AN281" s="34">
        <v>1433</v>
      </c>
      <c r="AO281" s="18">
        <v>-18115.169999999998</v>
      </c>
      <c r="AP281" s="25"/>
      <c r="AQ281" s="16">
        <v>-44.69</v>
      </c>
      <c r="AR281" s="64">
        <v>1</v>
      </c>
      <c r="AS281" s="35"/>
      <c r="AT281" s="35"/>
      <c r="AU281" s="40"/>
      <c r="AV281" s="40"/>
      <c r="AW281" s="41"/>
      <c r="AX281" s="23"/>
      <c r="AZ281" s="40"/>
      <c r="BA281" s="40"/>
      <c r="BB281" s="41"/>
      <c r="BC281" s="42"/>
      <c r="BD281" s="42"/>
      <c r="BE281" s="42"/>
      <c r="BF281" s="42"/>
      <c r="BG281" s="42"/>
      <c r="BI281" s="38"/>
      <c r="BJ281" s="39"/>
      <c r="BK281" s="38"/>
      <c r="BL281" s="38"/>
      <c r="BM281" s="38"/>
    </row>
    <row r="282" spans="1:65" x14ac:dyDescent="0.25">
      <c r="A282" s="13">
        <v>5872</v>
      </c>
      <c r="B282" s="14" t="s">
        <v>242</v>
      </c>
      <c r="C282" s="16">
        <v>6782061.5099999998</v>
      </c>
      <c r="D282" s="15">
        <v>787058.18</v>
      </c>
      <c r="E282" s="16">
        <v>0</v>
      </c>
      <c r="F282" s="15">
        <v>0</v>
      </c>
      <c r="G282" s="16">
        <v>17244412.449999999</v>
      </c>
      <c r="H282" s="15">
        <v>149415.70000000001</v>
      </c>
      <c r="I282" s="16">
        <v>0</v>
      </c>
      <c r="J282" s="15">
        <v>602960</v>
      </c>
      <c r="K282" s="17">
        <v>31056</v>
      </c>
      <c r="L282" s="16">
        <v>435153.55</v>
      </c>
      <c r="M282" s="3">
        <f t="shared" si="12"/>
        <v>26032117.390000001</v>
      </c>
      <c r="N282" s="25">
        <v>7230843.5499999998</v>
      </c>
      <c r="O282" s="18">
        <v>173257.60000000001</v>
      </c>
      <c r="P282" s="25">
        <v>195508.15</v>
      </c>
      <c r="Q282" s="18">
        <v>20395.740000000002</v>
      </c>
      <c r="R282" s="25">
        <v>141995.85</v>
      </c>
      <c r="S282" s="18">
        <v>1262.5</v>
      </c>
      <c r="T282" s="25">
        <v>0</v>
      </c>
      <c r="U282" s="18">
        <v>24550</v>
      </c>
      <c r="V282" s="25">
        <v>0</v>
      </c>
      <c r="W282" s="18">
        <v>0</v>
      </c>
      <c r="X282" s="2">
        <f t="shared" si="13"/>
        <v>33819930.780000009</v>
      </c>
      <c r="Y282" s="18">
        <v>76239</v>
      </c>
      <c r="Z282" s="25">
        <v>41052</v>
      </c>
      <c r="AA282" s="18">
        <v>902509</v>
      </c>
      <c r="AB282" s="25"/>
      <c r="AC282" s="18">
        <v>689703</v>
      </c>
      <c r="AD282" s="25">
        <v>50826</v>
      </c>
      <c r="AE282" s="18">
        <v>27368</v>
      </c>
      <c r="AF282" s="25">
        <v>-60</v>
      </c>
      <c r="AG282" s="18">
        <v>111489</v>
      </c>
      <c r="AH282" s="25"/>
      <c r="AI282" s="18"/>
      <c r="AJ282" s="25"/>
      <c r="AK282" s="18"/>
      <c r="AL282" s="68">
        <f t="shared" si="14"/>
        <v>1899126</v>
      </c>
      <c r="AM282" s="33">
        <v>69.81</v>
      </c>
      <c r="AN282" s="34">
        <v>4496</v>
      </c>
      <c r="AO282" s="18">
        <v>-146817</v>
      </c>
      <c r="AP282" s="25"/>
      <c r="AQ282" s="16">
        <v>-403.1</v>
      </c>
      <c r="AR282" s="64">
        <v>0.7</v>
      </c>
      <c r="AS282" s="35"/>
      <c r="AT282" s="35"/>
      <c r="AU282" s="40"/>
      <c r="AV282" s="40"/>
      <c r="AW282" s="41"/>
      <c r="AX282" s="23"/>
      <c r="AZ282" s="40"/>
      <c r="BA282" s="40"/>
      <c r="BB282" s="41"/>
      <c r="BC282" s="42"/>
      <c r="BD282" s="42"/>
      <c r="BE282" s="42"/>
      <c r="BF282" s="42"/>
      <c r="BG282" s="42"/>
      <c r="BI282" s="38"/>
      <c r="BJ282" s="39"/>
      <c r="BK282" s="38"/>
      <c r="BL282" s="38"/>
      <c r="BM282" s="38"/>
    </row>
    <row r="283" spans="1:65" x14ac:dyDescent="0.25">
      <c r="A283" s="13">
        <v>5873</v>
      </c>
      <c r="B283" s="14" t="s">
        <v>243</v>
      </c>
      <c r="C283" s="16">
        <v>1357939.84</v>
      </c>
      <c r="D283" s="15">
        <v>277221.05</v>
      </c>
      <c r="E283" s="16">
        <v>0</v>
      </c>
      <c r="F283" s="15">
        <v>0</v>
      </c>
      <c r="G283" s="16">
        <v>706524.85</v>
      </c>
      <c r="H283" s="15">
        <v>48108.3</v>
      </c>
      <c r="I283" s="16">
        <v>0</v>
      </c>
      <c r="J283" s="15">
        <v>57068.13</v>
      </c>
      <c r="K283" s="17">
        <v>0</v>
      </c>
      <c r="L283" s="16">
        <v>78042.600000000006</v>
      </c>
      <c r="M283" s="3">
        <f t="shared" si="12"/>
        <v>2524904.77</v>
      </c>
      <c r="N283" s="15">
        <v>1028944.9</v>
      </c>
      <c r="O283" s="16">
        <v>2469.4</v>
      </c>
      <c r="P283" s="15">
        <v>41021.65</v>
      </c>
      <c r="Q283" s="16">
        <v>516.25</v>
      </c>
      <c r="R283" s="15">
        <v>30559.05</v>
      </c>
      <c r="S283" s="16">
        <v>312.5</v>
      </c>
      <c r="T283" s="15">
        <v>0</v>
      </c>
      <c r="U283" s="16">
        <v>5750</v>
      </c>
      <c r="V283" s="15">
        <v>0</v>
      </c>
      <c r="W283" s="16">
        <v>0</v>
      </c>
      <c r="X283" s="2">
        <f t="shared" si="13"/>
        <v>3634478.5199999996</v>
      </c>
      <c r="Y283" s="18">
        <v>9000</v>
      </c>
      <c r="Z283" s="25"/>
      <c r="AA283" s="18">
        <v>229721.1</v>
      </c>
      <c r="AB283" s="25"/>
      <c r="AC283" s="18">
        <v>86484.45</v>
      </c>
      <c r="AD283" s="25">
        <v>12000</v>
      </c>
      <c r="AE283" s="18"/>
      <c r="AF283" s="25"/>
      <c r="AG283" s="18"/>
      <c r="AH283" s="25"/>
      <c r="AI283" s="18"/>
      <c r="AJ283" s="25"/>
      <c r="AK283" s="18"/>
      <c r="AL283" s="68">
        <f t="shared" si="14"/>
        <v>337205.55</v>
      </c>
      <c r="AM283" s="33">
        <v>65</v>
      </c>
      <c r="AN283" s="34">
        <v>856</v>
      </c>
      <c r="AO283" s="16">
        <v>-18293.349999999999</v>
      </c>
      <c r="AP283" s="25"/>
      <c r="AQ283" s="16">
        <v>-105.56</v>
      </c>
      <c r="AR283" s="64">
        <v>0.6</v>
      </c>
      <c r="AS283" s="35"/>
      <c r="AT283" s="35"/>
      <c r="AU283" s="40"/>
      <c r="AV283" s="40"/>
      <c r="AW283" s="41"/>
      <c r="AX283" s="23"/>
      <c r="AZ283" s="40"/>
      <c r="BA283" s="40"/>
      <c r="BB283" s="41"/>
      <c r="BC283" s="42"/>
      <c r="BD283" s="42"/>
      <c r="BE283" s="42"/>
      <c r="BF283" s="42"/>
      <c r="BG283" s="42"/>
      <c r="BI283" s="38"/>
      <c r="BJ283" s="39"/>
      <c r="BK283" s="38"/>
      <c r="BL283" s="38"/>
      <c r="BM283" s="38"/>
    </row>
    <row r="284" spans="1:65" x14ac:dyDescent="0.25">
      <c r="A284" s="13">
        <v>5881</v>
      </c>
      <c r="B284" s="14" t="s">
        <v>244</v>
      </c>
      <c r="C284" s="16">
        <v>18496241.84</v>
      </c>
      <c r="D284" s="15">
        <v>2813838.04</v>
      </c>
      <c r="E284" s="16">
        <v>0</v>
      </c>
      <c r="F284" s="15">
        <v>0</v>
      </c>
      <c r="G284" s="16">
        <v>415704</v>
      </c>
      <c r="H284" s="15">
        <v>21087.8</v>
      </c>
      <c r="I284" s="16">
        <v>546317.43999999994</v>
      </c>
      <c r="J284" s="15">
        <v>264078.93</v>
      </c>
      <c r="K284" s="17">
        <v>54319</v>
      </c>
      <c r="L284" s="16">
        <v>1482886.8</v>
      </c>
      <c r="M284" s="3">
        <f t="shared" si="12"/>
        <v>24094473.850000001</v>
      </c>
      <c r="N284" s="15">
        <v>69846</v>
      </c>
      <c r="O284" s="16">
        <v>266997.90000000002</v>
      </c>
      <c r="P284" s="15">
        <v>747391</v>
      </c>
      <c r="Q284" s="16">
        <v>82939.990000000005</v>
      </c>
      <c r="R284" s="15">
        <v>480097.2</v>
      </c>
      <c r="S284" s="16">
        <v>618.75</v>
      </c>
      <c r="T284" s="15">
        <v>0</v>
      </c>
      <c r="U284" s="16">
        <v>38250</v>
      </c>
      <c r="V284" s="15">
        <v>0</v>
      </c>
      <c r="W284" s="16">
        <v>0</v>
      </c>
      <c r="X284" s="2">
        <f t="shared" si="13"/>
        <v>25780614.689999998</v>
      </c>
      <c r="Y284" s="18">
        <v>84930</v>
      </c>
      <c r="Z284" s="25"/>
      <c r="AA284" s="18">
        <v>447433</v>
      </c>
      <c r="AB284" s="25"/>
      <c r="AC284" s="18">
        <v>455415</v>
      </c>
      <c r="AD284" s="25">
        <v>86885.25</v>
      </c>
      <c r="AE284" s="18"/>
      <c r="AF284" s="25"/>
      <c r="AG284" s="18"/>
      <c r="AH284" s="25"/>
      <c r="AI284" s="18"/>
      <c r="AJ284" s="25"/>
      <c r="AK284" s="18"/>
      <c r="AL284" s="68">
        <f t="shared" si="14"/>
        <v>1074663.25</v>
      </c>
      <c r="AM284" s="33">
        <v>72</v>
      </c>
      <c r="AN284" s="34">
        <v>6110</v>
      </c>
      <c r="AO284" s="16">
        <v>-222156.75</v>
      </c>
      <c r="AP284" s="25"/>
      <c r="AQ284" s="16">
        <v>-59354.05</v>
      </c>
      <c r="AR284" s="64">
        <v>1</v>
      </c>
      <c r="AS284" s="35"/>
      <c r="AT284" s="35"/>
      <c r="AU284" s="40"/>
      <c r="AV284" s="40"/>
      <c r="AW284" s="41"/>
      <c r="AX284" s="23"/>
      <c r="AZ284" s="40"/>
      <c r="BA284" s="40"/>
      <c r="BB284" s="41"/>
      <c r="BC284" s="42"/>
      <c r="BD284" s="42"/>
      <c r="BE284" s="42"/>
      <c r="BF284" s="42"/>
      <c r="BG284" s="42"/>
      <c r="BI284" s="38"/>
      <c r="BJ284" s="39"/>
      <c r="BK284" s="38"/>
      <c r="BL284" s="38"/>
      <c r="BM284" s="38"/>
    </row>
    <row r="285" spans="1:65" x14ac:dyDescent="0.25">
      <c r="A285" s="13">
        <v>5882</v>
      </c>
      <c r="B285" s="14" t="s">
        <v>245</v>
      </c>
      <c r="C285" s="16">
        <v>7627538</v>
      </c>
      <c r="D285" s="15">
        <v>1434002.76</v>
      </c>
      <c r="E285" s="16">
        <v>0</v>
      </c>
      <c r="F285" s="15">
        <v>0</v>
      </c>
      <c r="G285" s="16">
        <v>132112.1</v>
      </c>
      <c r="H285" s="15">
        <v>8206</v>
      </c>
      <c r="I285" s="16">
        <v>455061.7</v>
      </c>
      <c r="J285" s="15">
        <v>228850.86</v>
      </c>
      <c r="K285" s="17">
        <v>28689</v>
      </c>
      <c r="L285" s="16">
        <v>769425.45</v>
      </c>
      <c r="M285" s="3">
        <f t="shared" si="12"/>
        <v>10683885.869999997</v>
      </c>
      <c r="N285" s="15">
        <v>0</v>
      </c>
      <c r="O285" s="16">
        <v>2084387.9</v>
      </c>
      <c r="P285" s="15">
        <v>747480.35</v>
      </c>
      <c r="Q285" s="16">
        <v>13605.43</v>
      </c>
      <c r="R285" s="15">
        <v>214812.79999999999</v>
      </c>
      <c r="S285" s="16">
        <v>284.75</v>
      </c>
      <c r="T285" s="15">
        <v>0</v>
      </c>
      <c r="U285" s="16">
        <v>11160</v>
      </c>
      <c r="V285" s="15">
        <v>0</v>
      </c>
      <c r="W285" s="16">
        <v>0</v>
      </c>
      <c r="X285" s="2">
        <f t="shared" si="13"/>
        <v>13755617.099999998</v>
      </c>
      <c r="Y285" s="18">
        <v>49325</v>
      </c>
      <c r="Z285" s="25"/>
      <c r="AA285" s="18">
        <v>267551.05</v>
      </c>
      <c r="AB285" s="25"/>
      <c r="AC285" s="18">
        <v>284364</v>
      </c>
      <c r="AD285" s="25"/>
      <c r="AE285" s="18"/>
      <c r="AF285" s="25"/>
      <c r="AG285" s="18"/>
      <c r="AH285" s="25"/>
      <c r="AI285" s="18"/>
      <c r="AJ285" s="25"/>
      <c r="AK285" s="18"/>
      <c r="AL285" s="68">
        <f t="shared" si="14"/>
        <v>601240.05000000005</v>
      </c>
      <c r="AM285" s="33">
        <v>66</v>
      </c>
      <c r="AN285" s="34">
        <v>2835</v>
      </c>
      <c r="AO285" s="16">
        <v>-53583.43</v>
      </c>
      <c r="AP285" s="25"/>
      <c r="AQ285" s="16">
        <v>-3035.03</v>
      </c>
      <c r="AR285" s="64">
        <v>1</v>
      </c>
      <c r="AS285" s="35"/>
      <c r="AT285" s="35"/>
      <c r="AU285" s="40"/>
      <c r="AV285" s="40"/>
      <c r="AW285" s="41"/>
      <c r="AX285" s="23"/>
      <c r="AZ285" s="40"/>
      <c r="BA285" s="40"/>
      <c r="BB285" s="41"/>
      <c r="BC285" s="42"/>
      <c r="BD285" s="42"/>
      <c r="BE285" s="42"/>
      <c r="BF285" s="42"/>
      <c r="BG285" s="42"/>
      <c r="BI285" s="38"/>
      <c r="BJ285" s="39"/>
      <c r="BK285" s="38"/>
      <c r="BL285" s="38"/>
      <c r="BM285" s="38"/>
    </row>
    <row r="286" spans="1:65" x14ac:dyDescent="0.25">
      <c r="A286" s="13">
        <v>5883</v>
      </c>
      <c r="B286" s="14" t="s">
        <v>246</v>
      </c>
      <c r="C286" s="16">
        <v>7161176.0999999996</v>
      </c>
      <c r="D286" s="15">
        <v>1840227.1</v>
      </c>
      <c r="E286" s="16">
        <v>0</v>
      </c>
      <c r="F286" s="15">
        <v>0</v>
      </c>
      <c r="G286" s="16">
        <v>248173.25</v>
      </c>
      <c r="H286" s="15">
        <v>3344.2</v>
      </c>
      <c r="I286" s="16">
        <v>298779.55</v>
      </c>
      <c r="J286" s="15">
        <v>136429.70000000001</v>
      </c>
      <c r="K286" s="17">
        <v>15351.5</v>
      </c>
      <c r="L286" s="16">
        <v>576494.65</v>
      </c>
      <c r="M286" s="3">
        <f t="shared" si="12"/>
        <v>10279976.049999999</v>
      </c>
      <c r="N286" s="15">
        <v>8506.4</v>
      </c>
      <c r="O286" s="16">
        <v>22491.599999999999</v>
      </c>
      <c r="P286" s="15">
        <v>439998.95</v>
      </c>
      <c r="Q286" s="16">
        <v>10880.49</v>
      </c>
      <c r="R286" s="15">
        <v>424324.05</v>
      </c>
      <c r="S286" s="16">
        <v>93.9</v>
      </c>
      <c r="T286" s="15">
        <v>0</v>
      </c>
      <c r="U286" s="16">
        <v>4975</v>
      </c>
      <c r="V286" s="15">
        <v>0</v>
      </c>
      <c r="W286" s="16">
        <v>0</v>
      </c>
      <c r="X286" s="2">
        <f t="shared" si="13"/>
        <v>11191246.439999999</v>
      </c>
      <c r="Y286" s="18"/>
      <c r="Z286" s="25">
        <v>434087.45</v>
      </c>
      <c r="AA286" s="18"/>
      <c r="AB286" s="25">
        <v>333314.25</v>
      </c>
      <c r="AC286" s="18">
        <v>172624.25</v>
      </c>
      <c r="AD286" s="25"/>
      <c r="AE286" s="18"/>
      <c r="AF286" s="25"/>
      <c r="AG286" s="18"/>
      <c r="AH286" s="25"/>
      <c r="AI286" s="18"/>
      <c r="AJ286" s="25"/>
      <c r="AK286" s="18"/>
      <c r="AL286" s="68">
        <f t="shared" si="14"/>
        <v>940025.95</v>
      </c>
      <c r="AM286" s="33">
        <v>64</v>
      </c>
      <c r="AN286" s="34">
        <v>2172</v>
      </c>
      <c r="AO286" s="16">
        <v>-76383.72</v>
      </c>
      <c r="AP286" s="25"/>
      <c r="AQ286" s="16">
        <v>-24880.29</v>
      </c>
      <c r="AR286" s="64">
        <v>1</v>
      </c>
      <c r="AS286" s="35"/>
      <c r="AT286" s="35"/>
      <c r="AU286" s="40"/>
      <c r="AV286" s="40"/>
      <c r="AW286" s="41"/>
      <c r="AX286" s="23"/>
      <c r="AZ286" s="40"/>
      <c r="BA286" s="40"/>
      <c r="BB286" s="41"/>
      <c r="BC286" s="42"/>
      <c r="BD286" s="42"/>
      <c r="BE286" s="42"/>
      <c r="BF286" s="42"/>
      <c r="BG286" s="42"/>
      <c r="BI286" s="38"/>
      <c r="BJ286" s="39"/>
      <c r="BK286" s="38"/>
      <c r="BL286" s="38"/>
      <c r="BM286" s="38"/>
    </row>
    <row r="287" spans="1:65" x14ac:dyDescent="0.25">
      <c r="A287" s="13">
        <v>5884</v>
      </c>
      <c r="B287" s="14" t="s">
        <v>56</v>
      </c>
      <c r="C287" s="16">
        <v>5346057.5</v>
      </c>
      <c r="D287" s="15">
        <v>749051.77</v>
      </c>
      <c r="E287" s="16">
        <v>0</v>
      </c>
      <c r="F287" s="15">
        <v>0</v>
      </c>
      <c r="G287" s="16">
        <v>963876.29</v>
      </c>
      <c r="H287" s="15">
        <v>-204248.6</v>
      </c>
      <c r="I287" s="16">
        <v>16691.5</v>
      </c>
      <c r="J287" s="15">
        <v>362077.58</v>
      </c>
      <c r="K287" s="17">
        <v>164806</v>
      </c>
      <c r="L287" s="16">
        <v>868422.1</v>
      </c>
      <c r="M287" s="4">
        <f t="shared" si="12"/>
        <v>8266734.1399999997</v>
      </c>
      <c r="N287" s="15">
        <v>322802.95</v>
      </c>
      <c r="O287" s="16">
        <v>12097.1</v>
      </c>
      <c r="P287" s="15">
        <v>218146.2</v>
      </c>
      <c r="Q287" s="16">
        <v>22601</v>
      </c>
      <c r="R287" s="15">
        <v>129074.15</v>
      </c>
      <c r="S287" s="16">
        <v>725</v>
      </c>
      <c r="T287" s="15">
        <v>0</v>
      </c>
      <c r="U287" s="16">
        <v>17000</v>
      </c>
      <c r="V287" s="15">
        <v>0</v>
      </c>
      <c r="W287" s="18">
        <v>0</v>
      </c>
      <c r="X287" s="1">
        <f t="shared" si="13"/>
        <v>8989180.5399999991</v>
      </c>
      <c r="Y287" s="18">
        <v>18826.150000000001</v>
      </c>
      <c r="Z287" s="25"/>
      <c r="AA287" s="18">
        <v>297337.90000000002</v>
      </c>
      <c r="AB287" s="25">
        <v>599912.62</v>
      </c>
      <c r="AC287" s="18">
        <v>237823.4</v>
      </c>
      <c r="AD287" s="25"/>
      <c r="AE287" s="18"/>
      <c r="AF287" s="25"/>
      <c r="AG287" s="18">
        <v>16220</v>
      </c>
      <c r="AH287" s="25">
        <v>267562.45</v>
      </c>
      <c r="AI287" s="18"/>
      <c r="AJ287" s="25"/>
      <c r="AK287" s="18"/>
      <c r="AL287" s="68">
        <f t="shared" si="14"/>
        <v>1437682.52</v>
      </c>
      <c r="AM287" s="33">
        <v>66</v>
      </c>
      <c r="AN287" s="34">
        <v>3393</v>
      </c>
      <c r="AO287" s="16">
        <v>-131070.25</v>
      </c>
      <c r="AP287" s="25"/>
      <c r="AQ287" s="16">
        <v>-779.21</v>
      </c>
      <c r="AR287" s="64">
        <v>1.2</v>
      </c>
      <c r="AS287" s="35"/>
      <c r="AT287" s="35"/>
      <c r="AU287" s="40"/>
      <c r="AV287" s="40"/>
      <c r="AW287" s="41"/>
      <c r="AX287" s="23"/>
      <c r="AZ287" s="40"/>
      <c r="BA287" s="40"/>
      <c r="BB287" s="41"/>
      <c r="BC287" s="42"/>
      <c r="BD287" s="42"/>
      <c r="BE287" s="42"/>
      <c r="BF287" s="42"/>
      <c r="BG287" s="42"/>
      <c r="BI287" s="38"/>
      <c r="BJ287" s="39"/>
      <c r="BK287" s="38"/>
      <c r="BL287" s="38"/>
      <c r="BM287" s="38"/>
    </row>
    <row r="288" spans="1:65" x14ac:dyDescent="0.25">
      <c r="A288" s="13">
        <v>5885</v>
      </c>
      <c r="B288" s="14" t="s">
        <v>57</v>
      </c>
      <c r="C288" s="16">
        <v>4011713.1</v>
      </c>
      <c r="D288" s="15">
        <v>699341.32</v>
      </c>
      <c r="E288" s="16">
        <v>0</v>
      </c>
      <c r="F288" s="15">
        <v>0</v>
      </c>
      <c r="G288" s="16">
        <v>35712.949999999997</v>
      </c>
      <c r="H288" s="15">
        <v>88.55</v>
      </c>
      <c r="I288" s="16">
        <v>109162.8</v>
      </c>
      <c r="J288" s="15">
        <v>73010</v>
      </c>
      <c r="K288" s="17">
        <v>7707</v>
      </c>
      <c r="L288" s="16">
        <v>395950</v>
      </c>
      <c r="M288" s="3">
        <f t="shared" si="12"/>
        <v>5332685.72</v>
      </c>
      <c r="N288" s="15">
        <v>0</v>
      </c>
      <c r="O288" s="16">
        <v>60885.3</v>
      </c>
      <c r="P288" s="15">
        <v>214347.5</v>
      </c>
      <c r="Q288" s="16">
        <v>17624.939999999999</v>
      </c>
      <c r="R288" s="15">
        <v>123469</v>
      </c>
      <c r="S288" s="16">
        <v>62.5</v>
      </c>
      <c r="T288" s="15">
        <v>0</v>
      </c>
      <c r="U288" s="16">
        <v>7150</v>
      </c>
      <c r="V288" s="15">
        <v>0</v>
      </c>
      <c r="W288" s="16">
        <v>0</v>
      </c>
      <c r="X288" s="2">
        <f t="shared" si="13"/>
        <v>5756224.96</v>
      </c>
      <c r="Y288" s="18"/>
      <c r="Z288" s="25"/>
      <c r="AA288" s="18"/>
      <c r="AB288" s="25"/>
      <c r="AC288" s="18"/>
      <c r="AD288" s="25"/>
      <c r="AE288" s="18"/>
      <c r="AF288" s="25"/>
      <c r="AG288" s="18"/>
      <c r="AH288" s="25"/>
      <c r="AI288" s="18"/>
      <c r="AJ288" s="25"/>
      <c r="AK288" s="18"/>
      <c r="AL288" s="68">
        <f t="shared" si="14"/>
        <v>0</v>
      </c>
      <c r="AM288" s="33">
        <v>69</v>
      </c>
      <c r="AN288" s="34">
        <v>1475</v>
      </c>
      <c r="AO288" s="16">
        <v>-21491.08</v>
      </c>
      <c r="AP288" s="25"/>
      <c r="AQ288" s="16">
        <v>-5052.87</v>
      </c>
      <c r="AR288" s="64">
        <v>1.2</v>
      </c>
      <c r="AS288" s="35"/>
      <c r="AT288" s="35"/>
      <c r="AU288" s="40"/>
      <c r="AV288" s="40"/>
      <c r="AW288" s="41"/>
      <c r="AX288" s="23"/>
      <c r="AZ288" s="40"/>
      <c r="BA288" s="40"/>
      <c r="BB288" s="41"/>
      <c r="BC288" s="42"/>
      <c r="BD288" s="42"/>
      <c r="BE288" s="42"/>
      <c r="BF288" s="42"/>
      <c r="BG288" s="42"/>
      <c r="BI288" s="38"/>
      <c r="BJ288" s="39"/>
      <c r="BK288" s="38"/>
      <c r="BL288" s="38"/>
      <c r="BM288" s="38"/>
    </row>
    <row r="289" spans="1:65" x14ac:dyDescent="0.25">
      <c r="A289" s="13">
        <v>5886</v>
      </c>
      <c r="B289" s="14" t="s">
        <v>58</v>
      </c>
      <c r="C289" s="16">
        <v>45073425.840000004</v>
      </c>
      <c r="D289" s="15">
        <v>9218938.1799999997</v>
      </c>
      <c r="E289" s="16">
        <v>0</v>
      </c>
      <c r="F289" s="15">
        <v>0</v>
      </c>
      <c r="G289" s="16">
        <v>6996200.7999999998</v>
      </c>
      <c r="H289" s="15">
        <v>439234.35</v>
      </c>
      <c r="I289" s="16">
        <v>4896498.49</v>
      </c>
      <c r="J289" s="15">
        <v>2977619</v>
      </c>
      <c r="K289" s="17">
        <v>607242</v>
      </c>
      <c r="L289" s="16">
        <v>8958889.6999999993</v>
      </c>
      <c r="M289" s="3">
        <f t="shared" si="12"/>
        <v>79168048.359999999</v>
      </c>
      <c r="N289" s="15">
        <v>653740.44999999995</v>
      </c>
      <c r="O289" s="16">
        <v>3306481.2</v>
      </c>
      <c r="P289" s="15">
        <v>3555777.6</v>
      </c>
      <c r="Q289" s="16">
        <v>635864.80000000005</v>
      </c>
      <c r="R289" s="15">
        <v>3243575.55</v>
      </c>
      <c r="S289" s="16">
        <v>6937.5</v>
      </c>
      <c r="T289" s="15">
        <v>0</v>
      </c>
      <c r="U289" s="16">
        <v>78240</v>
      </c>
      <c r="V289" s="15">
        <v>0</v>
      </c>
      <c r="W289" s="16">
        <v>0</v>
      </c>
      <c r="X289" s="2">
        <f t="shared" si="13"/>
        <v>90648665.459999993</v>
      </c>
      <c r="Y289" s="18"/>
      <c r="Z289" s="25"/>
      <c r="AA289" s="18">
        <v>2628956</v>
      </c>
      <c r="AB289" s="25"/>
      <c r="AC289" s="18">
        <v>4340142</v>
      </c>
      <c r="AD289" s="25"/>
      <c r="AE289" s="18"/>
      <c r="AF289" s="25"/>
      <c r="AG289" s="18"/>
      <c r="AH289" s="25"/>
      <c r="AI289" s="18"/>
      <c r="AJ289" s="25"/>
      <c r="AK289" s="18"/>
      <c r="AL289" s="68">
        <f t="shared" si="14"/>
        <v>6969098</v>
      </c>
      <c r="AM289" s="33">
        <v>66</v>
      </c>
      <c r="AN289" s="34">
        <v>26072</v>
      </c>
      <c r="AO289" s="16">
        <v>-2895916.62</v>
      </c>
      <c r="AP289" s="25"/>
      <c r="AQ289" s="16">
        <v>-11271.07</v>
      </c>
      <c r="AR289" s="64">
        <v>1.5</v>
      </c>
      <c r="AS289" s="35"/>
      <c r="AT289" s="35"/>
      <c r="AU289" s="40"/>
      <c r="AV289" s="40"/>
      <c r="AW289" s="41"/>
      <c r="AX289" s="23"/>
      <c r="AZ289" s="40"/>
      <c r="BA289" s="40"/>
      <c r="BB289" s="41"/>
      <c r="BC289" s="42"/>
      <c r="BD289" s="42"/>
      <c r="BE289" s="42"/>
      <c r="BF289" s="42"/>
      <c r="BG289" s="42"/>
      <c r="BI289" s="38"/>
      <c r="BJ289" s="39"/>
      <c r="BK289" s="38"/>
      <c r="BL289" s="38"/>
      <c r="BM289" s="38"/>
    </row>
    <row r="290" spans="1:65" x14ac:dyDescent="0.25">
      <c r="A290" s="13">
        <v>5888</v>
      </c>
      <c r="B290" s="14" t="s">
        <v>59</v>
      </c>
      <c r="C290" s="16">
        <v>17365435.260000002</v>
      </c>
      <c r="D290" s="15">
        <v>3565006.79</v>
      </c>
      <c r="E290" s="16">
        <v>0</v>
      </c>
      <c r="F290" s="15">
        <v>0</v>
      </c>
      <c r="G290" s="16">
        <v>555516.80000000005</v>
      </c>
      <c r="H290" s="15">
        <v>263118.95</v>
      </c>
      <c r="I290" s="16">
        <v>510333.4</v>
      </c>
      <c r="J290" s="15">
        <v>138182.66</v>
      </c>
      <c r="K290" s="17">
        <v>26795.5</v>
      </c>
      <c r="L290" s="16">
        <v>1315676.7</v>
      </c>
      <c r="M290" s="3">
        <f t="shared" si="12"/>
        <v>23740066.059999999</v>
      </c>
      <c r="N290" s="15">
        <v>154439.4</v>
      </c>
      <c r="O290" s="16">
        <v>148346.79999999999</v>
      </c>
      <c r="P290" s="15">
        <v>472542.8</v>
      </c>
      <c r="Q290" s="16">
        <v>131666.71</v>
      </c>
      <c r="R290" s="15">
        <v>489485.6</v>
      </c>
      <c r="S290" s="16">
        <v>593.75</v>
      </c>
      <c r="T290" s="15">
        <v>0</v>
      </c>
      <c r="U290" s="16">
        <v>33050</v>
      </c>
      <c r="V290" s="15">
        <v>0</v>
      </c>
      <c r="W290" s="16">
        <v>0</v>
      </c>
      <c r="X290" s="2">
        <f t="shared" si="13"/>
        <v>25170191.120000001</v>
      </c>
      <c r="Y290" s="18">
        <v>-24971.599999999999</v>
      </c>
      <c r="Z290" s="25"/>
      <c r="AA290" s="18">
        <v>697847.5</v>
      </c>
      <c r="AB290" s="25">
        <v>978377.95</v>
      </c>
      <c r="AC290" s="18">
        <v>364728.1</v>
      </c>
      <c r="AD290" s="25">
        <v>16163.45</v>
      </c>
      <c r="AE290" s="18"/>
      <c r="AF290" s="25"/>
      <c r="AG290" s="18">
        <v>25502</v>
      </c>
      <c r="AH290" s="25"/>
      <c r="AI290" s="18"/>
      <c r="AJ290" s="25"/>
      <c r="AK290" s="18"/>
      <c r="AL290" s="68">
        <f t="shared" si="14"/>
        <v>2057647.4000000001</v>
      </c>
      <c r="AM290" s="33">
        <v>66</v>
      </c>
      <c r="AN290" s="34">
        <v>5084</v>
      </c>
      <c r="AO290" s="16">
        <v>-267421.18</v>
      </c>
      <c r="AP290" s="25"/>
      <c r="AQ290" s="16">
        <v>-7592.59</v>
      </c>
      <c r="AR290" s="64">
        <v>1</v>
      </c>
      <c r="AS290" s="35"/>
      <c r="AT290" s="35"/>
      <c r="AU290" s="40"/>
      <c r="AV290" s="40"/>
      <c r="AW290" s="41"/>
      <c r="AX290" s="23"/>
      <c r="AZ290" s="40"/>
      <c r="BA290" s="40"/>
      <c r="BB290" s="41"/>
      <c r="BC290" s="42"/>
      <c r="BD290" s="42"/>
      <c r="BE290" s="42"/>
      <c r="BF290" s="42"/>
      <c r="BG290" s="42"/>
      <c r="BI290" s="38"/>
      <c r="BJ290" s="39"/>
      <c r="BK290" s="38"/>
      <c r="BL290" s="38"/>
      <c r="BM290" s="38"/>
    </row>
    <row r="291" spans="1:65" x14ac:dyDescent="0.25">
      <c r="A291" s="13">
        <v>5889</v>
      </c>
      <c r="B291" s="14" t="s">
        <v>60</v>
      </c>
      <c r="C291" s="16">
        <v>22966811.039999999</v>
      </c>
      <c r="D291" s="15">
        <v>4304265.55</v>
      </c>
      <c r="E291" s="16">
        <v>0</v>
      </c>
      <c r="F291" s="15">
        <v>0</v>
      </c>
      <c r="G291" s="16">
        <v>2753882.3</v>
      </c>
      <c r="H291" s="15">
        <v>5118406.1500000004</v>
      </c>
      <c r="I291" s="16">
        <v>995195.28</v>
      </c>
      <c r="J291" s="15">
        <v>202801.84</v>
      </c>
      <c r="K291" s="17">
        <v>103508.5</v>
      </c>
      <c r="L291" s="16">
        <v>2288662</v>
      </c>
      <c r="M291" s="3">
        <f t="shared" si="12"/>
        <v>38733532.660000004</v>
      </c>
      <c r="N291" s="15">
        <v>92592.15</v>
      </c>
      <c r="O291" s="16">
        <v>391503.9</v>
      </c>
      <c r="P291" s="15">
        <v>1495738.1</v>
      </c>
      <c r="Q291" s="16">
        <v>81932.52</v>
      </c>
      <c r="R291" s="15">
        <v>895273.35</v>
      </c>
      <c r="S291" s="16">
        <v>1650</v>
      </c>
      <c r="T291" s="15">
        <v>0</v>
      </c>
      <c r="U291" s="16">
        <v>34400</v>
      </c>
      <c r="V291" s="15">
        <v>0</v>
      </c>
      <c r="W291" s="16">
        <v>252599.54</v>
      </c>
      <c r="X291" s="2">
        <f t="shared" si="13"/>
        <v>41979222.220000006</v>
      </c>
      <c r="Y291" s="18">
        <v>2666.25</v>
      </c>
      <c r="Z291" s="25"/>
      <c r="AA291" s="18">
        <v>435014.5</v>
      </c>
      <c r="AB291" s="25">
        <v>1668659.35</v>
      </c>
      <c r="AC291" s="18"/>
      <c r="AD291" s="25"/>
      <c r="AE291" s="18"/>
      <c r="AF291" s="25"/>
      <c r="AG291" s="18"/>
      <c r="AH291" s="25"/>
      <c r="AI291" s="18"/>
      <c r="AJ291" s="25"/>
      <c r="AK291" s="18"/>
      <c r="AL291" s="68">
        <f t="shared" si="14"/>
        <v>2106340.1</v>
      </c>
      <c r="AM291" s="33">
        <v>64</v>
      </c>
      <c r="AN291" s="34">
        <v>11207</v>
      </c>
      <c r="AO291" s="16">
        <v>-467604.81</v>
      </c>
      <c r="AP291" s="25"/>
      <c r="AQ291" s="16">
        <v>-12558.82</v>
      </c>
      <c r="AR291" s="64">
        <v>1.2</v>
      </c>
      <c r="AS291" s="35"/>
      <c r="AT291" s="35"/>
      <c r="AU291" s="40"/>
      <c r="AV291" s="40"/>
      <c r="AW291" s="41"/>
      <c r="AX291" s="23"/>
      <c r="AZ291" s="40"/>
      <c r="BA291" s="40"/>
      <c r="BB291" s="41"/>
      <c r="BC291" s="42"/>
      <c r="BD291" s="42"/>
      <c r="BE291" s="42"/>
      <c r="BF291" s="42"/>
      <c r="BG291" s="42"/>
      <c r="BI291" s="38"/>
      <c r="BJ291" s="39"/>
      <c r="BK291" s="38"/>
      <c r="BL291" s="38"/>
      <c r="BM291" s="38"/>
    </row>
    <row r="292" spans="1:65" x14ac:dyDescent="0.25">
      <c r="A292" s="13">
        <v>5890</v>
      </c>
      <c r="B292" s="14" t="s">
        <v>61</v>
      </c>
      <c r="C292" s="16">
        <v>36122053.039999999</v>
      </c>
      <c r="D292" s="15">
        <v>4214770.46</v>
      </c>
      <c r="E292" s="16">
        <v>0</v>
      </c>
      <c r="F292" s="15">
        <v>0</v>
      </c>
      <c r="G292" s="16">
        <v>8868995.3000000007</v>
      </c>
      <c r="H292" s="15">
        <v>10824134.199999999</v>
      </c>
      <c r="I292" s="16">
        <v>410417.81</v>
      </c>
      <c r="J292" s="15">
        <v>4088339.77</v>
      </c>
      <c r="K292" s="17">
        <v>417329</v>
      </c>
      <c r="L292" s="16">
        <v>3700810</v>
      </c>
      <c r="M292" s="3">
        <f t="shared" si="12"/>
        <v>68646849.580000013</v>
      </c>
      <c r="N292" s="15">
        <v>1000064.15</v>
      </c>
      <c r="O292" s="16">
        <v>1667191.6</v>
      </c>
      <c r="P292" s="15">
        <v>1334561.25</v>
      </c>
      <c r="Q292" s="16">
        <v>173781.66</v>
      </c>
      <c r="R292" s="15">
        <v>823851.45</v>
      </c>
      <c r="S292" s="16">
        <v>6512.5</v>
      </c>
      <c r="T292" s="15">
        <v>0</v>
      </c>
      <c r="U292" s="16">
        <v>52650</v>
      </c>
      <c r="V292" s="15">
        <v>0</v>
      </c>
      <c r="W292" s="16">
        <v>0</v>
      </c>
      <c r="X292" s="2">
        <f t="shared" si="13"/>
        <v>73705462.190000013</v>
      </c>
      <c r="Y292" s="18"/>
      <c r="Z292" s="25"/>
      <c r="AA292" s="18">
        <v>907064.55</v>
      </c>
      <c r="AB292" s="25"/>
      <c r="AC292" s="18">
        <v>1533725.5299999998</v>
      </c>
      <c r="AD292" s="25"/>
      <c r="AE292" s="18"/>
      <c r="AF292" s="25"/>
      <c r="AG292" s="18"/>
      <c r="AH292" s="25">
        <v>690672</v>
      </c>
      <c r="AI292" s="18"/>
      <c r="AJ292" s="25">
        <v>196834.85</v>
      </c>
      <c r="AK292" s="18"/>
      <c r="AL292" s="68">
        <f t="shared" si="14"/>
        <v>3328296.93</v>
      </c>
      <c r="AM292" s="33">
        <v>73</v>
      </c>
      <c r="AN292" s="34">
        <v>18838</v>
      </c>
      <c r="AO292" s="16">
        <v>-1035323.5</v>
      </c>
      <c r="AP292" s="25"/>
      <c r="AQ292" s="16">
        <v>-4842.8900000000003</v>
      </c>
      <c r="AR292" s="64">
        <v>1.2</v>
      </c>
      <c r="AS292" s="35"/>
      <c r="AT292" s="35"/>
      <c r="AU292" s="40"/>
      <c r="AV292" s="40"/>
      <c r="AW292" s="41"/>
      <c r="AX292" s="23"/>
      <c r="AZ292" s="40"/>
      <c r="BA292" s="40"/>
      <c r="BB292" s="41"/>
      <c r="BC292" s="42"/>
      <c r="BD292" s="42"/>
      <c r="BE292" s="42"/>
      <c r="BF292" s="42"/>
      <c r="BG292" s="42"/>
      <c r="BI292" s="38"/>
      <c r="BJ292" s="39"/>
      <c r="BK292" s="38"/>
      <c r="BL292" s="38"/>
      <c r="BM292" s="38"/>
    </row>
    <row r="293" spans="1:65" x14ac:dyDescent="0.25">
      <c r="A293" s="13">
        <v>5891</v>
      </c>
      <c r="B293" s="14" t="s">
        <v>62</v>
      </c>
      <c r="C293" s="16">
        <v>1796700.45</v>
      </c>
      <c r="D293" s="15">
        <v>514700.59</v>
      </c>
      <c r="E293" s="16">
        <v>0</v>
      </c>
      <c r="F293" s="15">
        <v>0</v>
      </c>
      <c r="G293" s="16">
        <v>17605.099999999999</v>
      </c>
      <c r="H293" s="15">
        <v>27701.75</v>
      </c>
      <c r="I293" s="16">
        <v>-20173.7</v>
      </c>
      <c r="J293" s="15">
        <v>111749.98</v>
      </c>
      <c r="K293" s="17">
        <v>14142.5</v>
      </c>
      <c r="L293" s="16">
        <v>265796</v>
      </c>
      <c r="M293" s="3">
        <f t="shared" si="12"/>
        <v>2728222.67</v>
      </c>
      <c r="N293" s="15">
        <v>0</v>
      </c>
      <c r="O293" s="16">
        <v>308098.59999999998</v>
      </c>
      <c r="P293" s="15">
        <v>118148.7</v>
      </c>
      <c r="Q293" s="16">
        <v>5993.07</v>
      </c>
      <c r="R293" s="15">
        <v>177543.65</v>
      </c>
      <c r="S293" s="16">
        <v>81.25</v>
      </c>
      <c r="T293" s="15">
        <v>0</v>
      </c>
      <c r="U293" s="16">
        <v>3900</v>
      </c>
      <c r="V293" s="15">
        <v>245258.11</v>
      </c>
      <c r="W293" s="16">
        <v>0</v>
      </c>
      <c r="X293" s="2">
        <f t="shared" si="13"/>
        <v>3587246.05</v>
      </c>
      <c r="Y293" s="18">
        <v>4461</v>
      </c>
      <c r="Z293" s="25"/>
      <c r="AA293" s="18">
        <v>121981.95</v>
      </c>
      <c r="AB293" s="25"/>
      <c r="AC293" s="18">
        <v>84292.5</v>
      </c>
      <c r="AD293" s="25"/>
      <c r="AE293" s="18"/>
      <c r="AF293" s="25"/>
      <c r="AG293" s="18"/>
      <c r="AH293" s="25">
        <v>68428.95</v>
      </c>
      <c r="AI293" s="18"/>
      <c r="AJ293" s="25"/>
      <c r="AK293" s="18">
        <v>18567.55</v>
      </c>
      <c r="AL293" s="68">
        <f t="shared" si="14"/>
        <v>297731.95</v>
      </c>
      <c r="AM293" s="33">
        <v>69</v>
      </c>
      <c r="AN293" s="34">
        <v>845</v>
      </c>
      <c r="AO293" s="16">
        <v>-92182.080000000002</v>
      </c>
      <c r="AP293" s="25"/>
      <c r="AQ293" s="16">
        <v>-743.81</v>
      </c>
      <c r="AR293" s="64">
        <v>1.2</v>
      </c>
      <c r="AS293" s="35"/>
      <c r="AT293" s="35"/>
      <c r="AU293" s="40"/>
      <c r="AV293" s="40"/>
      <c r="AW293" s="41"/>
      <c r="AX293" s="23"/>
      <c r="AZ293" s="40"/>
      <c r="BA293" s="40"/>
      <c r="BB293" s="41"/>
      <c r="BC293" s="42"/>
      <c r="BD293" s="42"/>
      <c r="BE293" s="42"/>
      <c r="BF293" s="42"/>
      <c r="BG293" s="42"/>
      <c r="BI293" s="38"/>
      <c r="BJ293" s="39"/>
      <c r="BK293" s="38"/>
      <c r="BL293" s="38"/>
      <c r="BM293" s="38"/>
    </row>
    <row r="294" spans="1:65" x14ac:dyDescent="0.25">
      <c r="A294" s="13">
        <v>5902</v>
      </c>
      <c r="B294" s="14" t="s">
        <v>63</v>
      </c>
      <c r="C294" s="16">
        <v>604450.59</v>
      </c>
      <c r="D294" s="15">
        <v>31767.75</v>
      </c>
      <c r="E294" s="16">
        <v>0</v>
      </c>
      <c r="F294" s="15">
        <v>0</v>
      </c>
      <c r="G294" s="16">
        <v>4933.3999999999996</v>
      </c>
      <c r="H294" s="15">
        <v>320.95</v>
      </c>
      <c r="I294" s="16">
        <v>0</v>
      </c>
      <c r="J294" s="15">
        <v>-15069.7</v>
      </c>
      <c r="K294" s="17">
        <v>0</v>
      </c>
      <c r="L294" s="16">
        <v>44152.5</v>
      </c>
      <c r="M294" s="3">
        <f t="shared" si="12"/>
        <v>670555.49</v>
      </c>
      <c r="N294" s="15">
        <v>0</v>
      </c>
      <c r="O294" s="16">
        <v>53827.6</v>
      </c>
      <c r="P294" s="15">
        <v>3161.6</v>
      </c>
      <c r="Q294" s="16">
        <v>0</v>
      </c>
      <c r="R294" s="15">
        <v>32904.75</v>
      </c>
      <c r="S294" s="16">
        <v>0</v>
      </c>
      <c r="T294" s="15">
        <v>500</v>
      </c>
      <c r="U294" s="16">
        <v>3900</v>
      </c>
      <c r="V294" s="15">
        <v>90</v>
      </c>
      <c r="W294" s="16">
        <v>0</v>
      </c>
      <c r="X294" s="2">
        <f t="shared" si="13"/>
        <v>764939.44</v>
      </c>
      <c r="Y294" s="18">
        <v>9918</v>
      </c>
      <c r="Z294" s="25"/>
      <c r="AA294" s="18">
        <v>37773.25</v>
      </c>
      <c r="AB294" s="25"/>
      <c r="AC294" s="18">
        <v>22951.85</v>
      </c>
      <c r="AD294" s="25">
        <v>11708.45</v>
      </c>
      <c r="AE294" s="18"/>
      <c r="AF294" s="25"/>
      <c r="AG294" s="18"/>
      <c r="AH294" s="25"/>
      <c r="AI294" s="18"/>
      <c r="AJ294" s="25"/>
      <c r="AK294" s="18"/>
      <c r="AL294" s="68">
        <f t="shared" si="14"/>
        <v>82351.55</v>
      </c>
      <c r="AM294" s="33">
        <v>76</v>
      </c>
      <c r="AN294" s="34">
        <v>357</v>
      </c>
      <c r="AO294" s="16">
        <v>-1064.98</v>
      </c>
      <c r="AP294" s="25"/>
      <c r="AQ294" s="16">
        <v>0</v>
      </c>
      <c r="AR294" s="64">
        <v>1</v>
      </c>
      <c r="AS294" s="35"/>
      <c r="AT294" s="35"/>
      <c r="AU294" s="40"/>
      <c r="AV294" s="40"/>
      <c r="AW294" s="41"/>
      <c r="AX294" s="23"/>
      <c r="AZ294" s="40"/>
      <c r="BA294" s="40"/>
      <c r="BB294" s="41"/>
      <c r="BC294" s="42"/>
      <c r="BD294" s="42"/>
      <c r="BE294" s="42"/>
      <c r="BF294" s="42"/>
      <c r="BG294" s="42"/>
      <c r="BI294" s="38"/>
      <c r="BJ294" s="39"/>
      <c r="BK294" s="38"/>
      <c r="BL294" s="38"/>
      <c r="BM294" s="38"/>
    </row>
    <row r="295" spans="1:65" x14ac:dyDescent="0.25">
      <c r="A295" s="13">
        <v>5903</v>
      </c>
      <c r="B295" s="14" t="s">
        <v>64</v>
      </c>
      <c r="C295" s="16">
        <v>349454.95</v>
      </c>
      <c r="D295" s="15">
        <v>49686.31</v>
      </c>
      <c r="E295" s="16">
        <v>0</v>
      </c>
      <c r="F295" s="15">
        <v>1140</v>
      </c>
      <c r="G295" s="16">
        <v>15613.7</v>
      </c>
      <c r="H295" s="15">
        <v>75.349999999999994</v>
      </c>
      <c r="I295" s="16">
        <v>0</v>
      </c>
      <c r="J295" s="15">
        <v>6032.61</v>
      </c>
      <c r="K295" s="17">
        <v>0</v>
      </c>
      <c r="L295" s="16">
        <v>20057.25</v>
      </c>
      <c r="M295" s="3">
        <f t="shared" si="12"/>
        <v>442060.17</v>
      </c>
      <c r="N295" s="15">
        <v>0</v>
      </c>
      <c r="O295" s="16" t="s">
        <v>512</v>
      </c>
      <c r="P295" s="15">
        <v>8250</v>
      </c>
      <c r="Q295" s="16">
        <v>0</v>
      </c>
      <c r="R295" s="15">
        <v>7542</v>
      </c>
      <c r="S295" s="16">
        <v>62.5</v>
      </c>
      <c r="T295" s="15">
        <v>0</v>
      </c>
      <c r="U295" s="16">
        <v>1200</v>
      </c>
      <c r="V295" s="15">
        <v>0</v>
      </c>
      <c r="W295" s="16">
        <v>0</v>
      </c>
      <c r="X295" s="2">
        <f t="shared" si="13"/>
        <v>459114.67</v>
      </c>
      <c r="Y295" s="18"/>
      <c r="Z295" s="25"/>
      <c r="AA295" s="18">
        <v>13754.95</v>
      </c>
      <c r="AB295" s="25"/>
      <c r="AC295" s="18">
        <v>18367.5</v>
      </c>
      <c r="AD295" s="25"/>
      <c r="AE295" s="18"/>
      <c r="AF295" s="25"/>
      <c r="AG295" s="18"/>
      <c r="AH295" s="25"/>
      <c r="AI295" s="18"/>
      <c r="AJ295" s="25"/>
      <c r="AK295" s="18"/>
      <c r="AL295" s="68">
        <f t="shared" si="14"/>
        <v>32122.45</v>
      </c>
      <c r="AM295" s="33">
        <v>74</v>
      </c>
      <c r="AN295" s="34">
        <v>196</v>
      </c>
      <c r="AO295" s="16">
        <v>-81.53</v>
      </c>
      <c r="AP295" s="25"/>
      <c r="AQ295" s="16">
        <v>0</v>
      </c>
      <c r="AR295" s="64">
        <v>0.7</v>
      </c>
      <c r="AS295" s="35"/>
      <c r="AT295" s="35"/>
      <c r="AU295" s="40"/>
      <c r="AV295" s="40"/>
      <c r="AW295" s="41"/>
      <c r="AX295" s="23"/>
      <c r="AZ295" s="40"/>
      <c r="BA295" s="40"/>
      <c r="BB295" s="41"/>
      <c r="BC295" s="42"/>
      <c r="BD295" s="42"/>
      <c r="BE295" s="42"/>
      <c r="BF295" s="42"/>
      <c r="BG295" s="42"/>
      <c r="BI295" s="38"/>
      <c r="BJ295" s="39"/>
      <c r="BK295" s="38"/>
      <c r="BL295" s="38"/>
      <c r="BM295" s="38"/>
    </row>
    <row r="296" spans="1:65" x14ac:dyDescent="0.25">
      <c r="A296" s="13">
        <v>5904</v>
      </c>
      <c r="B296" s="14" t="s">
        <v>65</v>
      </c>
      <c r="C296" s="16">
        <v>1148892.8899999999</v>
      </c>
      <c r="D296" s="15">
        <v>140283.19</v>
      </c>
      <c r="E296" s="16">
        <v>0</v>
      </c>
      <c r="F296" s="15">
        <v>0</v>
      </c>
      <c r="G296" s="16">
        <v>14708.1</v>
      </c>
      <c r="H296" s="15">
        <v>332.2</v>
      </c>
      <c r="I296" s="16">
        <v>0</v>
      </c>
      <c r="J296" s="15">
        <v>45887.41</v>
      </c>
      <c r="K296" s="17">
        <v>1348</v>
      </c>
      <c r="L296" s="16">
        <v>85284.6</v>
      </c>
      <c r="M296" s="3">
        <f t="shared" si="12"/>
        <v>1436736.39</v>
      </c>
      <c r="N296" s="15">
        <v>37386.25</v>
      </c>
      <c r="O296" s="16">
        <v>18760.7</v>
      </c>
      <c r="P296" s="15">
        <v>7679.4</v>
      </c>
      <c r="Q296" s="16">
        <v>5033.01</v>
      </c>
      <c r="R296" s="15">
        <v>9066.6</v>
      </c>
      <c r="S296" s="16">
        <v>0</v>
      </c>
      <c r="T296" s="15">
        <v>300</v>
      </c>
      <c r="U296" s="16">
        <v>3900</v>
      </c>
      <c r="V296" s="15">
        <v>0</v>
      </c>
      <c r="W296" s="16">
        <v>0</v>
      </c>
      <c r="X296" s="2">
        <f t="shared" si="13"/>
        <v>1518862.3499999999</v>
      </c>
      <c r="Y296" s="18">
        <v>37128</v>
      </c>
      <c r="Z296" s="25"/>
      <c r="AA296" s="18">
        <v>92837.7</v>
      </c>
      <c r="AB296" s="25"/>
      <c r="AC296" s="18">
        <v>36188.1</v>
      </c>
      <c r="AD296" s="25">
        <v>29148</v>
      </c>
      <c r="AE296" s="18"/>
      <c r="AF296" s="25"/>
      <c r="AG296" s="18"/>
      <c r="AH296" s="25">
        <v>23521.95</v>
      </c>
      <c r="AI296" s="18"/>
      <c r="AJ296" s="25"/>
      <c r="AK296" s="18"/>
      <c r="AL296" s="68">
        <f t="shared" si="14"/>
        <v>218823.75</v>
      </c>
      <c r="AM296" s="33">
        <v>66</v>
      </c>
      <c r="AN296" s="34">
        <v>590</v>
      </c>
      <c r="AO296" s="16">
        <v>-14703.64</v>
      </c>
      <c r="AP296" s="25"/>
      <c r="AQ296" s="16">
        <v>-12.71</v>
      </c>
      <c r="AR296" s="64">
        <v>1</v>
      </c>
      <c r="AS296" s="35"/>
      <c r="AT296" s="35"/>
      <c r="AU296" s="40"/>
      <c r="AV296" s="40"/>
      <c r="AW296" s="41"/>
      <c r="AX296" s="23"/>
      <c r="AZ296" s="40"/>
      <c r="BA296" s="40"/>
      <c r="BB296" s="41"/>
      <c r="BC296" s="42"/>
      <c r="BD296" s="42"/>
      <c r="BE296" s="42"/>
      <c r="BF296" s="42"/>
      <c r="BG296" s="42"/>
      <c r="BI296" s="38"/>
      <c r="BJ296" s="39"/>
      <c r="BK296" s="38"/>
      <c r="BL296" s="38"/>
      <c r="BM296" s="38"/>
    </row>
    <row r="297" spans="1:65" x14ac:dyDescent="0.25">
      <c r="A297" s="13">
        <v>5905</v>
      </c>
      <c r="B297" s="14" t="s">
        <v>66</v>
      </c>
      <c r="C297" s="16">
        <v>1038063.92</v>
      </c>
      <c r="D297" s="15">
        <v>134001.65</v>
      </c>
      <c r="E297" s="16">
        <v>0</v>
      </c>
      <c r="F297" s="15">
        <v>0</v>
      </c>
      <c r="G297" s="16">
        <v>174530</v>
      </c>
      <c r="H297" s="15">
        <v>3610.55</v>
      </c>
      <c r="I297" s="16">
        <v>0</v>
      </c>
      <c r="J297" s="15">
        <v>17766.560000000001</v>
      </c>
      <c r="K297" s="17">
        <v>3135.3</v>
      </c>
      <c r="L297" s="16">
        <v>83220.649999999994</v>
      </c>
      <c r="M297" s="3">
        <f t="shared" si="12"/>
        <v>1454328.6300000001</v>
      </c>
      <c r="N297" s="15">
        <v>87676.25</v>
      </c>
      <c r="O297" s="16">
        <v>2447.4</v>
      </c>
      <c r="P297" s="15">
        <v>30529.3</v>
      </c>
      <c r="Q297" s="16">
        <v>0</v>
      </c>
      <c r="R297" s="15">
        <v>35319.599999999999</v>
      </c>
      <c r="S297" s="16">
        <v>0</v>
      </c>
      <c r="T297" s="15">
        <v>0</v>
      </c>
      <c r="U297" s="16">
        <v>0</v>
      </c>
      <c r="V297" s="15">
        <v>0</v>
      </c>
      <c r="W297" s="16">
        <v>0</v>
      </c>
      <c r="X297" s="2">
        <f t="shared" si="13"/>
        <v>1610301.1800000002</v>
      </c>
      <c r="Y297" s="18">
        <v>34232</v>
      </c>
      <c r="Z297" s="25"/>
      <c r="AA297" s="18">
        <v>87072</v>
      </c>
      <c r="AB297" s="25"/>
      <c r="AC297" s="18">
        <v>16529</v>
      </c>
      <c r="AD297" s="25">
        <v>33986</v>
      </c>
      <c r="AE297" s="18"/>
      <c r="AF297" s="25"/>
      <c r="AG297" s="18"/>
      <c r="AH297" s="25"/>
      <c r="AI297" s="18"/>
      <c r="AJ297" s="25"/>
      <c r="AK297" s="18"/>
      <c r="AL297" s="68">
        <f t="shared" si="14"/>
        <v>171819</v>
      </c>
      <c r="AM297" s="33">
        <v>71</v>
      </c>
      <c r="AN297" s="34">
        <v>600</v>
      </c>
      <c r="AO297" s="16">
        <v>-11912.58</v>
      </c>
      <c r="AP297" s="25"/>
      <c r="AQ297" s="16">
        <v>-0.19</v>
      </c>
      <c r="AR297" s="64">
        <v>1</v>
      </c>
      <c r="AS297" s="35"/>
      <c r="AT297" s="35"/>
      <c r="AU297" s="40"/>
      <c r="AV297" s="40"/>
      <c r="AW297" s="41"/>
      <c r="AX297" s="23"/>
      <c r="AZ297" s="40"/>
      <c r="BA297" s="40"/>
      <c r="BB297" s="41"/>
      <c r="BC297" s="42"/>
      <c r="BD297" s="42"/>
      <c r="BE297" s="42"/>
      <c r="BF297" s="42"/>
      <c r="BG297" s="42"/>
      <c r="BI297" s="38"/>
      <c r="BJ297" s="39"/>
      <c r="BK297" s="38"/>
      <c r="BL297" s="38"/>
      <c r="BM297" s="38"/>
    </row>
    <row r="298" spans="1:65" x14ac:dyDescent="0.25">
      <c r="A298" s="13">
        <v>5907</v>
      </c>
      <c r="B298" s="14" t="s">
        <v>67</v>
      </c>
      <c r="C298" s="16">
        <v>446798.55</v>
      </c>
      <c r="D298" s="15">
        <v>53271.28</v>
      </c>
      <c r="E298" s="16">
        <v>0</v>
      </c>
      <c r="F298" s="15">
        <v>1620</v>
      </c>
      <c r="G298" s="16">
        <v>616.9</v>
      </c>
      <c r="H298" s="15">
        <v>62.55</v>
      </c>
      <c r="I298" s="16">
        <v>0</v>
      </c>
      <c r="J298" s="15">
        <v>3506.12</v>
      </c>
      <c r="K298" s="17">
        <v>134</v>
      </c>
      <c r="L298" s="16">
        <v>34130.199999999997</v>
      </c>
      <c r="M298" s="3">
        <f t="shared" si="12"/>
        <v>540139.6</v>
      </c>
      <c r="N298" s="15">
        <v>3609.65</v>
      </c>
      <c r="O298" s="16">
        <v>4047</v>
      </c>
      <c r="P298" s="15">
        <v>10595.6</v>
      </c>
      <c r="Q298" s="16">
        <v>1206.96</v>
      </c>
      <c r="R298" s="15">
        <v>4714.45</v>
      </c>
      <c r="S298" s="16">
        <v>0</v>
      </c>
      <c r="T298" s="15">
        <v>900</v>
      </c>
      <c r="U298" s="16">
        <v>1890</v>
      </c>
      <c r="V298" s="15">
        <v>0</v>
      </c>
      <c r="W298" s="16">
        <v>0</v>
      </c>
      <c r="X298" s="2">
        <f t="shared" si="13"/>
        <v>567103.25999999989</v>
      </c>
      <c r="Y298" s="18"/>
      <c r="Z298" s="25">
        <v>16000</v>
      </c>
      <c r="AA298" s="18">
        <v>6350.7</v>
      </c>
      <c r="AB298" s="25"/>
      <c r="AC298" s="18">
        <v>11734.2</v>
      </c>
      <c r="AD298" s="25">
        <v>6450.7</v>
      </c>
      <c r="AE298" s="18"/>
      <c r="AF298" s="25"/>
      <c r="AG298" s="18"/>
      <c r="AH298" s="25"/>
      <c r="AI298" s="18"/>
      <c r="AJ298" s="25"/>
      <c r="AK298" s="18"/>
      <c r="AL298" s="68">
        <f t="shared" si="14"/>
        <v>40535.599999999999</v>
      </c>
      <c r="AM298" s="33">
        <v>78</v>
      </c>
      <c r="AN298" s="34">
        <v>274</v>
      </c>
      <c r="AO298" s="16">
        <v>-13244.3</v>
      </c>
      <c r="AP298" s="25"/>
      <c r="AQ298" s="16">
        <v>0</v>
      </c>
      <c r="AR298" s="64">
        <v>1</v>
      </c>
      <c r="AS298" s="35"/>
      <c r="AT298" s="35"/>
      <c r="AU298" s="40"/>
      <c r="AV298" s="40"/>
      <c r="AW298" s="41"/>
      <c r="AX298" s="23"/>
      <c r="AZ298" s="40"/>
      <c r="BA298" s="40"/>
      <c r="BB298" s="41"/>
      <c r="BC298" s="42"/>
      <c r="BD298" s="42"/>
      <c r="BE298" s="42"/>
      <c r="BF298" s="42"/>
      <c r="BG298" s="42"/>
      <c r="BI298" s="38"/>
      <c r="BJ298" s="39"/>
      <c r="BK298" s="38"/>
      <c r="BL298" s="38"/>
      <c r="BM298" s="38"/>
    </row>
    <row r="299" spans="1:65" x14ac:dyDescent="0.25">
      <c r="A299" s="13">
        <v>5908</v>
      </c>
      <c r="B299" s="14" t="s">
        <v>68</v>
      </c>
      <c r="C299" s="16">
        <v>186774.26</v>
      </c>
      <c r="D299" s="15">
        <v>53449.26</v>
      </c>
      <c r="E299" s="16">
        <v>0</v>
      </c>
      <c r="F299" s="15">
        <v>0</v>
      </c>
      <c r="G299" s="16">
        <v>-12071.35</v>
      </c>
      <c r="H299" s="15">
        <v>14.5</v>
      </c>
      <c r="I299" s="16">
        <v>0</v>
      </c>
      <c r="J299" s="15">
        <v>1687.53</v>
      </c>
      <c r="K299" s="17">
        <v>49.5</v>
      </c>
      <c r="L299" s="16">
        <v>15356.5</v>
      </c>
      <c r="M299" s="3">
        <f t="shared" si="12"/>
        <v>245260.2</v>
      </c>
      <c r="N299" s="15">
        <v>0</v>
      </c>
      <c r="O299" s="16">
        <v>5895</v>
      </c>
      <c r="P299" s="15">
        <v>8470</v>
      </c>
      <c r="Q299" s="16">
        <v>24848</v>
      </c>
      <c r="R299" s="15">
        <v>21170.15</v>
      </c>
      <c r="S299" s="16">
        <v>0</v>
      </c>
      <c r="T299" s="15">
        <v>0</v>
      </c>
      <c r="U299" s="16">
        <v>990</v>
      </c>
      <c r="V299" s="15">
        <v>0</v>
      </c>
      <c r="W299" s="16">
        <v>0</v>
      </c>
      <c r="X299" s="2">
        <f t="shared" si="13"/>
        <v>306633.35000000003</v>
      </c>
      <c r="Y299" s="18">
        <v>2500</v>
      </c>
      <c r="Z299" s="25"/>
      <c r="AA299" s="18">
        <v>34450</v>
      </c>
      <c r="AB299" s="25"/>
      <c r="AC299" s="18">
        <v>4855</v>
      </c>
      <c r="AD299" s="25">
        <v>1410</v>
      </c>
      <c r="AE299" s="18"/>
      <c r="AF299" s="25"/>
      <c r="AG299" s="18"/>
      <c r="AH299" s="25"/>
      <c r="AI299" s="18"/>
      <c r="AJ299" s="25"/>
      <c r="AK299" s="18"/>
      <c r="AL299" s="68">
        <f t="shared" si="14"/>
        <v>43215</v>
      </c>
      <c r="AM299" s="33">
        <v>79</v>
      </c>
      <c r="AN299" s="34">
        <v>132</v>
      </c>
      <c r="AO299" s="16">
        <v>-7302.49</v>
      </c>
      <c r="AP299" s="25"/>
      <c r="AQ299" s="16">
        <v>-8.6999999999999993</v>
      </c>
      <c r="AR299" s="64">
        <v>1</v>
      </c>
      <c r="AS299" s="35"/>
      <c r="AT299" s="35"/>
      <c r="AU299" s="40"/>
      <c r="AV299" s="40"/>
      <c r="AW299" s="41"/>
      <c r="AX299" s="23"/>
      <c r="AZ299" s="40"/>
      <c r="BA299" s="40"/>
      <c r="BB299" s="41"/>
      <c r="BC299" s="42"/>
      <c r="BD299" s="42"/>
      <c r="BE299" s="42"/>
      <c r="BF299" s="42"/>
      <c r="BG299" s="42"/>
      <c r="BI299" s="38"/>
      <c r="BJ299" s="39"/>
      <c r="BK299" s="38"/>
      <c r="BL299" s="38"/>
      <c r="BM299" s="38"/>
    </row>
    <row r="300" spans="1:65" x14ac:dyDescent="0.25">
      <c r="A300" s="13">
        <v>5909</v>
      </c>
      <c r="B300" s="14" t="s">
        <v>69</v>
      </c>
      <c r="C300" s="16">
        <v>1539106.22</v>
      </c>
      <c r="D300" s="15">
        <v>272608.56</v>
      </c>
      <c r="E300" s="16">
        <v>0</v>
      </c>
      <c r="F300" s="15">
        <v>0</v>
      </c>
      <c r="G300" s="16">
        <v>13032.05</v>
      </c>
      <c r="H300" s="15">
        <v>1127.05</v>
      </c>
      <c r="I300" s="16">
        <v>0</v>
      </c>
      <c r="J300" s="15">
        <v>1446.23</v>
      </c>
      <c r="K300" s="17">
        <v>1124.5</v>
      </c>
      <c r="L300" s="16">
        <v>136411.9</v>
      </c>
      <c r="M300" s="3">
        <f t="shared" si="12"/>
        <v>1964856.51</v>
      </c>
      <c r="N300" s="15">
        <v>8210.9</v>
      </c>
      <c r="O300" s="16">
        <v>136355.6</v>
      </c>
      <c r="P300" s="15">
        <v>75801.7</v>
      </c>
      <c r="Q300" s="16">
        <v>0</v>
      </c>
      <c r="R300" s="15">
        <v>117165.1</v>
      </c>
      <c r="S300" s="16">
        <v>0</v>
      </c>
      <c r="T300" s="15">
        <v>0</v>
      </c>
      <c r="U300" s="16">
        <v>880</v>
      </c>
      <c r="V300" s="15">
        <v>2000</v>
      </c>
      <c r="W300" s="16">
        <v>0</v>
      </c>
      <c r="X300" s="2">
        <f t="shared" si="13"/>
        <v>2305269.81</v>
      </c>
      <c r="Y300" s="18">
        <v>12053.25</v>
      </c>
      <c r="Z300" s="25"/>
      <c r="AA300" s="18">
        <v>51260.88</v>
      </c>
      <c r="AB300" s="25"/>
      <c r="AC300" s="18">
        <v>41181.1</v>
      </c>
      <c r="AD300" s="25">
        <v>33802.870000000003</v>
      </c>
      <c r="AE300" s="18"/>
      <c r="AF300" s="25"/>
      <c r="AG300" s="18">
        <v>63046.6</v>
      </c>
      <c r="AH300" s="25"/>
      <c r="AI300" s="18"/>
      <c r="AJ300" s="25"/>
      <c r="AK300" s="18"/>
      <c r="AL300" s="68">
        <f t="shared" si="14"/>
        <v>201344.7</v>
      </c>
      <c r="AM300" s="33">
        <v>64</v>
      </c>
      <c r="AN300" s="34">
        <v>663</v>
      </c>
      <c r="AO300" s="16">
        <v>-308.01</v>
      </c>
      <c r="AP300" s="25">
        <v>-1489.9</v>
      </c>
      <c r="AQ300" s="16">
        <v>-94.05</v>
      </c>
      <c r="AR300" s="64">
        <v>1</v>
      </c>
      <c r="AS300" s="35"/>
      <c r="AT300" s="35"/>
      <c r="AU300" s="40"/>
      <c r="AV300" s="40"/>
      <c r="AW300" s="41"/>
      <c r="AX300" s="23"/>
      <c r="AZ300" s="40"/>
      <c r="BA300" s="40"/>
      <c r="BB300" s="41"/>
      <c r="BC300" s="42"/>
      <c r="BD300" s="42"/>
      <c r="BE300" s="42"/>
      <c r="BF300" s="42"/>
      <c r="BG300" s="42"/>
      <c r="BI300" s="38"/>
      <c r="BJ300" s="39"/>
      <c r="BK300" s="38"/>
      <c r="BL300" s="38"/>
      <c r="BM300" s="38"/>
    </row>
    <row r="301" spans="1:65" x14ac:dyDescent="0.25">
      <c r="A301" s="13">
        <v>5910</v>
      </c>
      <c r="B301" s="14" t="s">
        <v>70</v>
      </c>
      <c r="C301" s="16">
        <v>646178.80000000005</v>
      </c>
      <c r="D301" s="15">
        <v>56448.24</v>
      </c>
      <c r="E301" s="16">
        <v>0</v>
      </c>
      <c r="F301" s="15">
        <v>2060</v>
      </c>
      <c r="G301" s="16">
        <v>4556.3</v>
      </c>
      <c r="H301" s="15">
        <v>49.55</v>
      </c>
      <c r="I301" s="16">
        <v>0</v>
      </c>
      <c r="J301" s="15">
        <v>3809.96</v>
      </c>
      <c r="K301" s="17">
        <v>0</v>
      </c>
      <c r="L301" s="16">
        <v>42926</v>
      </c>
      <c r="M301" s="3">
        <f t="shared" si="12"/>
        <v>756028.85000000009</v>
      </c>
      <c r="N301" s="15">
        <v>0</v>
      </c>
      <c r="O301" s="16">
        <v>6325.8</v>
      </c>
      <c r="P301" s="15">
        <v>12877.3</v>
      </c>
      <c r="Q301" s="16">
        <v>0</v>
      </c>
      <c r="R301" s="15">
        <v>24406.799999999999</v>
      </c>
      <c r="S301" s="16">
        <v>0</v>
      </c>
      <c r="T301" s="15">
        <v>410</v>
      </c>
      <c r="U301" s="16">
        <v>3681</v>
      </c>
      <c r="V301" s="15">
        <v>0</v>
      </c>
      <c r="W301" s="16">
        <v>0</v>
      </c>
      <c r="X301" s="2">
        <f t="shared" si="13"/>
        <v>803729.75000000023</v>
      </c>
      <c r="Y301" s="18"/>
      <c r="Z301" s="25"/>
      <c r="AA301" s="18">
        <v>23174</v>
      </c>
      <c r="AB301" s="25"/>
      <c r="AC301" s="18">
        <v>20520</v>
      </c>
      <c r="AD301" s="25"/>
      <c r="AE301" s="18"/>
      <c r="AF301" s="25"/>
      <c r="AG301" s="18"/>
      <c r="AH301" s="25"/>
      <c r="AI301" s="18"/>
      <c r="AJ301" s="25"/>
      <c r="AK301" s="18"/>
      <c r="AL301" s="68">
        <f t="shared" si="14"/>
        <v>43694</v>
      </c>
      <c r="AM301" s="33">
        <v>81</v>
      </c>
      <c r="AN301" s="34">
        <v>352</v>
      </c>
      <c r="AO301" s="16">
        <v>-3320</v>
      </c>
      <c r="AP301" s="25"/>
      <c r="AQ301" s="16">
        <v>0</v>
      </c>
      <c r="AR301" s="64">
        <v>1</v>
      </c>
      <c r="AS301" s="35"/>
      <c r="AT301" s="35"/>
      <c r="AU301" s="40"/>
      <c r="AV301" s="40"/>
      <c r="AW301" s="41"/>
      <c r="AX301" s="23"/>
      <c r="AZ301" s="40"/>
      <c r="BA301" s="40"/>
      <c r="BB301" s="41"/>
      <c r="BC301" s="42"/>
      <c r="BD301" s="42"/>
      <c r="BE301" s="42"/>
      <c r="BF301" s="42"/>
      <c r="BG301" s="42"/>
      <c r="BI301" s="38"/>
      <c r="BJ301" s="39"/>
      <c r="BK301" s="38"/>
      <c r="BL301" s="38"/>
      <c r="BM301" s="38"/>
    </row>
    <row r="302" spans="1:65" x14ac:dyDescent="0.25">
      <c r="A302" s="13">
        <v>5911</v>
      </c>
      <c r="B302" s="14" t="s">
        <v>71</v>
      </c>
      <c r="C302" s="16">
        <v>476948.66</v>
      </c>
      <c r="D302" s="15">
        <v>50747.18</v>
      </c>
      <c r="E302" s="16">
        <v>0</v>
      </c>
      <c r="F302" s="15">
        <v>1260</v>
      </c>
      <c r="G302" s="16">
        <v>679.65</v>
      </c>
      <c r="H302" s="15">
        <v>117.2</v>
      </c>
      <c r="I302" s="16">
        <v>0</v>
      </c>
      <c r="J302" s="15">
        <v>705.24</v>
      </c>
      <c r="K302" s="17">
        <v>348</v>
      </c>
      <c r="L302" s="16">
        <v>21322</v>
      </c>
      <c r="M302" s="3">
        <f t="shared" si="12"/>
        <v>552127.92999999993</v>
      </c>
      <c r="N302" s="15">
        <v>0</v>
      </c>
      <c r="O302" s="16" t="s">
        <v>512</v>
      </c>
      <c r="P302" s="15">
        <v>7950.45</v>
      </c>
      <c r="Q302" s="16">
        <v>0</v>
      </c>
      <c r="R302" s="15">
        <v>14223.05</v>
      </c>
      <c r="S302" s="16">
        <v>0</v>
      </c>
      <c r="T302" s="15">
        <v>0</v>
      </c>
      <c r="U302" s="16">
        <v>800</v>
      </c>
      <c r="V302" s="15">
        <v>0</v>
      </c>
      <c r="W302" s="16">
        <v>0</v>
      </c>
      <c r="X302" s="2">
        <f t="shared" si="13"/>
        <v>575101.42999999993</v>
      </c>
      <c r="Y302" s="18">
        <v>14173</v>
      </c>
      <c r="Z302" s="25"/>
      <c r="AA302" s="18">
        <v>30861</v>
      </c>
      <c r="AB302" s="25"/>
      <c r="AC302" s="18">
        <v>13234</v>
      </c>
      <c r="AD302" s="25"/>
      <c r="AE302" s="18"/>
      <c r="AF302" s="25"/>
      <c r="AG302" s="18"/>
      <c r="AH302" s="25"/>
      <c r="AI302" s="18"/>
      <c r="AJ302" s="25"/>
      <c r="AK302" s="18"/>
      <c r="AL302" s="68">
        <f t="shared" si="14"/>
        <v>58268</v>
      </c>
      <c r="AM302" s="33">
        <v>81</v>
      </c>
      <c r="AN302" s="34">
        <v>204</v>
      </c>
      <c r="AO302" s="16">
        <v>-83.66</v>
      </c>
      <c r="AP302" s="25"/>
      <c r="AQ302" s="16">
        <v>0</v>
      </c>
      <c r="AR302" s="64">
        <v>1</v>
      </c>
      <c r="AS302" s="35"/>
      <c r="AT302" s="35"/>
      <c r="AU302" s="40"/>
      <c r="AV302" s="40"/>
      <c r="AW302" s="41"/>
      <c r="AX302" s="23"/>
      <c r="AZ302" s="40"/>
      <c r="BA302" s="40"/>
      <c r="BB302" s="41"/>
      <c r="BC302" s="42"/>
      <c r="BD302" s="42"/>
      <c r="BE302" s="42"/>
      <c r="BF302" s="42"/>
      <c r="BG302" s="42"/>
      <c r="BI302" s="38"/>
      <c r="BJ302" s="39"/>
      <c r="BK302" s="38"/>
      <c r="BL302" s="38"/>
      <c r="BM302" s="38"/>
    </row>
    <row r="303" spans="1:65" x14ac:dyDescent="0.25">
      <c r="A303" s="13">
        <v>5912</v>
      </c>
      <c r="B303" s="14" t="s">
        <v>72</v>
      </c>
      <c r="C303" s="16">
        <v>224082.52</v>
      </c>
      <c r="D303" s="15">
        <v>15952.49</v>
      </c>
      <c r="E303" s="16">
        <v>0</v>
      </c>
      <c r="F303" s="15">
        <v>810</v>
      </c>
      <c r="G303" s="16">
        <v>1962.6</v>
      </c>
      <c r="H303" s="15">
        <v>2.5499999999999998</v>
      </c>
      <c r="I303" s="16">
        <v>0</v>
      </c>
      <c r="J303" s="15">
        <v>765.15</v>
      </c>
      <c r="K303" s="17">
        <v>0</v>
      </c>
      <c r="L303" s="16">
        <v>14015.6</v>
      </c>
      <c r="M303" s="3">
        <f t="shared" si="12"/>
        <v>257590.90999999997</v>
      </c>
      <c r="N303" s="15">
        <v>0</v>
      </c>
      <c r="O303" s="16" t="s">
        <v>512</v>
      </c>
      <c r="P303" s="15" t="s">
        <v>512</v>
      </c>
      <c r="Q303" s="16">
        <v>0</v>
      </c>
      <c r="R303" s="15">
        <v>-514.6</v>
      </c>
      <c r="S303" s="16">
        <v>0</v>
      </c>
      <c r="T303" s="15">
        <v>0</v>
      </c>
      <c r="U303" s="16">
        <v>1100</v>
      </c>
      <c r="V303" s="15">
        <v>0</v>
      </c>
      <c r="W303" s="16">
        <v>0</v>
      </c>
      <c r="X303" s="2">
        <f t="shared" si="13"/>
        <v>258176.30999999997</v>
      </c>
      <c r="Y303" s="18">
        <v>18724</v>
      </c>
      <c r="Z303" s="25"/>
      <c r="AA303" s="18">
        <v>14031.2</v>
      </c>
      <c r="AB303" s="25"/>
      <c r="AC303" s="18">
        <v>6995.75</v>
      </c>
      <c r="AD303" s="25">
        <v>4325</v>
      </c>
      <c r="AE303" s="18"/>
      <c r="AF303" s="25"/>
      <c r="AG303" s="18"/>
      <c r="AH303" s="25"/>
      <c r="AI303" s="18"/>
      <c r="AJ303" s="25"/>
      <c r="AK303" s="18"/>
      <c r="AL303" s="68">
        <f t="shared" si="14"/>
        <v>44075.95</v>
      </c>
      <c r="AM303" s="33">
        <v>81</v>
      </c>
      <c r="AN303" s="34">
        <v>126</v>
      </c>
      <c r="AO303" s="16">
        <v>-2503.06</v>
      </c>
      <c r="AP303" s="25"/>
      <c r="AQ303" s="16">
        <v>0</v>
      </c>
      <c r="AR303" s="64">
        <v>1</v>
      </c>
      <c r="AS303" s="35"/>
      <c r="AT303" s="35"/>
      <c r="AU303" s="40"/>
      <c r="AV303" s="40"/>
      <c r="AW303" s="41"/>
      <c r="AX303" s="23"/>
      <c r="AZ303" s="40"/>
      <c r="BA303" s="40"/>
      <c r="BB303" s="41"/>
      <c r="BC303" s="42"/>
      <c r="BD303" s="42"/>
      <c r="BE303" s="42"/>
      <c r="BF303" s="42"/>
      <c r="BG303" s="42"/>
      <c r="BI303" s="38"/>
      <c r="BJ303" s="39"/>
      <c r="BK303" s="38"/>
      <c r="BL303" s="38"/>
      <c r="BM303" s="38"/>
    </row>
    <row r="304" spans="1:65" x14ac:dyDescent="0.25">
      <c r="A304" s="13">
        <v>5913</v>
      </c>
      <c r="B304" s="14" t="s">
        <v>73</v>
      </c>
      <c r="C304" s="16">
        <v>1376084.97</v>
      </c>
      <c r="D304" s="15">
        <v>203666.2</v>
      </c>
      <c r="E304" s="16">
        <v>0</v>
      </c>
      <c r="F304" s="15">
        <v>0</v>
      </c>
      <c r="G304" s="16">
        <v>19562.55</v>
      </c>
      <c r="H304" s="15">
        <v>69.150000000000006</v>
      </c>
      <c r="I304" s="16">
        <v>0</v>
      </c>
      <c r="J304" s="15">
        <v>15433.28</v>
      </c>
      <c r="K304" s="17">
        <v>-844</v>
      </c>
      <c r="L304" s="16">
        <v>90552.1</v>
      </c>
      <c r="M304" s="3">
        <f t="shared" si="12"/>
        <v>1704524.25</v>
      </c>
      <c r="N304" s="15">
        <v>7966.35</v>
      </c>
      <c r="O304" s="16">
        <v>1740.2</v>
      </c>
      <c r="P304" s="15">
        <v>51348</v>
      </c>
      <c r="Q304" s="16">
        <v>7592.69</v>
      </c>
      <c r="R304" s="15">
        <v>28204.75</v>
      </c>
      <c r="S304" s="16">
        <v>0</v>
      </c>
      <c r="T304" s="15">
        <v>350</v>
      </c>
      <c r="U304" s="16">
        <v>5106.8</v>
      </c>
      <c r="V304" s="15">
        <v>596</v>
      </c>
      <c r="W304" s="16">
        <v>0</v>
      </c>
      <c r="X304" s="2">
        <f t="shared" si="13"/>
        <v>1807429.04</v>
      </c>
      <c r="Y304" s="18">
        <v>1827</v>
      </c>
      <c r="Z304" s="25"/>
      <c r="AA304" s="18">
        <v>68248</v>
      </c>
      <c r="AB304" s="25"/>
      <c r="AC304" s="18">
        <v>33651</v>
      </c>
      <c r="AD304" s="25"/>
      <c r="AE304" s="18">
        <v>38678</v>
      </c>
      <c r="AF304" s="25"/>
      <c r="AG304" s="18"/>
      <c r="AH304" s="25">
        <v>21088.7</v>
      </c>
      <c r="AI304" s="18"/>
      <c r="AJ304" s="25"/>
      <c r="AK304" s="18"/>
      <c r="AL304" s="68">
        <f t="shared" si="14"/>
        <v>163492.70000000001</v>
      </c>
      <c r="AM304" s="33">
        <v>73</v>
      </c>
      <c r="AN304" s="34">
        <v>728</v>
      </c>
      <c r="AO304" s="16">
        <v>-19564.72</v>
      </c>
      <c r="AP304" s="25">
        <v>-2762.1</v>
      </c>
      <c r="AQ304" s="16">
        <v>-0.36</v>
      </c>
      <c r="AR304" s="64">
        <v>1</v>
      </c>
      <c r="AS304" s="35"/>
      <c r="AT304" s="35"/>
      <c r="AU304" s="40"/>
      <c r="AV304" s="40"/>
      <c r="AW304" s="41"/>
      <c r="AX304" s="23"/>
      <c r="AZ304" s="40"/>
      <c r="BA304" s="40"/>
      <c r="BB304" s="41"/>
      <c r="BC304" s="42"/>
      <c r="BD304" s="42"/>
      <c r="BE304" s="42"/>
      <c r="BF304" s="42"/>
      <c r="BG304" s="42"/>
      <c r="BI304" s="38"/>
      <c r="BJ304" s="39"/>
      <c r="BK304" s="38"/>
      <c r="BL304" s="38"/>
      <c r="BM304" s="38"/>
    </row>
    <row r="305" spans="1:65" x14ac:dyDescent="0.25">
      <c r="A305" s="13">
        <v>5914</v>
      </c>
      <c r="B305" s="14" t="s">
        <v>74</v>
      </c>
      <c r="C305" s="16">
        <v>567654.19999999995</v>
      </c>
      <c r="D305" s="15">
        <v>46870.01</v>
      </c>
      <c r="E305" s="16">
        <v>0</v>
      </c>
      <c r="F305" s="15">
        <v>2000</v>
      </c>
      <c r="G305" s="16">
        <v>3106.7</v>
      </c>
      <c r="H305" s="15">
        <v>1539.1</v>
      </c>
      <c r="I305" s="16">
        <v>0</v>
      </c>
      <c r="J305" s="15">
        <v>619.82000000000005</v>
      </c>
      <c r="K305" s="17">
        <v>4155.5</v>
      </c>
      <c r="L305" s="16">
        <v>42176.95</v>
      </c>
      <c r="M305" s="3">
        <f t="shared" si="12"/>
        <v>668122.2799999998</v>
      </c>
      <c r="N305" s="15">
        <v>0</v>
      </c>
      <c r="O305" s="16" t="s">
        <v>512</v>
      </c>
      <c r="P305" s="15">
        <v>6176.5</v>
      </c>
      <c r="Q305" s="16">
        <v>0</v>
      </c>
      <c r="R305" s="15">
        <v>3430</v>
      </c>
      <c r="S305" s="16">
        <v>0</v>
      </c>
      <c r="T305" s="15">
        <v>1756</v>
      </c>
      <c r="U305" s="16">
        <v>1320</v>
      </c>
      <c r="V305" s="15">
        <v>0</v>
      </c>
      <c r="W305" s="16">
        <v>0</v>
      </c>
      <c r="X305" s="2">
        <f t="shared" si="13"/>
        <v>680804.7799999998</v>
      </c>
      <c r="Y305" s="18">
        <v>2111.1</v>
      </c>
      <c r="Z305" s="25"/>
      <c r="AA305" s="18">
        <v>79243.850000000006</v>
      </c>
      <c r="AB305" s="25"/>
      <c r="AC305" s="18">
        <v>31325.15</v>
      </c>
      <c r="AD305" s="25">
        <v>2125</v>
      </c>
      <c r="AE305" s="18"/>
      <c r="AF305" s="25"/>
      <c r="AG305" s="18"/>
      <c r="AH305" s="25"/>
      <c r="AI305" s="18"/>
      <c r="AJ305" s="25"/>
      <c r="AK305" s="18"/>
      <c r="AL305" s="68">
        <f t="shared" si="14"/>
        <v>114805.1</v>
      </c>
      <c r="AM305" s="33">
        <v>75</v>
      </c>
      <c r="AN305" s="34">
        <v>344</v>
      </c>
      <c r="AO305" s="16">
        <v>-14265.24</v>
      </c>
      <c r="AP305" s="25"/>
      <c r="AQ305" s="16">
        <v>0</v>
      </c>
      <c r="AR305" s="64">
        <v>1</v>
      </c>
      <c r="AS305" s="35"/>
      <c r="AT305" s="35"/>
      <c r="AU305" s="40"/>
      <c r="AV305" s="40"/>
      <c r="AW305" s="41"/>
      <c r="AX305" s="23"/>
      <c r="AZ305" s="40"/>
      <c r="BA305" s="40"/>
      <c r="BB305" s="41"/>
      <c r="BC305" s="42"/>
      <c r="BD305" s="42"/>
      <c r="BE305" s="42"/>
      <c r="BF305" s="42"/>
      <c r="BG305" s="42"/>
      <c r="BI305" s="38"/>
      <c r="BJ305" s="39"/>
      <c r="BK305" s="38"/>
      <c r="BL305" s="38"/>
      <c r="BM305" s="38"/>
    </row>
    <row r="306" spans="1:65" x14ac:dyDescent="0.25">
      <c r="A306" s="13">
        <v>5915</v>
      </c>
      <c r="B306" s="14" t="s">
        <v>75</v>
      </c>
      <c r="C306" s="16">
        <v>224541.95</v>
      </c>
      <c r="D306" s="15">
        <v>27443</v>
      </c>
      <c r="E306" s="16">
        <v>0</v>
      </c>
      <c r="F306" s="15">
        <v>0</v>
      </c>
      <c r="G306" s="16">
        <v>4738.2</v>
      </c>
      <c r="H306" s="15">
        <v>9.25</v>
      </c>
      <c r="I306" s="16">
        <v>0</v>
      </c>
      <c r="J306" s="15">
        <v>764.8</v>
      </c>
      <c r="K306" s="17">
        <v>0</v>
      </c>
      <c r="L306" s="16">
        <v>16863.650000000001</v>
      </c>
      <c r="M306" s="3">
        <f t="shared" si="12"/>
        <v>274360.85000000003</v>
      </c>
      <c r="N306" s="15">
        <v>0</v>
      </c>
      <c r="O306" s="16">
        <v>6463.2</v>
      </c>
      <c r="P306" s="15">
        <v>9614</v>
      </c>
      <c r="Q306" s="16">
        <v>0</v>
      </c>
      <c r="R306" s="15">
        <v>10957.05</v>
      </c>
      <c r="S306" s="16">
        <v>0</v>
      </c>
      <c r="T306" s="15">
        <v>0</v>
      </c>
      <c r="U306" s="16">
        <v>2150</v>
      </c>
      <c r="V306" s="15">
        <v>0</v>
      </c>
      <c r="W306" s="16">
        <v>0</v>
      </c>
      <c r="X306" s="2">
        <f t="shared" si="13"/>
        <v>303545.10000000003</v>
      </c>
      <c r="Y306" s="18"/>
      <c r="Z306" s="25"/>
      <c r="AA306" s="18">
        <v>33718.5</v>
      </c>
      <c r="AB306" s="25"/>
      <c r="AC306" s="18">
        <v>3200.5</v>
      </c>
      <c r="AD306" s="25"/>
      <c r="AE306" s="18"/>
      <c r="AF306" s="25"/>
      <c r="AG306" s="18"/>
      <c r="AH306" s="25"/>
      <c r="AI306" s="18"/>
      <c r="AJ306" s="25"/>
      <c r="AK306" s="18"/>
      <c r="AL306" s="68">
        <f t="shared" si="14"/>
        <v>36919</v>
      </c>
      <c r="AM306" s="33">
        <v>75</v>
      </c>
      <c r="AN306" s="34">
        <v>151</v>
      </c>
      <c r="AO306" s="16">
        <v>-17142.52</v>
      </c>
      <c r="AP306" s="25"/>
      <c r="AQ306" s="16">
        <v>-11.64</v>
      </c>
      <c r="AR306" s="64">
        <v>0.85</v>
      </c>
      <c r="AS306" s="35"/>
      <c r="AT306" s="35"/>
      <c r="AU306" s="40"/>
      <c r="AV306" s="40"/>
      <c r="AW306" s="41"/>
      <c r="AX306" s="23"/>
      <c r="AZ306" s="40"/>
      <c r="BA306" s="40"/>
      <c r="BB306" s="41"/>
      <c r="BC306" s="42"/>
      <c r="BD306" s="42"/>
      <c r="BE306" s="42"/>
      <c r="BF306" s="42"/>
      <c r="BG306" s="42"/>
      <c r="BI306" s="38"/>
      <c r="BJ306" s="39"/>
      <c r="BK306" s="38"/>
      <c r="BL306" s="38"/>
      <c r="BM306" s="38"/>
    </row>
    <row r="307" spans="1:65" x14ac:dyDescent="0.25">
      <c r="A307" s="13">
        <v>5919</v>
      </c>
      <c r="B307" s="14" t="s">
        <v>446</v>
      </c>
      <c r="C307" s="16">
        <v>793136.48</v>
      </c>
      <c r="D307" s="15">
        <v>119302.6</v>
      </c>
      <c r="E307" s="16">
        <v>0</v>
      </c>
      <c r="F307" s="15">
        <v>3100</v>
      </c>
      <c r="G307" s="16">
        <v>70400.399999999994</v>
      </c>
      <c r="H307" s="15">
        <v>87.15</v>
      </c>
      <c r="I307" s="16">
        <v>0</v>
      </c>
      <c r="J307" s="15">
        <v>21843.49</v>
      </c>
      <c r="K307" s="17">
        <v>1542</v>
      </c>
      <c r="L307" s="16">
        <v>98915.25</v>
      </c>
      <c r="M307" s="3">
        <f t="shared" si="12"/>
        <v>1108327.3700000001</v>
      </c>
      <c r="N307" s="15">
        <v>10074.6</v>
      </c>
      <c r="O307" s="16">
        <v>86072.9</v>
      </c>
      <c r="P307" s="15">
        <v>11204.9</v>
      </c>
      <c r="Q307" s="16">
        <v>0</v>
      </c>
      <c r="R307" s="15">
        <v>11415.85</v>
      </c>
      <c r="S307" s="16">
        <v>162.5</v>
      </c>
      <c r="T307" s="15">
        <v>1480</v>
      </c>
      <c r="U307" s="16">
        <v>3850</v>
      </c>
      <c r="V307" s="15">
        <v>0</v>
      </c>
      <c r="W307" s="16">
        <v>0</v>
      </c>
      <c r="X307" s="2">
        <f t="shared" si="13"/>
        <v>1232588.1200000001</v>
      </c>
      <c r="Y307" s="18">
        <v>32200</v>
      </c>
      <c r="Z307" s="25"/>
      <c r="AA307" s="18">
        <v>92231.9</v>
      </c>
      <c r="AB307" s="25"/>
      <c r="AC307" s="18">
        <v>42058.35</v>
      </c>
      <c r="AD307" s="25">
        <v>8085</v>
      </c>
      <c r="AE307" s="18"/>
      <c r="AF307" s="25"/>
      <c r="AG307" s="18"/>
      <c r="AH307" s="25"/>
      <c r="AI307" s="18"/>
      <c r="AJ307" s="25"/>
      <c r="AK307" s="18"/>
      <c r="AL307" s="68">
        <f t="shared" si="14"/>
        <v>174575.25</v>
      </c>
      <c r="AM307" s="33">
        <v>74</v>
      </c>
      <c r="AN307" s="34">
        <v>552</v>
      </c>
      <c r="AO307" s="16">
        <v>-4576.8500000000004</v>
      </c>
      <c r="AP307" s="25"/>
      <c r="AQ307" s="16">
        <v>-98.44</v>
      </c>
      <c r="AR307" s="64">
        <v>1.2</v>
      </c>
      <c r="AS307" s="35"/>
      <c r="AT307" s="35"/>
      <c r="AU307" s="40"/>
      <c r="AV307" s="40"/>
      <c r="AW307" s="41"/>
      <c r="AX307" s="23"/>
      <c r="AZ307" s="40"/>
      <c r="BA307" s="40"/>
      <c r="BB307" s="41"/>
      <c r="BC307" s="42"/>
      <c r="BD307" s="42"/>
      <c r="BE307" s="42"/>
      <c r="BF307" s="42"/>
      <c r="BG307" s="42"/>
      <c r="BI307" s="38"/>
      <c r="BJ307" s="39"/>
      <c r="BK307" s="38"/>
      <c r="BL307" s="38"/>
      <c r="BM307" s="38"/>
    </row>
    <row r="308" spans="1:65" x14ac:dyDescent="0.25">
      <c r="A308" s="13">
        <v>5921</v>
      </c>
      <c r="B308" s="14" t="s">
        <v>447</v>
      </c>
      <c r="C308" s="16">
        <v>267450.67</v>
      </c>
      <c r="D308" s="15">
        <v>40524.629999999997</v>
      </c>
      <c r="E308" s="16">
        <v>0</v>
      </c>
      <c r="F308" s="15">
        <v>1340</v>
      </c>
      <c r="G308" s="16">
        <v>26479.9</v>
      </c>
      <c r="H308" s="15">
        <v>440.35</v>
      </c>
      <c r="I308" s="16">
        <v>0</v>
      </c>
      <c r="J308" s="15">
        <v>28918.53</v>
      </c>
      <c r="K308" s="17">
        <v>0</v>
      </c>
      <c r="L308" s="16">
        <v>24950.55</v>
      </c>
      <c r="M308" s="3">
        <f t="shared" si="12"/>
        <v>390104.62999999995</v>
      </c>
      <c r="N308" s="15">
        <v>3436.8</v>
      </c>
      <c r="O308" s="16" t="s">
        <v>512</v>
      </c>
      <c r="P308" s="15" t="s">
        <v>512</v>
      </c>
      <c r="Q308" s="16">
        <v>273.88</v>
      </c>
      <c r="R308" s="15" t="s">
        <v>512</v>
      </c>
      <c r="S308" s="16">
        <v>0</v>
      </c>
      <c r="T308" s="15">
        <v>450</v>
      </c>
      <c r="U308" s="16">
        <v>1440</v>
      </c>
      <c r="V308" s="15">
        <v>336</v>
      </c>
      <c r="W308" s="16">
        <v>0</v>
      </c>
      <c r="X308" s="2">
        <f t="shared" si="13"/>
        <v>396041.30999999994</v>
      </c>
      <c r="Y308" s="18">
        <v>1760</v>
      </c>
      <c r="Z308" s="25"/>
      <c r="AA308" s="18">
        <v>37580</v>
      </c>
      <c r="AB308" s="25"/>
      <c r="AC308" s="18">
        <v>8840</v>
      </c>
      <c r="AD308" s="25"/>
      <c r="AE308" s="18"/>
      <c r="AF308" s="25"/>
      <c r="AG308" s="18"/>
      <c r="AH308" s="25"/>
      <c r="AI308" s="18"/>
      <c r="AJ308" s="25"/>
      <c r="AK308" s="18"/>
      <c r="AL308" s="68">
        <f t="shared" si="14"/>
        <v>48180</v>
      </c>
      <c r="AM308" s="33">
        <v>81</v>
      </c>
      <c r="AN308" s="34">
        <v>228</v>
      </c>
      <c r="AO308" s="16">
        <v>-12745.59</v>
      </c>
      <c r="AP308" s="25"/>
      <c r="AQ308" s="16">
        <v>0</v>
      </c>
      <c r="AR308" s="64">
        <v>1</v>
      </c>
      <c r="AS308" s="35"/>
      <c r="AT308" s="35"/>
      <c r="AU308" s="40"/>
      <c r="AV308" s="40"/>
      <c r="AW308" s="41"/>
      <c r="AX308" s="23"/>
      <c r="AZ308" s="40"/>
      <c r="BA308" s="40"/>
      <c r="BB308" s="41"/>
      <c r="BC308" s="42"/>
      <c r="BD308" s="42"/>
      <c r="BE308" s="42"/>
      <c r="BF308" s="42"/>
      <c r="BG308" s="42"/>
      <c r="BI308" s="38"/>
      <c r="BJ308" s="39"/>
      <c r="BK308" s="38"/>
      <c r="BL308" s="38"/>
      <c r="BM308" s="38"/>
    </row>
    <row r="309" spans="1:65" x14ac:dyDescent="0.25">
      <c r="A309" s="13">
        <v>5922</v>
      </c>
      <c r="B309" s="14" t="s">
        <v>315</v>
      </c>
      <c r="C309" s="16">
        <v>1383093.5</v>
      </c>
      <c r="D309" s="15">
        <v>179360.68</v>
      </c>
      <c r="E309" s="16">
        <v>0</v>
      </c>
      <c r="F309" s="15">
        <v>0</v>
      </c>
      <c r="G309" s="16">
        <v>808674.9</v>
      </c>
      <c r="H309" s="15">
        <v>6722.2</v>
      </c>
      <c r="I309" s="16">
        <v>37872.15</v>
      </c>
      <c r="J309" s="15">
        <v>57666.879999999997</v>
      </c>
      <c r="K309" s="17">
        <v>34929</v>
      </c>
      <c r="L309" s="16">
        <v>234230.39999999999</v>
      </c>
      <c r="M309" s="3">
        <f t="shared" si="12"/>
        <v>2742549.71</v>
      </c>
      <c r="N309" s="15">
        <v>174125.75</v>
      </c>
      <c r="O309" s="16">
        <v>58899.7</v>
      </c>
      <c r="P309" s="15">
        <v>30094.5</v>
      </c>
      <c r="Q309" s="16">
        <v>1121.44</v>
      </c>
      <c r="R309" s="15">
        <v>39410.050000000003</v>
      </c>
      <c r="S309" s="16">
        <v>282.5</v>
      </c>
      <c r="T309" s="15">
        <v>64512.1</v>
      </c>
      <c r="U309" s="16">
        <v>1520</v>
      </c>
      <c r="V309" s="15">
        <v>68.25</v>
      </c>
      <c r="W309" s="16">
        <v>1121</v>
      </c>
      <c r="X309" s="2">
        <f t="shared" si="13"/>
        <v>3113705</v>
      </c>
      <c r="Y309" s="18">
        <v>16376</v>
      </c>
      <c r="Z309" s="25"/>
      <c r="AA309" s="18">
        <v>115592.2</v>
      </c>
      <c r="AB309" s="25"/>
      <c r="AC309" s="18">
        <v>117567.95</v>
      </c>
      <c r="AD309" s="25">
        <v>15019.75</v>
      </c>
      <c r="AE309" s="18"/>
      <c r="AF309" s="25"/>
      <c r="AG309" s="18">
        <v>3778.7</v>
      </c>
      <c r="AH309" s="25">
        <v>102585.35</v>
      </c>
      <c r="AI309" s="18"/>
      <c r="AJ309" s="25"/>
      <c r="AK309" s="18"/>
      <c r="AL309" s="68">
        <f t="shared" si="14"/>
        <v>370919.95000000007</v>
      </c>
      <c r="AM309" s="33">
        <v>61</v>
      </c>
      <c r="AN309" s="34">
        <v>725</v>
      </c>
      <c r="AO309" s="16">
        <v>-11984.35</v>
      </c>
      <c r="AP309" s="25"/>
      <c r="AQ309" s="16">
        <v>-44.41</v>
      </c>
      <c r="AR309" s="64">
        <v>0.8</v>
      </c>
      <c r="AS309" s="35"/>
      <c r="AT309" s="35"/>
      <c r="AU309" s="40"/>
      <c r="AV309" s="40"/>
      <c r="AW309" s="41"/>
      <c r="AX309" s="23"/>
      <c r="AZ309" s="40"/>
      <c r="BA309" s="40"/>
      <c r="BB309" s="41"/>
      <c r="BC309" s="42"/>
      <c r="BD309" s="42"/>
      <c r="BE309" s="42"/>
      <c r="BF309" s="42"/>
      <c r="BG309" s="42"/>
      <c r="BI309" s="38"/>
      <c r="BJ309" s="39"/>
      <c r="BK309" s="38"/>
      <c r="BL309" s="38"/>
      <c r="BM309" s="38"/>
    </row>
    <row r="310" spans="1:65" x14ac:dyDescent="0.25">
      <c r="A310" s="13">
        <v>5923</v>
      </c>
      <c r="B310" s="14" t="s">
        <v>316</v>
      </c>
      <c r="C310" s="16">
        <v>278956.61</v>
      </c>
      <c r="D310" s="15">
        <v>32215.22</v>
      </c>
      <c r="E310" s="16">
        <v>0</v>
      </c>
      <c r="F310" s="15">
        <v>0</v>
      </c>
      <c r="G310" s="16">
        <v>11914.65</v>
      </c>
      <c r="H310" s="15">
        <v>140.30000000000001</v>
      </c>
      <c r="I310" s="16">
        <v>0</v>
      </c>
      <c r="J310" s="15">
        <v>17260.87</v>
      </c>
      <c r="K310" s="17">
        <v>0</v>
      </c>
      <c r="L310" s="16">
        <v>21709.4</v>
      </c>
      <c r="M310" s="3">
        <f t="shared" si="12"/>
        <v>362197.05</v>
      </c>
      <c r="N310" s="15">
        <v>10209.25</v>
      </c>
      <c r="O310" s="16">
        <v>2513.1999999999998</v>
      </c>
      <c r="P310" s="15">
        <v>2696.65</v>
      </c>
      <c r="Q310" s="16">
        <v>0</v>
      </c>
      <c r="R310" s="15">
        <v>6032.2</v>
      </c>
      <c r="S310" s="16">
        <v>0</v>
      </c>
      <c r="T310" s="15">
        <v>0</v>
      </c>
      <c r="U310" s="16">
        <v>1530</v>
      </c>
      <c r="V310" s="15">
        <v>0</v>
      </c>
      <c r="W310" s="16">
        <v>0</v>
      </c>
      <c r="X310" s="2">
        <f t="shared" si="13"/>
        <v>385178.35000000003</v>
      </c>
      <c r="Y310" s="18"/>
      <c r="Z310" s="25"/>
      <c r="AA310" s="18">
        <v>44017.5</v>
      </c>
      <c r="AB310" s="25"/>
      <c r="AC310" s="18">
        <v>11686.7</v>
      </c>
      <c r="AD310" s="25"/>
      <c r="AE310" s="18"/>
      <c r="AF310" s="25"/>
      <c r="AG310" s="18"/>
      <c r="AH310" s="25"/>
      <c r="AI310" s="18"/>
      <c r="AJ310" s="25"/>
      <c r="AK310" s="18"/>
      <c r="AL310" s="68">
        <f t="shared" si="14"/>
        <v>55704.2</v>
      </c>
      <c r="AM310" s="33">
        <v>81</v>
      </c>
      <c r="AN310" s="34">
        <v>176</v>
      </c>
      <c r="AO310" s="16">
        <v>-35.58</v>
      </c>
      <c r="AP310" s="25"/>
      <c r="AQ310" s="16">
        <v>-21.76</v>
      </c>
      <c r="AR310" s="64">
        <v>1</v>
      </c>
      <c r="AS310" s="35"/>
      <c r="AT310" s="35"/>
      <c r="AU310" s="40"/>
      <c r="AV310" s="40"/>
      <c r="AW310" s="41"/>
      <c r="AX310" s="23"/>
      <c r="AZ310" s="40"/>
      <c r="BA310" s="40"/>
      <c r="BB310" s="41"/>
      <c r="BC310" s="42"/>
      <c r="BD310" s="42"/>
      <c r="BE310" s="42"/>
      <c r="BF310" s="42"/>
      <c r="BG310" s="42"/>
      <c r="BI310" s="38"/>
      <c r="BJ310" s="39"/>
      <c r="BK310" s="38"/>
      <c r="BL310" s="38"/>
      <c r="BM310" s="38"/>
    </row>
    <row r="311" spans="1:65" x14ac:dyDescent="0.25">
      <c r="A311" s="13">
        <v>5924</v>
      </c>
      <c r="B311" s="14" t="s">
        <v>317</v>
      </c>
      <c r="C311" s="16">
        <v>460483.15</v>
      </c>
      <c r="D311" s="15">
        <v>51532.03</v>
      </c>
      <c r="E311" s="16">
        <v>0</v>
      </c>
      <c r="F311" s="15">
        <v>0</v>
      </c>
      <c r="G311" s="16">
        <v>15777.4</v>
      </c>
      <c r="H311" s="15">
        <v>351.2</v>
      </c>
      <c r="I311" s="16">
        <v>0</v>
      </c>
      <c r="J311" s="15">
        <v>14784.69</v>
      </c>
      <c r="K311" s="17">
        <v>0</v>
      </c>
      <c r="L311" s="16">
        <v>39724</v>
      </c>
      <c r="M311" s="3">
        <f t="shared" si="12"/>
        <v>582652.47</v>
      </c>
      <c r="N311" s="15">
        <v>15308.95</v>
      </c>
      <c r="O311" s="16" t="s">
        <v>512</v>
      </c>
      <c r="P311" s="15">
        <v>15994</v>
      </c>
      <c r="Q311" s="16">
        <v>156.94999999999999</v>
      </c>
      <c r="R311" s="15">
        <v>12563.85</v>
      </c>
      <c r="S311" s="16">
        <v>1190</v>
      </c>
      <c r="T311" s="15">
        <v>0</v>
      </c>
      <c r="U311" s="16">
        <v>2700</v>
      </c>
      <c r="V311" s="15">
        <v>0</v>
      </c>
      <c r="W311" s="16">
        <v>0</v>
      </c>
      <c r="X311" s="2">
        <f t="shared" si="13"/>
        <v>630566.21999999986</v>
      </c>
      <c r="Y311" s="18">
        <v>18324</v>
      </c>
      <c r="Z311" s="25">
        <v>16165.4</v>
      </c>
      <c r="AA311" s="18">
        <v>12386</v>
      </c>
      <c r="AB311" s="25">
        <v>9162</v>
      </c>
      <c r="AC311" s="18"/>
      <c r="AD311" s="25"/>
      <c r="AE311" s="18"/>
      <c r="AF311" s="25"/>
      <c r="AG311" s="18">
        <v>1988.4</v>
      </c>
      <c r="AH311" s="25"/>
      <c r="AI311" s="18"/>
      <c r="AJ311" s="25"/>
      <c r="AK311" s="18"/>
      <c r="AL311" s="68">
        <f t="shared" si="14"/>
        <v>58025.8</v>
      </c>
      <c r="AM311" s="33">
        <v>74</v>
      </c>
      <c r="AN311" s="34">
        <v>274</v>
      </c>
      <c r="AO311" s="16">
        <v>-6613.52</v>
      </c>
      <c r="AP311" s="25"/>
      <c r="AQ311" s="16">
        <v>0</v>
      </c>
      <c r="AR311" s="64">
        <v>1</v>
      </c>
      <c r="AS311" s="35"/>
      <c r="AT311" s="35"/>
      <c r="AU311" s="40"/>
      <c r="AV311" s="40"/>
      <c r="AW311" s="41"/>
      <c r="AX311" s="23"/>
      <c r="AZ311" s="40"/>
      <c r="BA311" s="40"/>
      <c r="BB311" s="41"/>
      <c r="BC311" s="42"/>
      <c r="BD311" s="42"/>
      <c r="BE311" s="42"/>
      <c r="BF311" s="42"/>
      <c r="BG311" s="42"/>
      <c r="BI311" s="38"/>
      <c r="BJ311" s="39"/>
      <c r="BK311" s="38"/>
      <c r="BL311" s="38"/>
      <c r="BM311" s="38"/>
    </row>
    <row r="312" spans="1:65" x14ac:dyDescent="0.25">
      <c r="A312" s="13">
        <v>5925</v>
      </c>
      <c r="B312" s="14" t="s">
        <v>451</v>
      </c>
      <c r="C312" s="16">
        <v>316574.3</v>
      </c>
      <c r="D312" s="15">
        <v>47178.39</v>
      </c>
      <c r="E312" s="16">
        <v>0</v>
      </c>
      <c r="F312" s="15">
        <v>1150</v>
      </c>
      <c r="G312" s="16">
        <v>9647.1</v>
      </c>
      <c r="H312" s="15">
        <v>98.5</v>
      </c>
      <c r="I312" s="16">
        <v>0</v>
      </c>
      <c r="J312" s="15">
        <v>2666.63</v>
      </c>
      <c r="K312" s="17">
        <v>0</v>
      </c>
      <c r="L312" s="16">
        <v>25671.8</v>
      </c>
      <c r="M312" s="3">
        <f t="shared" si="12"/>
        <v>402986.72</v>
      </c>
      <c r="N312" s="25">
        <v>0</v>
      </c>
      <c r="O312" s="18"/>
      <c r="P312" s="25"/>
      <c r="Q312" s="18">
        <v>0</v>
      </c>
      <c r="R312" s="25"/>
      <c r="S312" s="18">
        <v>0</v>
      </c>
      <c r="T312" s="25">
        <v>60</v>
      </c>
      <c r="U312" s="18">
        <v>1720</v>
      </c>
      <c r="V312" s="25">
        <v>0</v>
      </c>
      <c r="W312" s="18">
        <v>0</v>
      </c>
      <c r="X312" s="2">
        <f t="shared" si="13"/>
        <v>404766.71999999997</v>
      </c>
      <c r="Y312" s="18">
        <v>6300</v>
      </c>
      <c r="Z312" s="25"/>
      <c r="AA312" s="18">
        <v>37414</v>
      </c>
      <c r="AB312" s="25"/>
      <c r="AC312" s="18">
        <v>13180.8</v>
      </c>
      <c r="AD312" s="25">
        <v>3700</v>
      </c>
      <c r="AE312" s="18"/>
      <c r="AF312" s="25"/>
      <c r="AG312" s="18"/>
      <c r="AH312" s="25"/>
      <c r="AI312" s="18"/>
      <c r="AJ312" s="25"/>
      <c r="AK312" s="18"/>
      <c r="AL312" s="68">
        <f t="shared" si="14"/>
        <v>60594.8</v>
      </c>
      <c r="AM312" s="33">
        <v>79</v>
      </c>
      <c r="AN312" s="34">
        <v>197</v>
      </c>
      <c r="AO312" s="16">
        <v>-2456.9299999999998</v>
      </c>
      <c r="AP312" s="25"/>
      <c r="AQ312" s="16">
        <v>0</v>
      </c>
      <c r="AR312" s="64">
        <v>1</v>
      </c>
      <c r="AS312" s="35"/>
      <c r="AT312" s="35"/>
      <c r="AU312" s="40"/>
      <c r="AV312" s="40"/>
      <c r="AW312" s="41"/>
      <c r="AX312" s="23"/>
      <c r="AZ312" s="40"/>
      <c r="BA312" s="40"/>
      <c r="BB312" s="41"/>
      <c r="BC312" s="42"/>
      <c r="BD312" s="42"/>
      <c r="BE312" s="42"/>
      <c r="BF312" s="42"/>
      <c r="BG312" s="42"/>
      <c r="BI312" s="38"/>
      <c r="BJ312" s="39"/>
      <c r="BK312" s="38"/>
      <c r="BL312" s="38"/>
      <c r="BM312" s="38"/>
    </row>
    <row r="313" spans="1:65" x14ac:dyDescent="0.25">
      <c r="A313" s="13">
        <v>5926</v>
      </c>
      <c r="B313" s="14" t="s">
        <v>452</v>
      </c>
      <c r="C313" s="16">
        <v>1277050.93</v>
      </c>
      <c r="D313" s="15">
        <v>122034.04</v>
      </c>
      <c r="E313" s="16">
        <v>0</v>
      </c>
      <c r="F313" s="15">
        <v>0</v>
      </c>
      <c r="G313" s="16">
        <v>60979.35</v>
      </c>
      <c r="H313" s="15">
        <v>180.6</v>
      </c>
      <c r="I313" s="16">
        <v>0</v>
      </c>
      <c r="J313" s="15">
        <v>14589.68</v>
      </c>
      <c r="K313" s="17">
        <v>0</v>
      </c>
      <c r="L313" s="16">
        <v>97650</v>
      </c>
      <c r="M313" s="3">
        <f t="shared" si="12"/>
        <v>1572484.6</v>
      </c>
      <c r="N313" s="15">
        <v>6559.65</v>
      </c>
      <c r="O313" s="16">
        <v>22523.8</v>
      </c>
      <c r="P313" s="15">
        <v>36850.35</v>
      </c>
      <c r="Q313" s="16">
        <v>3441.55</v>
      </c>
      <c r="R313" s="15">
        <v>30689.35</v>
      </c>
      <c r="S313" s="16">
        <v>0</v>
      </c>
      <c r="T313" s="15">
        <v>1257.5</v>
      </c>
      <c r="U313" s="16">
        <v>5450</v>
      </c>
      <c r="V313" s="15">
        <v>120</v>
      </c>
      <c r="W313" s="16">
        <v>0</v>
      </c>
      <c r="X313" s="2">
        <f t="shared" si="13"/>
        <v>1679376.8000000003</v>
      </c>
      <c r="Y313" s="18">
        <v>66616</v>
      </c>
      <c r="Z313" s="25"/>
      <c r="AA313" s="18"/>
      <c r="AB313" s="25"/>
      <c r="AC313" s="18">
        <v>25979.9</v>
      </c>
      <c r="AD313" s="25">
        <v>66516</v>
      </c>
      <c r="AE313" s="18">
        <v>5325</v>
      </c>
      <c r="AF313" s="25"/>
      <c r="AG313" s="18"/>
      <c r="AH313" s="25"/>
      <c r="AI313" s="18"/>
      <c r="AJ313" s="25"/>
      <c r="AK313" s="18"/>
      <c r="AL313" s="68">
        <f t="shared" si="14"/>
        <v>164436.9</v>
      </c>
      <c r="AM313" s="33">
        <v>71</v>
      </c>
      <c r="AN313" s="34">
        <v>735</v>
      </c>
      <c r="AO313" s="16">
        <v>-5612.53</v>
      </c>
      <c r="AP313" s="25"/>
      <c r="AQ313" s="16">
        <v>-12.81</v>
      </c>
      <c r="AR313" s="64">
        <v>1</v>
      </c>
      <c r="AS313" s="35"/>
      <c r="AT313" s="35"/>
      <c r="AU313" s="40"/>
      <c r="AV313" s="40"/>
      <c r="AW313" s="41"/>
      <c r="AX313" s="23"/>
      <c r="AZ313" s="40"/>
      <c r="BA313" s="40"/>
      <c r="BB313" s="41"/>
      <c r="BC313" s="42"/>
      <c r="BD313" s="42"/>
      <c r="BE313" s="42"/>
      <c r="BF313" s="42"/>
      <c r="BG313" s="42"/>
      <c r="BI313" s="38"/>
      <c r="BJ313" s="39"/>
      <c r="BK313" s="38"/>
      <c r="BL313" s="38"/>
      <c r="BM313" s="38"/>
    </row>
    <row r="314" spans="1:65" x14ac:dyDescent="0.25">
      <c r="A314" s="13">
        <v>5928</v>
      </c>
      <c r="B314" s="14" t="s">
        <v>453</v>
      </c>
      <c r="C314" s="16">
        <v>254592.5</v>
      </c>
      <c r="D314" s="15">
        <v>33762.75</v>
      </c>
      <c r="E314" s="16">
        <v>0</v>
      </c>
      <c r="F314" s="15">
        <v>0</v>
      </c>
      <c r="G314" s="16">
        <v>1574.9</v>
      </c>
      <c r="H314" s="15">
        <v>8.85</v>
      </c>
      <c r="I314" s="16">
        <v>0</v>
      </c>
      <c r="J314" s="15">
        <v>6741</v>
      </c>
      <c r="K314" s="17">
        <v>0</v>
      </c>
      <c r="L314" s="16">
        <v>16812.8</v>
      </c>
      <c r="M314" s="3">
        <f t="shared" si="12"/>
        <v>313492.8</v>
      </c>
      <c r="N314" s="15">
        <v>0</v>
      </c>
      <c r="O314" s="16" t="s">
        <v>512</v>
      </c>
      <c r="P314" s="15">
        <v>1897.5</v>
      </c>
      <c r="Q314" s="16">
        <v>0</v>
      </c>
      <c r="R314" s="15">
        <v>16123.15</v>
      </c>
      <c r="S314" s="16">
        <v>0</v>
      </c>
      <c r="T314" s="15">
        <v>0</v>
      </c>
      <c r="U314" s="16">
        <v>1020</v>
      </c>
      <c r="V314" s="15">
        <v>0</v>
      </c>
      <c r="W314" s="16">
        <v>0</v>
      </c>
      <c r="X314" s="2">
        <f t="shared" si="13"/>
        <v>332533.45</v>
      </c>
      <c r="Y314" s="18">
        <v>1369.2</v>
      </c>
      <c r="Z314" s="25"/>
      <c r="AA314" s="18">
        <v>27941.7</v>
      </c>
      <c r="AB314" s="25"/>
      <c r="AC314" s="18">
        <v>7686.3</v>
      </c>
      <c r="AD314" s="25"/>
      <c r="AE314" s="18"/>
      <c r="AF314" s="25"/>
      <c r="AG314" s="18"/>
      <c r="AH314" s="25"/>
      <c r="AI314" s="18"/>
      <c r="AJ314" s="25"/>
      <c r="AK314" s="18"/>
      <c r="AL314" s="68">
        <f t="shared" si="14"/>
        <v>36997.200000000004</v>
      </c>
      <c r="AM314" s="33">
        <v>75</v>
      </c>
      <c r="AN314" s="34">
        <v>165</v>
      </c>
      <c r="AO314" s="16">
        <v>-5375.05</v>
      </c>
      <c r="AP314" s="25"/>
      <c r="AQ314" s="16">
        <v>0</v>
      </c>
      <c r="AR314" s="64">
        <v>1</v>
      </c>
      <c r="AS314" s="35"/>
      <c r="AT314" s="35"/>
      <c r="AU314" s="40"/>
      <c r="AV314" s="40"/>
      <c r="AW314" s="41"/>
      <c r="AX314" s="23"/>
      <c r="AZ314" s="40"/>
      <c r="BA314" s="40"/>
      <c r="BB314" s="41"/>
      <c r="BC314" s="42"/>
      <c r="BD314" s="42"/>
      <c r="BE314" s="42"/>
      <c r="BF314" s="42"/>
      <c r="BG314" s="42"/>
      <c r="BI314" s="38"/>
      <c r="BJ314" s="39"/>
      <c r="BK314" s="38"/>
      <c r="BL314" s="38"/>
      <c r="BM314" s="38"/>
    </row>
    <row r="315" spans="1:65" x14ac:dyDescent="0.25">
      <c r="A315" s="13">
        <v>5929</v>
      </c>
      <c r="B315" s="14" t="s">
        <v>454</v>
      </c>
      <c r="C315" s="16">
        <v>811448.83</v>
      </c>
      <c r="D315" s="15">
        <v>73792.61</v>
      </c>
      <c r="E315" s="16">
        <v>0</v>
      </c>
      <c r="F315" s="15">
        <v>0</v>
      </c>
      <c r="G315" s="16">
        <v>64877.55</v>
      </c>
      <c r="H315" s="15">
        <v>165.8</v>
      </c>
      <c r="I315" s="16">
        <v>48987.9</v>
      </c>
      <c r="J315" s="15">
        <v>24065.15</v>
      </c>
      <c r="K315" s="17">
        <v>0</v>
      </c>
      <c r="L315" s="16">
        <v>46269.95</v>
      </c>
      <c r="M315" s="3">
        <f t="shared" si="12"/>
        <v>1069607.79</v>
      </c>
      <c r="N315" s="15">
        <v>13489.85</v>
      </c>
      <c r="O315" s="16" t="s">
        <v>512</v>
      </c>
      <c r="P315" s="15">
        <v>27675.599999999999</v>
      </c>
      <c r="Q315" s="16">
        <v>0</v>
      </c>
      <c r="R315" s="15">
        <v>-13108.35</v>
      </c>
      <c r="S315" s="16">
        <v>0</v>
      </c>
      <c r="T315" s="15">
        <v>62.5</v>
      </c>
      <c r="U315" s="16">
        <v>1680</v>
      </c>
      <c r="V315" s="15">
        <v>0</v>
      </c>
      <c r="W315" s="16">
        <v>0</v>
      </c>
      <c r="X315" s="2">
        <f t="shared" si="13"/>
        <v>1099407.3900000001</v>
      </c>
      <c r="Y315" s="18">
        <v>34209.65</v>
      </c>
      <c r="Z315" s="25"/>
      <c r="AA315" s="18">
        <v>165309.1</v>
      </c>
      <c r="AB315" s="25"/>
      <c r="AC315" s="18">
        <v>38644.699999999997</v>
      </c>
      <c r="AD315" s="25"/>
      <c r="AE315" s="18"/>
      <c r="AF315" s="25"/>
      <c r="AG315" s="18"/>
      <c r="AH315" s="25">
        <v>10239.1</v>
      </c>
      <c r="AI315" s="18"/>
      <c r="AJ315" s="25"/>
      <c r="AK315" s="18"/>
      <c r="AL315" s="68">
        <f t="shared" si="14"/>
        <v>248402.55000000002</v>
      </c>
      <c r="AM315" s="33">
        <v>68</v>
      </c>
      <c r="AN315" s="34">
        <v>525</v>
      </c>
      <c r="AO315" s="16">
        <v>-822.45</v>
      </c>
      <c r="AP315" s="25"/>
      <c r="AQ315" s="16">
        <v>-0.05</v>
      </c>
      <c r="AR315" s="64">
        <v>0.6</v>
      </c>
      <c r="AS315" s="35"/>
      <c r="AT315" s="35"/>
      <c r="AU315" s="40"/>
      <c r="AV315" s="40"/>
      <c r="AW315" s="41"/>
      <c r="AX315" s="23"/>
      <c r="AZ315" s="40"/>
      <c r="BA315" s="40"/>
      <c r="BB315" s="41"/>
      <c r="BC315" s="42"/>
      <c r="BD315" s="42"/>
      <c r="BE315" s="42"/>
      <c r="BF315" s="42"/>
      <c r="BG315" s="42"/>
      <c r="BI315" s="38"/>
      <c r="BJ315" s="39"/>
      <c r="BK315" s="38"/>
      <c r="BL315" s="38"/>
      <c r="BM315" s="38"/>
    </row>
    <row r="316" spans="1:65" x14ac:dyDescent="0.25">
      <c r="A316" s="13">
        <v>5930</v>
      </c>
      <c r="B316" s="14" t="s">
        <v>455</v>
      </c>
      <c r="C316" s="16">
        <v>271346.8</v>
      </c>
      <c r="D316" s="15">
        <v>26996.5</v>
      </c>
      <c r="E316" s="16">
        <v>0</v>
      </c>
      <c r="F316" s="15">
        <v>0</v>
      </c>
      <c r="G316" s="16">
        <v>934.05</v>
      </c>
      <c r="H316" s="15">
        <v>19.75</v>
      </c>
      <c r="I316" s="16">
        <v>0</v>
      </c>
      <c r="J316" s="15">
        <v>2467.7399999999998</v>
      </c>
      <c r="K316" s="17">
        <v>0</v>
      </c>
      <c r="L316" s="16">
        <v>25833.55</v>
      </c>
      <c r="M316" s="3">
        <f t="shared" si="12"/>
        <v>327598.38999999996</v>
      </c>
      <c r="N316" s="15">
        <v>8738.75</v>
      </c>
      <c r="O316" s="16">
        <v>138323.79999999999</v>
      </c>
      <c r="P316" s="15">
        <v>26.1</v>
      </c>
      <c r="Q316" s="16">
        <v>1314.95</v>
      </c>
      <c r="R316" s="15">
        <v>1556.4</v>
      </c>
      <c r="S316" s="16">
        <v>0</v>
      </c>
      <c r="T316" s="15">
        <v>100</v>
      </c>
      <c r="U316" s="16">
        <v>360</v>
      </c>
      <c r="V316" s="15">
        <v>0</v>
      </c>
      <c r="W316" s="16">
        <v>0</v>
      </c>
      <c r="X316" s="2">
        <f t="shared" si="13"/>
        <v>478018.38999999996</v>
      </c>
      <c r="Y316" s="18"/>
      <c r="Z316" s="25"/>
      <c r="AA316" s="18">
        <v>17699.45</v>
      </c>
      <c r="AB316" s="25"/>
      <c r="AC316" s="18">
        <v>9967.5</v>
      </c>
      <c r="AD316" s="25">
        <v>457.6</v>
      </c>
      <c r="AE316" s="18"/>
      <c r="AF316" s="25"/>
      <c r="AG316" s="18"/>
      <c r="AH316" s="25"/>
      <c r="AI316" s="18"/>
      <c r="AJ316" s="25"/>
      <c r="AK316" s="18"/>
      <c r="AL316" s="68">
        <f t="shared" si="14"/>
        <v>28124.55</v>
      </c>
      <c r="AM316" s="33">
        <v>66</v>
      </c>
      <c r="AN316" s="34">
        <v>199</v>
      </c>
      <c r="AO316" s="16">
        <v>-79</v>
      </c>
      <c r="AP316" s="25"/>
      <c r="AQ316" s="16">
        <v>-584.83000000000004</v>
      </c>
      <c r="AR316" s="64">
        <v>1</v>
      </c>
      <c r="AS316" s="35"/>
      <c r="AT316" s="35"/>
      <c r="AU316" s="40"/>
      <c r="AV316" s="40"/>
      <c r="AW316" s="41"/>
      <c r="AX316" s="23"/>
      <c r="AZ316" s="40"/>
      <c r="BA316" s="40"/>
      <c r="BB316" s="41"/>
      <c r="BC316" s="42"/>
      <c r="BD316" s="42"/>
      <c r="BE316" s="42"/>
      <c r="BF316" s="42"/>
      <c r="BG316" s="42"/>
      <c r="BI316" s="38"/>
      <c r="BJ316" s="39"/>
      <c r="BK316" s="38"/>
      <c r="BL316" s="38"/>
      <c r="BM316" s="38"/>
    </row>
    <row r="317" spans="1:65" x14ac:dyDescent="0.25">
      <c r="A317" s="13">
        <v>5931</v>
      </c>
      <c r="B317" s="14" t="s">
        <v>456</v>
      </c>
      <c r="C317" s="16">
        <v>669443.88</v>
      </c>
      <c r="D317" s="15">
        <v>61062.41</v>
      </c>
      <c r="E317" s="16">
        <v>0</v>
      </c>
      <c r="F317" s="15">
        <v>0</v>
      </c>
      <c r="G317" s="16">
        <v>76700.55</v>
      </c>
      <c r="H317" s="15">
        <v>693.95</v>
      </c>
      <c r="I317" s="16">
        <v>0</v>
      </c>
      <c r="J317" s="15">
        <v>20194.96</v>
      </c>
      <c r="K317" s="17">
        <v>94.5</v>
      </c>
      <c r="L317" s="16">
        <v>68630.7</v>
      </c>
      <c r="M317" s="3">
        <f t="shared" si="12"/>
        <v>896820.95</v>
      </c>
      <c r="N317" s="15">
        <v>4957.5</v>
      </c>
      <c r="O317" s="16" t="s">
        <v>512</v>
      </c>
      <c r="P317" s="15">
        <v>18084</v>
      </c>
      <c r="Q317" s="16">
        <v>0</v>
      </c>
      <c r="R317" s="15">
        <v>0</v>
      </c>
      <c r="S317" s="16">
        <v>0</v>
      </c>
      <c r="T317" s="15">
        <v>400</v>
      </c>
      <c r="U317" s="16">
        <v>4150</v>
      </c>
      <c r="V317" s="15">
        <v>0</v>
      </c>
      <c r="W317" s="16">
        <v>0</v>
      </c>
      <c r="X317" s="2">
        <f t="shared" si="13"/>
        <v>924412.45</v>
      </c>
      <c r="Y317" s="18"/>
      <c r="Z317" s="25"/>
      <c r="AA317" s="18">
        <v>45969.65</v>
      </c>
      <c r="AB317" s="25"/>
      <c r="AC317" s="18">
        <v>18145.75</v>
      </c>
      <c r="AD317" s="25"/>
      <c r="AE317" s="18"/>
      <c r="AF317" s="25"/>
      <c r="AG317" s="18"/>
      <c r="AH317" s="25">
        <v>14965</v>
      </c>
      <c r="AI317" s="18"/>
      <c r="AJ317" s="25"/>
      <c r="AK317" s="18"/>
      <c r="AL317" s="68">
        <f t="shared" si="14"/>
        <v>79080.399999999994</v>
      </c>
      <c r="AM317" s="33">
        <v>77</v>
      </c>
      <c r="AN317" s="34">
        <v>471</v>
      </c>
      <c r="AO317" s="16">
        <v>-13267.14</v>
      </c>
      <c r="AP317" s="25"/>
      <c r="AQ317" s="16">
        <v>-7.0000000000000007E-2</v>
      </c>
      <c r="AR317" s="64">
        <v>1</v>
      </c>
      <c r="AS317" s="35"/>
      <c r="AT317" s="35"/>
      <c r="AU317" s="40"/>
      <c r="AV317" s="40"/>
      <c r="AW317" s="41"/>
      <c r="AX317" s="23"/>
      <c r="AZ317" s="40"/>
      <c r="BA317" s="40"/>
      <c r="BB317" s="41"/>
      <c r="BC317" s="42"/>
      <c r="BD317" s="42"/>
      <c r="BE317" s="42"/>
      <c r="BF317" s="42"/>
      <c r="BG317" s="42"/>
      <c r="BI317" s="38"/>
      <c r="BJ317" s="39"/>
      <c r="BK317" s="38"/>
      <c r="BL317" s="38"/>
      <c r="BM317" s="38"/>
    </row>
    <row r="318" spans="1:65" x14ac:dyDescent="0.25">
      <c r="A318" s="13">
        <v>5932</v>
      </c>
      <c r="B318" s="14" t="s">
        <v>318</v>
      </c>
      <c r="C318" s="16">
        <v>353411.95</v>
      </c>
      <c r="D318" s="15">
        <v>28355.37</v>
      </c>
      <c r="E318" s="16">
        <v>0</v>
      </c>
      <c r="F318" s="15">
        <v>1150</v>
      </c>
      <c r="G318" s="16">
        <v>3206.65</v>
      </c>
      <c r="H318" s="15">
        <v>48.6</v>
      </c>
      <c r="I318" s="16">
        <v>24949.45</v>
      </c>
      <c r="J318" s="15">
        <v>4063.68</v>
      </c>
      <c r="K318" s="17">
        <v>50</v>
      </c>
      <c r="L318" s="16">
        <v>25299</v>
      </c>
      <c r="M318" s="3">
        <f t="shared" si="12"/>
        <v>440534.7</v>
      </c>
      <c r="N318" s="15">
        <v>0</v>
      </c>
      <c r="O318" s="16" t="s">
        <v>512</v>
      </c>
      <c r="P318" s="15">
        <v>10230</v>
      </c>
      <c r="Q318" s="16">
        <v>92.47</v>
      </c>
      <c r="R318" s="15">
        <v>-13000.2</v>
      </c>
      <c r="S318" s="16">
        <v>0</v>
      </c>
      <c r="T318" s="15">
        <v>0</v>
      </c>
      <c r="U318" s="16">
        <v>2100</v>
      </c>
      <c r="V318" s="15">
        <v>0</v>
      </c>
      <c r="W318" s="16">
        <v>0</v>
      </c>
      <c r="X318" s="2">
        <f t="shared" si="13"/>
        <v>439956.97</v>
      </c>
      <c r="Y318" s="18">
        <v>9875</v>
      </c>
      <c r="Z318" s="25"/>
      <c r="AA318" s="18">
        <v>13173.35</v>
      </c>
      <c r="AB318" s="25"/>
      <c r="AC318" s="18">
        <v>8427.2999999999993</v>
      </c>
      <c r="AD318" s="25">
        <v>7746.3</v>
      </c>
      <c r="AE318" s="18"/>
      <c r="AF318" s="25"/>
      <c r="AG318" s="18"/>
      <c r="AH318" s="25"/>
      <c r="AI318" s="18"/>
      <c r="AJ318" s="25"/>
      <c r="AK318" s="18"/>
      <c r="AL318" s="68">
        <f t="shared" si="14"/>
        <v>39221.949999999997</v>
      </c>
      <c r="AM318" s="33">
        <v>78</v>
      </c>
      <c r="AN318" s="34">
        <v>208</v>
      </c>
      <c r="AO318" s="16">
        <v>-1738</v>
      </c>
      <c r="AP318" s="25">
        <v>-28813.55</v>
      </c>
      <c r="AQ318" s="16">
        <v>0</v>
      </c>
      <c r="AR318" s="64">
        <v>1</v>
      </c>
      <c r="AS318" s="35"/>
      <c r="AT318" s="35"/>
      <c r="AU318" s="40"/>
      <c r="AV318" s="40"/>
      <c r="AW318" s="41"/>
      <c r="AX318" s="23"/>
      <c r="AZ318" s="40"/>
      <c r="BA318" s="40"/>
      <c r="BB318" s="41"/>
      <c r="BC318" s="42"/>
      <c r="BD318" s="42"/>
      <c r="BE318" s="42"/>
      <c r="BF318" s="42"/>
      <c r="BG318" s="42"/>
      <c r="BI318" s="38"/>
      <c r="BJ318" s="39"/>
      <c r="BK318" s="38"/>
      <c r="BL318" s="38"/>
      <c r="BM318" s="38"/>
    </row>
    <row r="319" spans="1:65" x14ac:dyDescent="0.25">
      <c r="A319" s="13">
        <v>5933</v>
      </c>
      <c r="B319" s="14" t="s">
        <v>449</v>
      </c>
      <c r="C319" s="16">
        <v>1172938.8999999999</v>
      </c>
      <c r="D319" s="15">
        <v>107911.46</v>
      </c>
      <c r="E319" s="16">
        <v>0</v>
      </c>
      <c r="F319" s="15">
        <v>0</v>
      </c>
      <c r="G319" s="16">
        <v>44279.7</v>
      </c>
      <c r="H319" s="15">
        <v>11.5</v>
      </c>
      <c r="I319" s="16">
        <v>0</v>
      </c>
      <c r="J319" s="15">
        <v>13624.11</v>
      </c>
      <c r="K319" s="17">
        <v>1446</v>
      </c>
      <c r="L319" s="16">
        <v>96426.75</v>
      </c>
      <c r="M319" s="3">
        <f t="shared" si="12"/>
        <v>1436638.42</v>
      </c>
      <c r="N319" s="15">
        <v>8464.1</v>
      </c>
      <c r="O319" s="16" t="s">
        <v>512</v>
      </c>
      <c r="P319" s="15">
        <v>7370</v>
      </c>
      <c r="Q319" s="16">
        <v>9032.83</v>
      </c>
      <c r="R319" s="15">
        <v>9479.15</v>
      </c>
      <c r="S319" s="16">
        <v>462.5</v>
      </c>
      <c r="T319" s="15">
        <v>0</v>
      </c>
      <c r="U319" s="16">
        <v>3280</v>
      </c>
      <c r="V319" s="15">
        <v>0</v>
      </c>
      <c r="W319" s="16">
        <v>0</v>
      </c>
      <c r="X319" s="2">
        <f t="shared" si="13"/>
        <v>1474727</v>
      </c>
      <c r="Y319" s="18">
        <v>25108</v>
      </c>
      <c r="Z319" s="25"/>
      <c r="AA319" s="18">
        <v>75294.5</v>
      </c>
      <c r="AB319" s="25"/>
      <c r="AC319" s="18">
        <v>29744.5</v>
      </c>
      <c r="AD319" s="25">
        <v>34856.15</v>
      </c>
      <c r="AE319" s="18"/>
      <c r="AF319" s="25"/>
      <c r="AG319" s="18"/>
      <c r="AH319" s="25"/>
      <c r="AI319" s="18"/>
      <c r="AJ319" s="25"/>
      <c r="AK319" s="18"/>
      <c r="AL319" s="68">
        <f t="shared" si="14"/>
        <v>165003.15</v>
      </c>
      <c r="AM319" s="33">
        <v>72</v>
      </c>
      <c r="AN319" s="34">
        <v>642</v>
      </c>
      <c r="AO319" s="16">
        <v>-22633.84</v>
      </c>
      <c r="AP319" s="25">
        <v>-3748.6</v>
      </c>
      <c r="AQ319" s="16">
        <v>-3.65</v>
      </c>
      <c r="AR319" s="64">
        <v>1</v>
      </c>
      <c r="AS319" s="35"/>
      <c r="AT319" s="35"/>
      <c r="AU319" s="40"/>
      <c r="AV319" s="40"/>
      <c r="AW319" s="41"/>
      <c r="AX319" s="23"/>
      <c r="AZ319" s="40"/>
      <c r="BA319" s="40"/>
      <c r="BB319" s="41"/>
      <c r="BC319" s="42"/>
      <c r="BD319" s="42"/>
      <c r="BE319" s="42"/>
      <c r="BF319" s="42"/>
      <c r="BG319" s="42"/>
      <c r="BI319" s="38"/>
      <c r="BJ319" s="39"/>
      <c r="BK319" s="38"/>
      <c r="BL319" s="38"/>
      <c r="BM319" s="38"/>
    </row>
    <row r="320" spans="1:65" x14ac:dyDescent="0.25">
      <c r="A320" s="13">
        <v>5934</v>
      </c>
      <c r="B320" s="14" t="s">
        <v>450</v>
      </c>
      <c r="C320" s="16">
        <v>405580.05</v>
      </c>
      <c r="D320" s="15">
        <v>44392.480000000003</v>
      </c>
      <c r="E320" s="16">
        <v>0</v>
      </c>
      <c r="F320" s="15">
        <v>1240</v>
      </c>
      <c r="G320" s="16">
        <v>963</v>
      </c>
      <c r="H320" s="15">
        <v>29.8</v>
      </c>
      <c r="I320" s="16">
        <v>0</v>
      </c>
      <c r="J320" s="15">
        <v>-5426.26</v>
      </c>
      <c r="K320" s="17">
        <v>95</v>
      </c>
      <c r="L320" s="16">
        <v>25601.3</v>
      </c>
      <c r="M320" s="3">
        <f t="shared" si="12"/>
        <v>472475.36999999994</v>
      </c>
      <c r="N320" s="15">
        <v>9194.9</v>
      </c>
      <c r="O320" s="16" t="s">
        <v>512</v>
      </c>
      <c r="P320" s="15" t="s">
        <v>512</v>
      </c>
      <c r="Q320" s="16">
        <v>0</v>
      </c>
      <c r="R320" s="15" t="s">
        <v>512</v>
      </c>
      <c r="S320" s="16">
        <v>0</v>
      </c>
      <c r="T320" s="15">
        <v>0</v>
      </c>
      <c r="U320" s="16">
        <v>1020</v>
      </c>
      <c r="V320" s="15">
        <v>0</v>
      </c>
      <c r="W320" s="16">
        <v>0</v>
      </c>
      <c r="X320" s="2">
        <f t="shared" si="13"/>
        <v>482690.26999999996</v>
      </c>
      <c r="Y320" s="18"/>
      <c r="Z320" s="25"/>
      <c r="AA320" s="18">
        <v>27975</v>
      </c>
      <c r="AB320" s="25"/>
      <c r="AC320" s="18">
        <v>7116.7</v>
      </c>
      <c r="AD320" s="25"/>
      <c r="AE320" s="18"/>
      <c r="AF320" s="25"/>
      <c r="AG320" s="18"/>
      <c r="AH320" s="25"/>
      <c r="AI320" s="18"/>
      <c r="AJ320" s="25"/>
      <c r="AK320" s="18"/>
      <c r="AL320" s="68">
        <f t="shared" si="14"/>
        <v>35091.699999999997</v>
      </c>
      <c r="AM320" s="33">
        <v>78</v>
      </c>
      <c r="AN320" s="34">
        <v>241</v>
      </c>
      <c r="AO320" s="16">
        <v>-7032.74</v>
      </c>
      <c r="AP320" s="25">
        <v>-1730.6</v>
      </c>
      <c r="AQ320" s="16">
        <v>0</v>
      </c>
      <c r="AR320" s="64">
        <v>1</v>
      </c>
      <c r="AS320" s="35"/>
      <c r="AT320" s="35"/>
      <c r="AU320" s="40"/>
      <c r="AV320" s="40"/>
      <c r="AW320" s="41"/>
      <c r="AX320" s="23"/>
      <c r="AZ320" s="40"/>
      <c r="BA320" s="40"/>
      <c r="BB320" s="41"/>
      <c r="BC320" s="42"/>
      <c r="BD320" s="42"/>
      <c r="BE320" s="42"/>
      <c r="BF320" s="42"/>
      <c r="BG320" s="42"/>
      <c r="BI320" s="38"/>
      <c r="BJ320" s="39"/>
      <c r="BK320" s="38"/>
      <c r="BL320" s="38"/>
      <c r="BM320" s="38"/>
    </row>
    <row r="321" spans="1:65" x14ac:dyDescent="0.25">
      <c r="A321" s="13">
        <v>5935</v>
      </c>
      <c r="B321" s="14" t="s">
        <v>345</v>
      </c>
      <c r="C321" s="16">
        <v>211781.07</v>
      </c>
      <c r="D321" s="15">
        <v>7761.51</v>
      </c>
      <c r="E321" s="16">
        <v>0</v>
      </c>
      <c r="F321" s="15">
        <v>0</v>
      </c>
      <c r="G321" s="16">
        <v>2946.25</v>
      </c>
      <c r="H321" s="15">
        <v>9.9499999999999993</v>
      </c>
      <c r="I321" s="16">
        <v>0</v>
      </c>
      <c r="J321" s="15">
        <v>154.19999999999999</v>
      </c>
      <c r="K321" s="17">
        <v>0</v>
      </c>
      <c r="L321" s="16">
        <v>16319.95</v>
      </c>
      <c r="M321" s="3">
        <f t="shared" si="12"/>
        <v>238972.93000000005</v>
      </c>
      <c r="N321" s="15">
        <v>0</v>
      </c>
      <c r="O321" s="16" t="s">
        <v>512</v>
      </c>
      <c r="P321" s="15">
        <v>26730</v>
      </c>
      <c r="Q321" s="16">
        <v>0</v>
      </c>
      <c r="R321" s="15">
        <v>3887.5</v>
      </c>
      <c r="S321" s="16">
        <v>0</v>
      </c>
      <c r="T321" s="15">
        <v>0</v>
      </c>
      <c r="U321" s="16">
        <v>110</v>
      </c>
      <c r="V321" s="15">
        <v>0</v>
      </c>
      <c r="W321" s="16">
        <v>0</v>
      </c>
      <c r="X321" s="2">
        <f t="shared" si="13"/>
        <v>269700.43000000005</v>
      </c>
      <c r="Y321" s="18">
        <v>9023</v>
      </c>
      <c r="Z321" s="25"/>
      <c r="AA321" s="18">
        <v>4591</v>
      </c>
      <c r="AB321" s="25"/>
      <c r="AC321" s="18">
        <v>5500</v>
      </c>
      <c r="AD321" s="25"/>
      <c r="AE321" s="18"/>
      <c r="AF321" s="25"/>
      <c r="AG321" s="18"/>
      <c r="AH321" s="25"/>
      <c r="AI321" s="18"/>
      <c r="AJ321" s="25"/>
      <c r="AK321" s="18"/>
      <c r="AL321" s="68">
        <f t="shared" si="14"/>
        <v>19114</v>
      </c>
      <c r="AM321" s="33">
        <v>60</v>
      </c>
      <c r="AN321" s="34">
        <v>89</v>
      </c>
      <c r="AO321" s="16">
        <v>-33.18</v>
      </c>
      <c r="AP321" s="25"/>
      <c r="AQ321" s="16">
        <v>-71.53</v>
      </c>
      <c r="AR321" s="64">
        <v>1</v>
      </c>
      <c r="AS321" s="35"/>
      <c r="AT321" s="35"/>
      <c r="AU321" s="40"/>
      <c r="AV321" s="40"/>
      <c r="AW321" s="41"/>
      <c r="AX321" s="23"/>
      <c r="AZ321" s="40"/>
      <c r="BA321" s="40"/>
      <c r="BB321" s="41"/>
      <c r="BC321" s="42"/>
      <c r="BD321" s="42"/>
      <c r="BE321" s="42"/>
      <c r="BF321" s="42"/>
      <c r="BG321" s="42"/>
      <c r="BI321" s="38"/>
      <c r="BJ321" s="39"/>
      <c r="BK321" s="38"/>
      <c r="BL321" s="38"/>
      <c r="BM321" s="38"/>
    </row>
    <row r="322" spans="1:65" x14ac:dyDescent="0.25">
      <c r="A322" s="13">
        <v>5937</v>
      </c>
      <c r="B322" s="14" t="s">
        <v>319</v>
      </c>
      <c r="C322" s="16">
        <v>123549.81</v>
      </c>
      <c r="D322" s="15">
        <v>6114.21</v>
      </c>
      <c r="E322" s="16">
        <v>0</v>
      </c>
      <c r="F322" s="15">
        <v>0</v>
      </c>
      <c r="G322" s="16">
        <v>2507</v>
      </c>
      <c r="H322" s="15">
        <v>20.75</v>
      </c>
      <c r="I322" s="16">
        <v>0</v>
      </c>
      <c r="J322" s="15">
        <v>9039.2800000000007</v>
      </c>
      <c r="K322" s="17">
        <v>0</v>
      </c>
      <c r="L322" s="16">
        <v>10190.4</v>
      </c>
      <c r="M322" s="3">
        <f t="shared" si="12"/>
        <v>151421.45000000001</v>
      </c>
      <c r="N322" s="15">
        <v>0</v>
      </c>
      <c r="O322" s="16" t="s">
        <v>512</v>
      </c>
      <c r="P322" s="15">
        <v>2860</v>
      </c>
      <c r="Q322" s="16">
        <v>0</v>
      </c>
      <c r="R322" s="15">
        <v>21376.75</v>
      </c>
      <c r="S322" s="16">
        <v>0</v>
      </c>
      <c r="T322" s="15">
        <v>0</v>
      </c>
      <c r="U322" s="16">
        <v>1450</v>
      </c>
      <c r="V322" s="15">
        <v>0</v>
      </c>
      <c r="W322" s="16">
        <v>0</v>
      </c>
      <c r="X322" s="2">
        <f t="shared" si="13"/>
        <v>177108.2</v>
      </c>
      <c r="Y322" s="18">
        <v>3000</v>
      </c>
      <c r="Z322" s="25"/>
      <c r="AA322" s="18">
        <v>14400</v>
      </c>
      <c r="AB322" s="25"/>
      <c r="AC322" s="18">
        <v>5394</v>
      </c>
      <c r="AD322" s="25"/>
      <c r="AE322" s="18"/>
      <c r="AF322" s="25"/>
      <c r="AG322" s="18"/>
      <c r="AH322" s="25"/>
      <c r="AI322" s="18"/>
      <c r="AJ322" s="25"/>
      <c r="AK322" s="18"/>
      <c r="AL322" s="68">
        <f t="shared" si="14"/>
        <v>22794</v>
      </c>
      <c r="AM322" s="33">
        <v>70</v>
      </c>
      <c r="AN322" s="34">
        <v>137</v>
      </c>
      <c r="AO322" s="16">
        <v>-10282.950000000001</v>
      </c>
      <c r="AP322" s="25"/>
      <c r="AQ322" s="16">
        <v>-5.98</v>
      </c>
      <c r="AR322" s="64">
        <v>0.7</v>
      </c>
      <c r="AS322" s="35"/>
      <c r="AT322" s="35"/>
      <c r="AU322" s="40"/>
      <c r="AV322" s="40"/>
      <c r="AW322" s="41"/>
      <c r="AX322" s="23"/>
      <c r="AZ322" s="40"/>
      <c r="BA322" s="40"/>
      <c r="BB322" s="41"/>
      <c r="BC322" s="42"/>
      <c r="BD322" s="42"/>
      <c r="BE322" s="42"/>
      <c r="BF322" s="42"/>
      <c r="BG322" s="42"/>
      <c r="BI322" s="38"/>
      <c r="BJ322" s="39"/>
      <c r="BK322" s="38"/>
      <c r="BL322" s="38"/>
      <c r="BM322" s="38"/>
    </row>
    <row r="323" spans="1:65" x14ac:dyDescent="0.25">
      <c r="A323" s="13">
        <v>5938</v>
      </c>
      <c r="B323" s="14" t="s">
        <v>186</v>
      </c>
      <c r="C323" s="16">
        <v>42640931.649999999</v>
      </c>
      <c r="D323" s="15">
        <v>3774701.75</v>
      </c>
      <c r="E323" s="16">
        <v>0</v>
      </c>
      <c r="F323" s="15">
        <v>0</v>
      </c>
      <c r="G323" s="16">
        <v>5056577.7</v>
      </c>
      <c r="H323" s="15">
        <v>442128.35</v>
      </c>
      <c r="I323" s="16">
        <v>128951.8</v>
      </c>
      <c r="J323" s="15">
        <v>2287794.14</v>
      </c>
      <c r="K323" s="17">
        <v>514447</v>
      </c>
      <c r="L323" s="16">
        <v>3711190.9</v>
      </c>
      <c r="M323" s="3">
        <f t="shared" si="12"/>
        <v>58556723.289999999</v>
      </c>
      <c r="N323" s="15">
        <v>3034589.4</v>
      </c>
      <c r="O323" s="16">
        <v>1433252.9</v>
      </c>
      <c r="P323" s="15">
        <v>1864424.85</v>
      </c>
      <c r="Q323" s="16">
        <v>546037.39</v>
      </c>
      <c r="R323" s="15">
        <v>1216535.1499999999</v>
      </c>
      <c r="S323" s="16">
        <v>6568.75</v>
      </c>
      <c r="T323" s="15">
        <v>0</v>
      </c>
      <c r="U323" s="16">
        <v>52780</v>
      </c>
      <c r="V323" s="15">
        <v>0</v>
      </c>
      <c r="W323" s="16">
        <v>0</v>
      </c>
      <c r="X323" s="2">
        <f t="shared" si="13"/>
        <v>66710911.729999997</v>
      </c>
      <c r="Y323" s="18">
        <v>279947</v>
      </c>
      <c r="Z323" s="25"/>
      <c r="AA323" s="18">
        <v>4149637</v>
      </c>
      <c r="AB323" s="25">
        <v>1070011</v>
      </c>
      <c r="AC323" s="18">
        <v>67517</v>
      </c>
      <c r="AD323" s="25">
        <v>200170</v>
      </c>
      <c r="AE323" s="18">
        <v>79374</v>
      </c>
      <c r="AF323" s="25"/>
      <c r="AG323" s="18">
        <v>189165</v>
      </c>
      <c r="AH323" s="25">
        <v>881709</v>
      </c>
      <c r="AI323" s="18">
        <v>830505</v>
      </c>
      <c r="AJ323" s="25">
        <v>755781</v>
      </c>
      <c r="AK323" s="18"/>
      <c r="AL323" s="68">
        <f t="shared" si="14"/>
        <v>8503816</v>
      </c>
      <c r="AM323" s="33">
        <v>76.5</v>
      </c>
      <c r="AN323" s="34">
        <v>28972</v>
      </c>
      <c r="AO323" s="16">
        <v>-1197870.04</v>
      </c>
      <c r="AP323" s="25"/>
      <c r="AQ323" s="16">
        <v>-1798.32</v>
      </c>
      <c r="AR323" s="64">
        <v>1</v>
      </c>
      <c r="AS323" s="35"/>
      <c r="AT323" s="35"/>
      <c r="AU323" s="40"/>
      <c r="AV323" s="40"/>
      <c r="AW323" s="41"/>
      <c r="AX323" s="23"/>
      <c r="AZ323" s="40"/>
      <c r="BA323" s="40"/>
      <c r="BB323" s="41"/>
      <c r="BC323" s="42"/>
      <c r="BD323" s="42"/>
      <c r="BE323" s="42"/>
      <c r="BF323" s="42"/>
      <c r="BG323" s="42"/>
      <c r="BI323" s="38"/>
      <c r="BJ323" s="39"/>
      <c r="BK323" s="38"/>
      <c r="BL323" s="38"/>
      <c r="BM323" s="38"/>
    </row>
    <row r="324" spans="1:65" x14ac:dyDescent="0.25">
      <c r="A324" s="13">
        <v>5939</v>
      </c>
      <c r="B324" s="14" t="s">
        <v>185</v>
      </c>
      <c r="C324" s="19">
        <v>4789420.78</v>
      </c>
      <c r="D324" s="15">
        <v>519248.9</v>
      </c>
      <c r="E324" s="19">
        <v>0</v>
      </c>
      <c r="F324" s="15">
        <v>0</v>
      </c>
      <c r="G324" s="19">
        <v>157432.20000000001</v>
      </c>
      <c r="H324" s="15">
        <v>1976.55</v>
      </c>
      <c r="I324" s="19">
        <v>0</v>
      </c>
      <c r="J324" s="15">
        <v>168159.62</v>
      </c>
      <c r="K324" s="20">
        <v>10338.5</v>
      </c>
      <c r="L324" s="16">
        <v>395285.65</v>
      </c>
      <c r="M324" s="5">
        <f t="shared" si="12"/>
        <v>6041862.2000000011</v>
      </c>
      <c r="N324" s="15">
        <v>51826.15</v>
      </c>
      <c r="O324" s="19">
        <v>244018.3</v>
      </c>
      <c r="P324" s="15">
        <v>310416.45</v>
      </c>
      <c r="Q324" s="19">
        <v>0</v>
      </c>
      <c r="R324" s="15">
        <v>250845.65</v>
      </c>
      <c r="S324" s="19">
        <v>0</v>
      </c>
      <c r="T324" s="15">
        <v>2525.5</v>
      </c>
      <c r="U324" s="19">
        <v>18817</v>
      </c>
      <c r="V324" s="15">
        <v>350</v>
      </c>
      <c r="W324" s="19">
        <v>1858</v>
      </c>
      <c r="X324" s="2">
        <f t="shared" si="13"/>
        <v>6922519.2500000019</v>
      </c>
      <c r="Y324" s="43">
        <v>125678</v>
      </c>
      <c r="Z324" s="25"/>
      <c r="AA324" s="43">
        <v>621289.85</v>
      </c>
      <c r="AB324" s="25"/>
      <c r="AC324" s="18"/>
      <c r="AD324" s="25">
        <v>136830</v>
      </c>
      <c r="AE324" s="43"/>
      <c r="AF324" s="25"/>
      <c r="AG324" s="43">
        <v>11338.8</v>
      </c>
      <c r="AH324" s="25">
        <v>97070.85</v>
      </c>
      <c r="AI324" s="43"/>
      <c r="AJ324" s="25"/>
      <c r="AK324" s="43"/>
      <c r="AL324" s="68">
        <f t="shared" si="14"/>
        <v>992207.5</v>
      </c>
      <c r="AM324" s="44">
        <v>73</v>
      </c>
      <c r="AN324" s="34">
        <v>3095</v>
      </c>
      <c r="AO324" s="19">
        <v>-103831.88</v>
      </c>
      <c r="AP324" s="25"/>
      <c r="AQ324" s="19"/>
      <c r="AR324" s="64">
        <v>1</v>
      </c>
      <c r="AS324" s="35"/>
      <c r="AT324" s="35"/>
      <c r="AU324" s="40"/>
      <c r="AV324" s="40"/>
      <c r="AW324" s="41"/>
      <c r="AX324" s="23"/>
      <c r="AZ324" s="40"/>
      <c r="BA324" s="40"/>
      <c r="BB324" s="41"/>
      <c r="BC324" s="42"/>
      <c r="BD324" s="42"/>
      <c r="BE324" s="42"/>
      <c r="BF324" s="42"/>
      <c r="BG324" s="42"/>
      <c r="BI324" s="38"/>
      <c r="BJ324" s="39"/>
      <c r="BK324" s="38"/>
      <c r="BL324" s="38"/>
      <c r="BM324" s="38"/>
    </row>
    <row r="325" spans="1:65" x14ac:dyDescent="0.25">
      <c r="A325" s="12"/>
      <c r="B325" s="54">
        <f>COUNTA(B7:B324)</f>
        <v>318</v>
      </c>
      <c r="C325" s="21">
        <f>SUM(C7:C324)</f>
        <v>1537253538.1099999</v>
      </c>
      <c r="D325" s="21">
        <f>SUM(D7:D324)</f>
        <v>249198523.22000003</v>
      </c>
      <c r="E325" s="21">
        <f>SUM(E7:E324)</f>
        <v>92971.85</v>
      </c>
      <c r="F325" s="21">
        <f t="shared" ref="F325:H325" si="15">SUM(F7:F324)</f>
        <v>121804.3</v>
      </c>
      <c r="G325" s="21">
        <f t="shared" si="15"/>
        <v>281102182.56999981</v>
      </c>
      <c r="H325" s="21">
        <f t="shared" si="15"/>
        <v>35654540.290000014</v>
      </c>
      <c r="I325" s="21">
        <f>SUM(I7:I324)</f>
        <v>44359190.559999995</v>
      </c>
      <c r="J325" s="21">
        <f>SUM(J7:J324)</f>
        <v>87284259.179999918</v>
      </c>
      <c r="K325" s="21">
        <f>SUM(K7:K324)</f>
        <v>13444766.800000001</v>
      </c>
      <c r="L325" s="21">
        <f t="shared" ref="L325" si="16">SUM(L7:L324)</f>
        <v>166765939.79999992</v>
      </c>
      <c r="M325" s="21">
        <f t="shared" ref="M325:AN325" si="17">SUM(M7:M324)</f>
        <v>2415277716.6799994</v>
      </c>
      <c r="N325" s="21">
        <f t="shared" si="17"/>
        <v>61006621.850000016</v>
      </c>
      <c r="O325" s="21">
        <f t="shared" si="17"/>
        <v>62276805.900000006</v>
      </c>
      <c r="P325" s="21">
        <f t="shared" si="17"/>
        <v>76798087.229999974</v>
      </c>
      <c r="Q325" s="21">
        <f t="shared" si="17"/>
        <v>9315511.5200000051</v>
      </c>
      <c r="R325" s="21">
        <f t="shared" si="17"/>
        <v>67428026.590000033</v>
      </c>
      <c r="S325" s="21">
        <f t="shared" si="17"/>
        <v>510147.24999999994</v>
      </c>
      <c r="T325" s="21">
        <f t="shared" si="17"/>
        <v>427787.5</v>
      </c>
      <c r="U325" s="21">
        <f t="shared" si="17"/>
        <v>3017151.5</v>
      </c>
      <c r="V325" s="21">
        <f t="shared" si="17"/>
        <v>7400294.1599999992</v>
      </c>
      <c r="W325" s="21">
        <f t="shared" si="17"/>
        <v>500049.58999999997</v>
      </c>
      <c r="X325" s="21">
        <f t="shared" si="17"/>
        <v>2703958199.7699981</v>
      </c>
      <c r="Y325" s="21">
        <f t="shared" si="17"/>
        <v>22034425.200000003</v>
      </c>
      <c r="Z325" s="21">
        <f t="shared" si="17"/>
        <v>2726133.8600000003</v>
      </c>
      <c r="AA325" s="21">
        <f t="shared" si="17"/>
        <v>95336339.859999999</v>
      </c>
      <c r="AB325" s="21">
        <f t="shared" si="17"/>
        <v>6593314.9500000011</v>
      </c>
      <c r="AC325" s="21">
        <f t="shared" si="17"/>
        <v>79613176.670000002</v>
      </c>
      <c r="AD325" s="21">
        <f t="shared" si="17"/>
        <v>18756180.829999994</v>
      </c>
      <c r="AE325" s="21">
        <f t="shared" si="17"/>
        <v>960792.3899999999</v>
      </c>
      <c r="AF325" s="21">
        <f t="shared" si="17"/>
        <v>37363.5</v>
      </c>
      <c r="AG325" s="21">
        <f t="shared" si="17"/>
        <v>12177757.219999997</v>
      </c>
      <c r="AH325" s="21">
        <f t="shared" si="17"/>
        <v>22685573.299999993</v>
      </c>
      <c r="AI325" s="21">
        <f t="shared" si="17"/>
        <v>9082507.7300000004</v>
      </c>
      <c r="AJ325" s="21">
        <f t="shared" si="17"/>
        <v>3947808.1699999995</v>
      </c>
      <c r="AK325" s="21">
        <f t="shared" si="17"/>
        <v>3298893.63</v>
      </c>
      <c r="AL325" s="69">
        <f t="shared" si="17"/>
        <v>277250267.31</v>
      </c>
      <c r="AM325" s="70"/>
      <c r="AN325" s="21">
        <f t="shared" si="17"/>
        <v>755369</v>
      </c>
      <c r="AO325" s="21">
        <f t="shared" ref="AO325:AQ325" si="18">SUM(AO7:AO324)</f>
        <v>-38131405.260000028</v>
      </c>
      <c r="AP325" s="21">
        <f t="shared" si="18"/>
        <v>-136050.4</v>
      </c>
      <c r="AQ325" s="21">
        <f t="shared" si="18"/>
        <v>-4203197.700000002</v>
      </c>
      <c r="AR325" s="65"/>
      <c r="AS325" s="32"/>
      <c r="AT325" s="32"/>
      <c r="AX325" s="23"/>
    </row>
    <row r="326" spans="1:65" x14ac:dyDescent="0.25">
      <c r="B326" s="22"/>
      <c r="AN326" s="27"/>
      <c r="AO326" s="27"/>
      <c r="AP326" s="27"/>
      <c r="AQ326" s="27"/>
    </row>
    <row r="327" spans="1:65" x14ac:dyDescent="0.25">
      <c r="B327" s="23"/>
      <c r="AN327" s="22"/>
    </row>
  </sheetData>
  <sheetProtection sheet="1" objects="1" scenarios="1"/>
  <protectedRanges>
    <protectedRange sqref="A7:L324 N7:W324 Y7:AK324 AM7:AQ324" name="Plage1"/>
  </protectedRanges>
  <mergeCells count="44">
    <mergeCell ref="AN4:AN5"/>
    <mergeCell ref="AO4:AO6"/>
    <mergeCell ref="AQ4:AQ6"/>
    <mergeCell ref="AP4:AP6"/>
    <mergeCell ref="AK4:AK6"/>
    <mergeCell ref="AC4:AC5"/>
    <mergeCell ref="AJ4:AJ6"/>
    <mergeCell ref="AI4:AI6"/>
    <mergeCell ref="AL4:AL5"/>
    <mergeCell ref="AM4:AM5"/>
    <mergeCell ref="AG4:AG5"/>
    <mergeCell ref="AD4:AD5"/>
    <mergeCell ref="AE4:AE5"/>
    <mergeCell ref="AF4:AF5"/>
    <mergeCell ref="AH4:AH6"/>
    <mergeCell ref="A4:A6"/>
    <mergeCell ref="B4:B6"/>
    <mergeCell ref="Q4:Q6"/>
    <mergeCell ref="S4:S6"/>
    <mergeCell ref="L4:L5"/>
    <mergeCell ref="G4:G5"/>
    <mergeCell ref="H4:H5"/>
    <mergeCell ref="I4:I5"/>
    <mergeCell ref="J4:J5"/>
    <mergeCell ref="C4:C5"/>
    <mergeCell ref="D4:D5"/>
    <mergeCell ref="E4:E5"/>
    <mergeCell ref="N4:N5"/>
    <mergeCell ref="AR4:AR6"/>
    <mergeCell ref="F4:F5"/>
    <mergeCell ref="K4:K5"/>
    <mergeCell ref="M4:M5"/>
    <mergeCell ref="Y4:Y5"/>
    <mergeCell ref="Z4:Z5"/>
    <mergeCell ref="X4:X5"/>
    <mergeCell ref="O4:O5"/>
    <mergeCell ref="P4:P5"/>
    <mergeCell ref="R4:R5"/>
    <mergeCell ref="T4:T5"/>
    <mergeCell ref="U4:U5"/>
    <mergeCell ref="V4:V5"/>
    <mergeCell ref="AA4:AA5"/>
    <mergeCell ref="AB4:AB5"/>
    <mergeCell ref="W4:W5"/>
  </mergeCells>
  <phoneticPr fontId="6" type="noConversion"/>
  <conditionalFormatting sqref="AO7:AO17 AO115:AO280 K7:K324 AO283:AO324">
    <cfRule type="cellIs" dxfId="1" priority="3" stopIfTrue="1" operator="equal">
      <formula>0</formula>
    </cfRule>
  </conditionalFormatting>
  <conditionalFormatting sqref="AO18">
    <cfRule type="cellIs" dxfId="0" priority="1" stopIfTrue="1" operator="equal">
      <formula>0</formula>
    </cfRule>
  </conditionalFormatting>
  <pageMargins left="0.78740157499999996" right="0.78740157499999996" top="0.984251969" bottom="0.984251969" header="0.4921259845" footer="0.4921259845"/>
  <pageSetup paperSize="9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R333"/>
  <sheetViews>
    <sheetView workbookViewId="0"/>
  </sheetViews>
  <sheetFormatPr baseColWidth="10" defaultColWidth="8.625" defaultRowHeight="15" x14ac:dyDescent="0.25"/>
  <cols>
    <col min="1" max="1" width="7.625" style="7" customWidth="1"/>
    <col min="2" max="2" width="20.25" style="24" bestFit="1" customWidth="1"/>
    <col min="3" max="3" width="15.75" style="24" hidden="1" customWidth="1"/>
    <col min="4" max="4" width="9.875" style="9" hidden="1" customWidth="1"/>
    <col min="5" max="5" width="7.75" style="24" hidden="1" customWidth="1"/>
    <col min="6" max="6" width="13.25" style="9" hidden="1" customWidth="1"/>
    <col min="7" max="7" width="18.25" style="24" bestFit="1" customWidth="1"/>
    <col min="8" max="8" width="9.25" style="9" hidden="1" customWidth="1"/>
    <col min="9" max="9" width="10" style="24" hidden="1" customWidth="1"/>
    <col min="10" max="10" width="15.875" style="24" hidden="1" customWidth="1"/>
    <col min="11" max="12" width="12.125" style="24" hidden="1" customWidth="1"/>
    <col min="13" max="14" width="9.125" style="24" hidden="1" customWidth="1"/>
    <col min="15" max="15" width="10" style="24" hidden="1" customWidth="1"/>
    <col min="16" max="16" width="13" style="24" hidden="1" customWidth="1"/>
    <col min="17" max="17" width="8.625" style="24" customWidth="1"/>
    <col min="18" max="18" width="12.125" style="24" bestFit="1" customWidth="1"/>
    <col min="19" max="19" width="9.125" style="27" hidden="1" customWidth="1"/>
    <col min="20" max="20" width="12.125" style="27" bestFit="1" customWidth="1"/>
    <col min="21" max="21" width="12.125" style="24" customWidth="1"/>
    <col min="22" max="22" width="13.375" style="24" bestFit="1" customWidth="1"/>
    <col min="23" max="24" width="12.125" style="24" bestFit="1" customWidth="1"/>
    <col min="25" max="25" width="12.75" style="24" customWidth="1"/>
    <col min="26" max="26" width="9.875" style="24" bestFit="1" customWidth="1"/>
    <col min="27" max="27" width="10" style="24" bestFit="1" customWidth="1"/>
    <col min="28" max="29" width="11.25" style="24" bestFit="1" customWidth="1"/>
    <col min="30" max="30" width="10.125" style="27" bestFit="1" customWidth="1"/>
    <col min="31" max="31" width="12.125" style="24" bestFit="1" customWidth="1"/>
    <col min="32" max="32" width="11.25" style="24" bestFit="1" customWidth="1"/>
    <col min="33" max="33" width="12.125" style="24" bestFit="1" customWidth="1"/>
    <col min="34" max="34" width="10.125" style="24" customWidth="1"/>
    <col min="35" max="36" width="12.125" style="24" bestFit="1" customWidth="1"/>
    <col min="37" max="38" width="10.125" style="24" bestFit="1" customWidth="1"/>
    <col min="39" max="40" width="12.125" style="24" bestFit="1" customWidth="1"/>
    <col min="41" max="41" width="11.75" style="24" bestFit="1" customWidth="1"/>
    <col min="42" max="42" width="13.875" style="24" bestFit="1" customWidth="1"/>
    <col min="43" max="43" width="11.75" style="24" bestFit="1" customWidth="1"/>
    <col min="44" max="44" width="8.625" style="24" customWidth="1"/>
    <col min="45" max="16384" width="8.625" style="24"/>
  </cols>
  <sheetData>
    <row r="1" spans="1:44" ht="21" x14ac:dyDescent="0.35">
      <c r="A1" s="55" t="s">
        <v>521</v>
      </c>
      <c r="B1" s="56"/>
      <c r="C1" s="56"/>
      <c r="E1" s="58"/>
      <c r="G1" s="7"/>
      <c r="H1" s="8"/>
      <c r="I1" s="7"/>
      <c r="J1" s="7"/>
      <c r="K1" s="7"/>
      <c r="L1" s="7"/>
      <c r="AC1" s="57"/>
    </row>
    <row r="2" spans="1:44" ht="21" x14ac:dyDescent="0.35">
      <c r="A2" s="55" t="str">
        <f>Paramètres!B5</f>
        <v>Acomptes 2016</v>
      </c>
      <c r="C2" s="55"/>
      <c r="E2" s="58"/>
      <c r="G2" s="59"/>
      <c r="H2" s="8"/>
      <c r="I2" s="7"/>
      <c r="J2" s="7"/>
      <c r="K2" s="7"/>
      <c r="L2" s="7"/>
      <c r="AC2" s="57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</row>
    <row r="3" spans="1:44" x14ac:dyDescent="0.25">
      <c r="A3" s="6"/>
      <c r="B3" s="7"/>
      <c r="C3" s="7"/>
      <c r="E3" s="58"/>
      <c r="G3" s="7"/>
      <c r="H3" s="8"/>
      <c r="I3" s="7"/>
      <c r="J3" s="7"/>
      <c r="K3" s="7"/>
      <c r="L3" s="7"/>
      <c r="O3" s="57"/>
    </row>
    <row r="4" spans="1:44" s="29" customFormat="1" ht="43.5" customHeight="1" x14ac:dyDescent="0.2">
      <c r="A4" s="422" t="s">
        <v>53</v>
      </c>
      <c r="B4" s="425" t="s">
        <v>123</v>
      </c>
      <c r="C4" s="431" t="s">
        <v>289</v>
      </c>
      <c r="D4" s="416" t="s">
        <v>284</v>
      </c>
      <c r="E4" s="413" t="s">
        <v>285</v>
      </c>
      <c r="F4" s="416" t="s">
        <v>286</v>
      </c>
      <c r="G4" s="431" t="s">
        <v>287</v>
      </c>
      <c r="H4" s="416" t="s">
        <v>297</v>
      </c>
      <c r="I4" s="431" t="s">
        <v>298</v>
      </c>
      <c r="J4" s="431" t="s">
        <v>299</v>
      </c>
      <c r="K4" s="431" t="s">
        <v>434</v>
      </c>
      <c r="L4" s="431" t="s">
        <v>435</v>
      </c>
      <c r="M4" s="431" t="s">
        <v>436</v>
      </c>
      <c r="N4" s="416" t="s">
        <v>470</v>
      </c>
      <c r="O4" s="431" t="s">
        <v>55</v>
      </c>
      <c r="P4" s="431" t="s">
        <v>437</v>
      </c>
      <c r="Q4" s="413" t="s">
        <v>590</v>
      </c>
      <c r="R4" s="435" t="s">
        <v>547</v>
      </c>
      <c r="S4" s="429" t="s">
        <v>94</v>
      </c>
      <c r="T4" s="435" t="s">
        <v>389</v>
      </c>
      <c r="U4" s="435" t="s">
        <v>524</v>
      </c>
      <c r="V4" s="431" t="s">
        <v>231</v>
      </c>
      <c r="W4" s="431" t="s">
        <v>232</v>
      </c>
      <c r="X4" s="431" t="s">
        <v>233</v>
      </c>
      <c r="Y4" s="438" t="s">
        <v>491</v>
      </c>
      <c r="Z4" s="431" t="s">
        <v>230</v>
      </c>
      <c r="AA4" s="431" t="s">
        <v>234</v>
      </c>
      <c r="AB4" s="431" t="s">
        <v>124</v>
      </c>
      <c r="AC4" s="431" t="s">
        <v>125</v>
      </c>
      <c r="AD4" s="429" t="s">
        <v>126</v>
      </c>
      <c r="AE4" s="431" t="s">
        <v>127</v>
      </c>
      <c r="AF4" s="431" t="s">
        <v>128</v>
      </c>
      <c r="AG4" s="431" t="s">
        <v>87</v>
      </c>
      <c r="AH4" s="431" t="s">
        <v>291</v>
      </c>
      <c r="AI4" s="431" t="s">
        <v>88</v>
      </c>
      <c r="AJ4" s="431" t="s">
        <v>89</v>
      </c>
      <c r="AK4" s="431" t="s">
        <v>522</v>
      </c>
      <c r="AL4" s="431" t="s">
        <v>91</v>
      </c>
      <c r="AM4" s="431" t="s">
        <v>92</v>
      </c>
      <c r="AN4" s="431" t="s">
        <v>477</v>
      </c>
      <c r="AO4" s="431" t="s">
        <v>478</v>
      </c>
      <c r="AP4" s="431" t="s">
        <v>479</v>
      </c>
      <c r="AQ4" s="431" t="s">
        <v>480</v>
      </c>
      <c r="AR4" s="431" t="s">
        <v>350</v>
      </c>
    </row>
    <row r="5" spans="1:44" s="29" customFormat="1" ht="38.1" customHeight="1" x14ac:dyDescent="0.2">
      <c r="A5" s="423"/>
      <c r="B5" s="426"/>
      <c r="C5" s="434"/>
      <c r="D5" s="428"/>
      <c r="E5" s="414"/>
      <c r="F5" s="428"/>
      <c r="G5" s="434"/>
      <c r="H5" s="417"/>
      <c r="I5" s="434"/>
      <c r="J5" s="434"/>
      <c r="K5" s="434"/>
      <c r="L5" s="434"/>
      <c r="M5" s="434"/>
      <c r="N5" s="428"/>
      <c r="O5" s="433"/>
      <c r="P5" s="434"/>
      <c r="Q5" s="414"/>
      <c r="R5" s="437"/>
      <c r="S5" s="430"/>
      <c r="T5" s="437"/>
      <c r="U5" s="436"/>
      <c r="V5" s="434"/>
      <c r="W5" s="434"/>
      <c r="X5" s="434"/>
      <c r="Y5" s="439"/>
      <c r="Z5" s="434"/>
      <c r="AA5" s="434"/>
      <c r="AB5" s="434"/>
      <c r="AC5" s="434"/>
      <c r="AD5" s="430"/>
      <c r="AE5" s="434"/>
      <c r="AF5" s="434"/>
      <c r="AG5" s="434"/>
      <c r="AH5" s="434"/>
      <c r="AI5" s="433"/>
      <c r="AJ5" s="433"/>
      <c r="AK5" s="433"/>
      <c r="AL5" s="433"/>
      <c r="AM5" s="434"/>
      <c r="AN5" s="433"/>
      <c r="AO5" s="433"/>
      <c r="AP5" s="433"/>
      <c r="AQ5" s="433"/>
      <c r="AR5" s="434"/>
    </row>
    <row r="6" spans="1:44" ht="14.25" customHeight="1" x14ac:dyDescent="0.25">
      <c r="A6" s="424"/>
      <c r="B6" s="427"/>
      <c r="C6" s="71" t="s">
        <v>290</v>
      </c>
      <c r="D6" s="417"/>
      <c r="E6" s="415"/>
      <c r="F6" s="417"/>
      <c r="G6" s="71" t="s">
        <v>288</v>
      </c>
      <c r="H6" s="46" t="s">
        <v>95</v>
      </c>
      <c r="I6" s="47" t="s">
        <v>96</v>
      </c>
      <c r="J6" s="47" t="s">
        <v>97</v>
      </c>
      <c r="K6" s="71" t="s">
        <v>98</v>
      </c>
      <c r="L6" s="47" t="s">
        <v>99</v>
      </c>
      <c r="M6" s="47" t="s">
        <v>100</v>
      </c>
      <c r="N6" s="417"/>
      <c r="O6" s="434"/>
      <c r="P6" s="47" t="s">
        <v>101</v>
      </c>
      <c r="Q6" s="415"/>
      <c r="R6" s="436"/>
      <c r="S6" s="72">
        <f>Paramètres!B8</f>
        <v>2014</v>
      </c>
      <c r="T6" s="436"/>
      <c r="U6" s="343" t="str">
        <f>Paramètres!B5</f>
        <v>Acomptes 2016</v>
      </c>
      <c r="V6" s="47" t="s">
        <v>104</v>
      </c>
      <c r="W6" s="47" t="s">
        <v>105</v>
      </c>
      <c r="X6" s="47" t="s">
        <v>106</v>
      </c>
      <c r="Y6" s="440"/>
      <c r="Z6" s="71" t="s">
        <v>103</v>
      </c>
      <c r="AA6" s="71" t="s">
        <v>107</v>
      </c>
      <c r="AB6" s="47" t="s">
        <v>108</v>
      </c>
      <c r="AC6" s="47" t="s">
        <v>109</v>
      </c>
      <c r="AD6" s="50" t="s">
        <v>110</v>
      </c>
      <c r="AE6" s="71" t="s">
        <v>112</v>
      </c>
      <c r="AF6" s="47" t="s">
        <v>113</v>
      </c>
      <c r="AG6" s="47" t="s">
        <v>114</v>
      </c>
      <c r="AH6" s="47" t="s">
        <v>115</v>
      </c>
      <c r="AI6" s="434"/>
      <c r="AJ6" s="434"/>
      <c r="AK6" s="434"/>
      <c r="AL6" s="434"/>
      <c r="AM6" s="47" t="s">
        <v>301</v>
      </c>
      <c r="AN6" s="434"/>
      <c r="AO6" s="434"/>
      <c r="AP6" s="434"/>
      <c r="AQ6" s="434"/>
      <c r="AR6" s="53">
        <f>Paramètres!B7</f>
        <v>40542</v>
      </c>
    </row>
    <row r="7" spans="1:44" x14ac:dyDescent="0.25">
      <c r="A7" s="13">
        <f>'A) Base RI'!A7</f>
        <v>5401</v>
      </c>
      <c r="B7" s="62" t="str">
        <f>'A) Base RI'!B7</f>
        <v>Aigle</v>
      </c>
      <c r="C7" s="18">
        <f>'A) Base RI'!C7+'A) Base RI'!D7</f>
        <v>13493858.440000001</v>
      </c>
      <c r="D7" s="18">
        <f>'A) Base RI'!AO7</f>
        <v>-1145321.19</v>
      </c>
      <c r="E7" s="61">
        <f>'A) Base RI'!AP7</f>
        <v>0</v>
      </c>
      <c r="F7" s="61">
        <f>'A) Base RI'!AQ7</f>
        <v>-1360.77</v>
      </c>
      <c r="G7" s="4">
        <f>SUM(C7:F7)</f>
        <v>12347176.480000002</v>
      </c>
      <c r="H7" s="18">
        <f>'A) Base RI'!E7</f>
        <v>0</v>
      </c>
      <c r="I7" s="18">
        <f>'A) Base RI'!F7</f>
        <v>157.55000000000001</v>
      </c>
      <c r="J7" s="18">
        <f>'A) Base RI'!G7+'A) Base RI'!H7</f>
        <v>2403300.9000000004</v>
      </c>
      <c r="K7" s="18">
        <f>'A) Base RI'!I7</f>
        <v>42657.05</v>
      </c>
      <c r="L7" s="18">
        <f>'A) Base RI'!J7</f>
        <v>793660.44</v>
      </c>
      <c r="M7" s="18">
        <f>'A) Base RI'!K7</f>
        <v>168726.75</v>
      </c>
      <c r="N7" s="18">
        <f>'A) Base RI'!Q7</f>
        <v>51587.71</v>
      </c>
      <c r="O7" s="18">
        <f>(P7/Q7)*1</f>
        <v>1493956.3333333335</v>
      </c>
      <c r="P7" s="18">
        <f>'A) Base RI'!L7</f>
        <v>1792747.6</v>
      </c>
      <c r="Q7" s="64">
        <f>'A) Base RI'!AR7</f>
        <v>1.2</v>
      </c>
      <c r="R7" s="4">
        <f>SUM(G7:O7)</f>
        <v>17301223.213333338</v>
      </c>
      <c r="S7" s="63">
        <f>'A) Base RI'!AM7</f>
        <v>67.5</v>
      </c>
      <c r="T7" s="4">
        <f>(G7+H7+J7+K7+L7+N7)</f>
        <v>15638382.580000004</v>
      </c>
      <c r="U7" s="4">
        <f>R7/S7</f>
        <v>256314.41797530872</v>
      </c>
      <c r="V7" s="18">
        <f>'A) Base RI'!O7</f>
        <v>127887.1</v>
      </c>
      <c r="W7" s="18">
        <f>'A) Base RI'!P7</f>
        <v>468431.8</v>
      </c>
      <c r="X7" s="18">
        <f>'A) Base RI'!R7</f>
        <v>193189.45</v>
      </c>
      <c r="Y7" s="4">
        <f>SUM(V7:X7)</f>
        <v>789508.35000000009</v>
      </c>
      <c r="Z7" s="18">
        <f>'A) Base RI'!N7</f>
        <v>853284.1</v>
      </c>
      <c r="AA7" s="18">
        <f>'A) Base RI'!S7+'A) Base RI'!T7</f>
        <v>71846.55</v>
      </c>
      <c r="AB7" s="18">
        <f>'A) Base RI'!U7</f>
        <v>39275</v>
      </c>
      <c r="AC7" s="18">
        <f>'A) Base RI'!V7</f>
        <v>98</v>
      </c>
      <c r="AD7" s="18">
        <f>'A) Base RI'!W7</f>
        <v>0</v>
      </c>
      <c r="AE7" s="18">
        <f>'A) Base RI'!Y7</f>
        <v>232822.75</v>
      </c>
      <c r="AF7" s="18">
        <f>'A) Base RI'!Z7</f>
        <v>0</v>
      </c>
      <c r="AG7" s="18">
        <f>'A) Base RI'!AA7</f>
        <v>820439.15</v>
      </c>
      <c r="AH7" s="18">
        <f>'A) Base RI'!AB7</f>
        <v>0</v>
      </c>
      <c r="AI7" s="18">
        <f>'A) Base RI'!AC7</f>
        <v>1255251.1499999999</v>
      </c>
      <c r="AJ7" s="18">
        <f>'A) Base RI'!AD7</f>
        <v>320773.95</v>
      </c>
      <c r="AK7" s="18">
        <f>'A) Base RI'!AE7</f>
        <v>0</v>
      </c>
      <c r="AL7" s="18">
        <f>'A) Base RI'!AF7</f>
        <v>4855.1000000000004</v>
      </c>
      <c r="AM7" s="18">
        <f>'A) Base RI'!AG7</f>
        <v>33398.65</v>
      </c>
      <c r="AN7" s="18">
        <f>'A) Base RI'!AH7</f>
        <v>386655.7</v>
      </c>
      <c r="AO7" s="18">
        <f>'A) Base RI'!AI7</f>
        <v>0</v>
      </c>
      <c r="AP7" s="18">
        <f>'A) Base RI'!AJ7</f>
        <v>0</v>
      </c>
      <c r="AQ7" s="18">
        <f>'A) Base RI'!AK7</f>
        <v>216667.35</v>
      </c>
      <c r="AR7" s="18">
        <f>'A) Base RI'!AN7</f>
        <v>9771</v>
      </c>
    </row>
    <row r="8" spans="1:44" x14ac:dyDescent="0.25">
      <c r="A8" s="13">
        <f>'A) Base RI'!A8</f>
        <v>5402</v>
      </c>
      <c r="B8" s="62" t="str">
        <f>'A) Base RI'!B8</f>
        <v>Bex</v>
      </c>
      <c r="C8" s="18">
        <f>'A) Base RI'!C8+'A) Base RI'!D8</f>
        <v>9197110.6099999994</v>
      </c>
      <c r="D8" s="18">
        <f>'A) Base RI'!AO8</f>
        <v>-462827.74</v>
      </c>
      <c r="E8" s="61">
        <f>'A) Base RI'!AP8</f>
        <v>0</v>
      </c>
      <c r="F8" s="61">
        <f>'A) Base RI'!AQ8</f>
        <v>-358.26</v>
      </c>
      <c r="G8" s="4">
        <f t="shared" ref="G8:G71" si="0">SUM(C8:F8)</f>
        <v>8733924.6099999994</v>
      </c>
      <c r="H8" s="18">
        <f>'A) Base RI'!E8</f>
        <v>0</v>
      </c>
      <c r="I8" s="18">
        <f>'A) Base RI'!F8</f>
        <v>0</v>
      </c>
      <c r="J8" s="18">
        <f>'A) Base RI'!G8+'A) Base RI'!H8</f>
        <v>1231861.5999999999</v>
      </c>
      <c r="K8" s="18">
        <f>'A) Base RI'!I8</f>
        <v>95937.75</v>
      </c>
      <c r="L8" s="18">
        <f>'A) Base RI'!J8</f>
        <v>471801.09</v>
      </c>
      <c r="M8" s="18">
        <f>'A) Base RI'!K8</f>
        <v>24539.5</v>
      </c>
      <c r="N8" s="18">
        <f>'A) Base RI'!Q8</f>
        <v>19737.75</v>
      </c>
      <c r="O8" s="18">
        <f t="shared" ref="O8:O71" si="1">P8/Q8*1</f>
        <v>1046635.68</v>
      </c>
      <c r="P8" s="18">
        <f>'A) Base RI'!L8</f>
        <v>1308294.6000000001</v>
      </c>
      <c r="Q8" s="64">
        <f>'A) Base RI'!AR8</f>
        <v>1.25</v>
      </c>
      <c r="R8" s="4">
        <f t="shared" ref="R8:R71" si="2">SUM(G8:O8)</f>
        <v>11624437.979999999</v>
      </c>
      <c r="S8" s="63">
        <f>'A) Base RI'!AM8</f>
        <v>71</v>
      </c>
      <c r="T8" s="4">
        <f t="shared" ref="T8:T71" si="3">(G8+H8+J8+K8+L8+N8)</f>
        <v>10553262.799999999</v>
      </c>
      <c r="U8" s="4">
        <f t="shared" ref="U8:U71" si="4">R8/S8</f>
        <v>163724.47859154927</v>
      </c>
      <c r="V8" s="18">
        <f>'A) Base RI'!O8</f>
        <v>239389.4</v>
      </c>
      <c r="W8" s="18">
        <f>'A) Base RI'!P8</f>
        <v>530197.30000000005</v>
      </c>
      <c r="X8" s="18">
        <f>'A) Base RI'!R8</f>
        <v>354523.25</v>
      </c>
      <c r="Y8" s="4">
        <f t="shared" ref="Y8:Y71" si="5">SUM(V8:X8)</f>
        <v>1124109.9500000002</v>
      </c>
      <c r="Z8" s="18">
        <f>'A) Base RI'!N8</f>
        <v>143559.79999999999</v>
      </c>
      <c r="AA8" s="18">
        <f>'A) Base RI'!S8+'A) Base RI'!T8</f>
        <v>23231.25</v>
      </c>
      <c r="AB8" s="18">
        <f>'A) Base RI'!U8</f>
        <v>38300</v>
      </c>
      <c r="AC8" s="18">
        <f>'A) Base RI'!V8</f>
        <v>116493.65</v>
      </c>
      <c r="AD8" s="18">
        <f>'A) Base RI'!W8</f>
        <v>2132</v>
      </c>
      <c r="AE8" s="18">
        <f>'A) Base RI'!Y8</f>
        <v>152806.75</v>
      </c>
      <c r="AF8" s="18">
        <f>'A) Base RI'!Z8</f>
        <v>653063.6</v>
      </c>
      <c r="AG8" s="18">
        <f>'A) Base RI'!AA8</f>
        <v>1855118.35</v>
      </c>
      <c r="AH8" s="18">
        <f>'A) Base RI'!AB8</f>
        <v>0</v>
      </c>
      <c r="AI8" s="18">
        <f>'A) Base RI'!AC8</f>
        <v>760896.28</v>
      </c>
      <c r="AJ8" s="18">
        <f>'A) Base RI'!AD8</f>
        <v>661697.1</v>
      </c>
      <c r="AK8" s="18">
        <f>'A) Base RI'!AE8</f>
        <v>0</v>
      </c>
      <c r="AL8" s="18">
        <f>'A) Base RI'!AF8</f>
        <v>0</v>
      </c>
      <c r="AM8" s="18">
        <f>'A) Base RI'!AG8</f>
        <v>88801.05</v>
      </c>
      <c r="AN8" s="18">
        <f>'A) Base RI'!AH8</f>
        <v>247203.05</v>
      </c>
      <c r="AO8" s="18">
        <f>'A) Base RI'!AI8</f>
        <v>0</v>
      </c>
      <c r="AP8" s="18">
        <f>'A) Base RI'!AJ8</f>
        <v>0</v>
      </c>
      <c r="AQ8" s="18">
        <f>'A) Base RI'!AK8</f>
        <v>0</v>
      </c>
      <c r="AR8" s="18">
        <f>'A) Base RI'!AN8</f>
        <v>7007</v>
      </c>
    </row>
    <row r="9" spans="1:44" x14ac:dyDescent="0.25">
      <c r="A9" s="13">
        <f>'A) Base RI'!A9</f>
        <v>5403</v>
      </c>
      <c r="B9" s="62" t="str">
        <f>'A) Base RI'!B9</f>
        <v>Chessel</v>
      </c>
      <c r="C9" s="18">
        <f>'A) Base RI'!C9+'A) Base RI'!D9</f>
        <v>582098.05000000005</v>
      </c>
      <c r="D9" s="18">
        <f>'A) Base RI'!AO9</f>
        <v>-57001.81</v>
      </c>
      <c r="E9" s="61">
        <f>'A) Base RI'!AP9</f>
        <v>0</v>
      </c>
      <c r="F9" s="61">
        <f>'A) Base RI'!AQ9</f>
        <v>-4.53</v>
      </c>
      <c r="G9" s="4">
        <f t="shared" si="0"/>
        <v>525091.71</v>
      </c>
      <c r="H9" s="18">
        <f>'A) Base RI'!E9</f>
        <v>0</v>
      </c>
      <c r="I9" s="18">
        <f>'A) Base RI'!F9</f>
        <v>0</v>
      </c>
      <c r="J9" s="18">
        <f>'A) Base RI'!G9+'A) Base RI'!H9</f>
        <v>12918.300000000001</v>
      </c>
      <c r="K9" s="18">
        <v>0</v>
      </c>
      <c r="L9" s="18">
        <f>'A) Base RI'!J9</f>
        <v>6838.22</v>
      </c>
      <c r="M9" s="18">
        <f>'A) Base RI'!K9</f>
        <v>2380</v>
      </c>
      <c r="N9" s="18">
        <f>'A) Base RI'!Q9</f>
        <v>3511.67</v>
      </c>
      <c r="O9" s="18">
        <f t="shared" si="1"/>
        <v>44084.15</v>
      </c>
      <c r="P9" s="18">
        <f>'A) Base RI'!L9</f>
        <v>44084.15</v>
      </c>
      <c r="Q9" s="64">
        <f>'A) Base RI'!AR9</f>
        <v>1</v>
      </c>
      <c r="R9" s="4">
        <f t="shared" si="2"/>
        <v>594824.05000000005</v>
      </c>
      <c r="S9" s="63">
        <f>'A) Base RI'!AM9</f>
        <v>76</v>
      </c>
      <c r="T9" s="4">
        <f t="shared" si="3"/>
        <v>548359.9</v>
      </c>
      <c r="U9" s="4">
        <f t="shared" si="4"/>
        <v>7826.6322368421061</v>
      </c>
      <c r="V9" s="18">
        <f>'A) Base RI'!O9</f>
        <v>8750.4</v>
      </c>
      <c r="W9" s="18">
        <f>'A) Base RI'!P9</f>
        <v>11680.2</v>
      </c>
      <c r="X9" s="18">
        <f>'A) Base RI'!R9</f>
        <v>23590.6</v>
      </c>
      <c r="Y9" s="4">
        <f t="shared" si="5"/>
        <v>44021.2</v>
      </c>
      <c r="Z9" s="18">
        <f>'A) Base RI'!N9</f>
        <v>4037.55</v>
      </c>
      <c r="AA9" s="18">
        <f>'A) Base RI'!S9+'A) Base RI'!T9</f>
        <v>25</v>
      </c>
      <c r="AB9" s="18">
        <f>'A) Base RI'!U9</f>
        <v>3600</v>
      </c>
      <c r="AC9" s="18">
        <f>'A) Base RI'!V9</f>
        <v>0</v>
      </c>
      <c r="AD9" s="18">
        <f>'A) Base RI'!W9</f>
        <v>0</v>
      </c>
      <c r="AE9" s="18">
        <f>'A) Base RI'!Y9</f>
        <v>0</v>
      </c>
      <c r="AF9" s="18">
        <f>'A) Base RI'!Z9</f>
        <v>0</v>
      </c>
      <c r="AG9" s="18">
        <f>'A) Base RI'!AA9</f>
        <v>43645.2</v>
      </c>
      <c r="AH9" s="18">
        <f>'A) Base RI'!AB9</f>
        <v>0</v>
      </c>
      <c r="AI9" s="18">
        <f>'A) Base RI'!AC9</f>
        <v>44988.45</v>
      </c>
      <c r="AJ9" s="18">
        <f>'A) Base RI'!AD9</f>
        <v>0</v>
      </c>
      <c r="AK9" s="18">
        <f>'A) Base RI'!AE9</f>
        <v>0</v>
      </c>
      <c r="AL9" s="18">
        <f>'A) Base RI'!AF9</f>
        <v>0</v>
      </c>
      <c r="AM9" s="18">
        <f>'A) Base RI'!AG9</f>
        <v>28257.5</v>
      </c>
      <c r="AN9" s="18">
        <f>'A) Base RI'!AH9</f>
        <v>0</v>
      </c>
      <c r="AO9" s="18">
        <f>'A) Base RI'!AI9</f>
        <v>0</v>
      </c>
      <c r="AP9" s="18">
        <f>'A) Base RI'!AJ9</f>
        <v>0</v>
      </c>
      <c r="AQ9" s="18">
        <f>'A) Base RI'!AK9</f>
        <v>0</v>
      </c>
      <c r="AR9" s="18">
        <f>'A) Base RI'!AN9</f>
        <v>362</v>
      </c>
    </row>
    <row r="10" spans="1:44" x14ac:dyDescent="0.25">
      <c r="A10" s="13">
        <f>'A) Base RI'!A10</f>
        <v>5404</v>
      </c>
      <c r="B10" s="62" t="str">
        <f>'A) Base RI'!B10</f>
        <v>Corbeyrier</v>
      </c>
      <c r="C10" s="18">
        <f>'A) Base RI'!C10+'A) Base RI'!D10</f>
        <v>630000.22</v>
      </c>
      <c r="D10" s="18">
        <f>'A) Base RI'!AO10</f>
        <v>-5383.31</v>
      </c>
      <c r="E10" s="61">
        <f>'A) Base RI'!AP10</f>
        <v>0</v>
      </c>
      <c r="F10" s="61">
        <f>'A) Base RI'!AQ10</f>
        <v>-0.37</v>
      </c>
      <c r="G10" s="4">
        <f t="shared" si="0"/>
        <v>624616.53999999992</v>
      </c>
      <c r="H10" s="18">
        <f>'A) Base RI'!E10</f>
        <v>0</v>
      </c>
      <c r="I10" s="18">
        <f>'A) Base RI'!F10</f>
        <v>0</v>
      </c>
      <c r="J10" s="18">
        <f>'A) Base RI'!G10+'A) Base RI'!H10</f>
        <v>-85332.2</v>
      </c>
      <c r="K10" s="18">
        <v>0</v>
      </c>
      <c r="L10" s="18">
        <f>'A) Base RI'!J10</f>
        <v>2406.9899999999998</v>
      </c>
      <c r="M10" s="18">
        <f>'A) Base RI'!K10</f>
        <v>860</v>
      </c>
      <c r="N10" s="18">
        <f>'A) Base RI'!Q10</f>
        <v>4218.26</v>
      </c>
      <c r="O10" s="18">
        <f t="shared" si="1"/>
        <v>66609.96666666666</v>
      </c>
      <c r="P10" s="18">
        <f>'A) Base RI'!L10</f>
        <v>99914.95</v>
      </c>
      <c r="Q10" s="64">
        <f>'A) Base RI'!AR10</f>
        <v>1.5</v>
      </c>
      <c r="R10" s="4">
        <f t="shared" si="2"/>
        <v>613379.55666666664</v>
      </c>
      <c r="S10" s="63">
        <f>'A) Base RI'!AM10</f>
        <v>70</v>
      </c>
      <c r="T10" s="4">
        <f t="shared" si="3"/>
        <v>545909.59</v>
      </c>
      <c r="U10" s="4">
        <f t="shared" si="4"/>
        <v>8762.5650952380947</v>
      </c>
      <c r="V10" s="18">
        <f>'A) Base RI'!O10</f>
        <v>43466.2</v>
      </c>
      <c r="W10" s="18">
        <f>'A) Base RI'!P10</f>
        <v>34001.65</v>
      </c>
      <c r="X10" s="18">
        <f>'A) Base RI'!R10</f>
        <v>102317.15</v>
      </c>
      <c r="Y10" s="4">
        <f t="shared" si="5"/>
        <v>179785</v>
      </c>
      <c r="Z10" s="18">
        <f>'A) Base RI'!N10</f>
        <v>10573.6</v>
      </c>
      <c r="AA10" s="18">
        <f>'A) Base RI'!S10+'A) Base RI'!T10</f>
        <v>137.5</v>
      </c>
      <c r="AB10" s="18">
        <f>'A) Base RI'!U10</f>
        <v>5350</v>
      </c>
      <c r="AC10" s="18">
        <f>'A) Base RI'!V10</f>
        <v>0</v>
      </c>
      <c r="AD10" s="18">
        <f>'A) Base RI'!W10</f>
        <v>0</v>
      </c>
      <c r="AE10" s="18">
        <f>'A) Base RI'!Y10</f>
        <v>27168</v>
      </c>
      <c r="AF10" s="18">
        <f>'A) Base RI'!Z10</f>
        <v>9715.65</v>
      </c>
      <c r="AG10" s="18">
        <f>'A) Base RI'!AA10</f>
        <v>108664.9</v>
      </c>
      <c r="AH10" s="18">
        <f>'A) Base RI'!AB10</f>
        <v>0</v>
      </c>
      <c r="AI10" s="18">
        <f>'A) Base RI'!AC10</f>
        <v>32556.799999999999</v>
      </c>
      <c r="AJ10" s="18">
        <f>'A) Base RI'!AD10</f>
        <v>18112</v>
      </c>
      <c r="AK10" s="18">
        <f>'A) Base RI'!AE10</f>
        <v>6800</v>
      </c>
      <c r="AL10" s="18">
        <f>'A) Base RI'!AF10</f>
        <v>0</v>
      </c>
      <c r="AM10" s="18">
        <f>'A) Base RI'!AG10</f>
        <v>5124.7</v>
      </c>
      <c r="AN10" s="18">
        <f>'A) Base RI'!AH10</f>
        <v>12470.5</v>
      </c>
      <c r="AO10" s="18">
        <f>'A) Base RI'!AI10</f>
        <v>0</v>
      </c>
      <c r="AP10" s="18">
        <f>'A) Base RI'!AJ10</f>
        <v>0</v>
      </c>
      <c r="AQ10" s="18">
        <f>'A) Base RI'!AK10</f>
        <v>0</v>
      </c>
      <c r="AR10" s="18">
        <f>'A) Base RI'!AN10</f>
        <v>421</v>
      </c>
    </row>
    <row r="11" spans="1:44" x14ac:dyDescent="0.25">
      <c r="A11" s="13">
        <f>'A) Base RI'!A11</f>
        <v>5405</v>
      </c>
      <c r="B11" s="62" t="str">
        <f>'A) Base RI'!B11</f>
        <v>Gryon</v>
      </c>
      <c r="C11" s="18">
        <f>'A) Base RI'!C11+'A) Base RI'!D11</f>
        <v>4202871.76</v>
      </c>
      <c r="D11" s="18">
        <f>'A) Base RI'!AO11</f>
        <v>-62435.15</v>
      </c>
      <c r="E11" s="61">
        <f>'A) Base RI'!AP11</f>
        <v>0</v>
      </c>
      <c r="F11" s="61">
        <f>'A) Base RI'!AQ11</f>
        <v>-1996.46</v>
      </c>
      <c r="G11" s="4">
        <f t="shared" si="0"/>
        <v>4138440.15</v>
      </c>
      <c r="H11" s="18">
        <f>'A) Base RI'!E11</f>
        <v>0</v>
      </c>
      <c r="I11" s="18">
        <f>'A) Base RI'!F11</f>
        <v>0</v>
      </c>
      <c r="J11" s="18">
        <f>'A) Base RI'!G11+'A) Base RI'!H11</f>
        <v>55335</v>
      </c>
      <c r="K11" s="18">
        <f>'A) Base RI'!I11</f>
        <v>185949</v>
      </c>
      <c r="L11" s="18">
        <f>'A) Base RI'!J11</f>
        <v>158613.32999999999</v>
      </c>
      <c r="M11" s="18">
        <f>'A) Base RI'!K11</f>
        <v>11160.5</v>
      </c>
      <c r="N11" s="18">
        <f>'A) Base RI'!Q11</f>
        <v>25777.52</v>
      </c>
      <c r="O11" s="18">
        <f t="shared" si="1"/>
        <v>463802.1333333333</v>
      </c>
      <c r="P11" s="18">
        <f>'A) Base RI'!L11</f>
        <v>695703.2</v>
      </c>
      <c r="Q11" s="64">
        <f>'A) Base RI'!AR11</f>
        <v>1.5</v>
      </c>
      <c r="R11" s="4">
        <f t="shared" si="2"/>
        <v>5039077.6333333328</v>
      </c>
      <c r="S11" s="63">
        <f>'A) Base RI'!AM11</f>
        <v>75</v>
      </c>
      <c r="T11" s="4">
        <f t="shared" si="3"/>
        <v>4564115</v>
      </c>
      <c r="U11" s="4">
        <f t="shared" si="4"/>
        <v>67187.701777777766</v>
      </c>
      <c r="V11" s="18">
        <f>'A) Base RI'!O11</f>
        <v>58509.7</v>
      </c>
      <c r="W11" s="18">
        <f>'A) Base RI'!P11</f>
        <v>355248.8</v>
      </c>
      <c r="X11" s="18">
        <f>'A) Base RI'!R11</f>
        <v>393324.7</v>
      </c>
      <c r="Y11" s="4">
        <f t="shared" si="5"/>
        <v>807083.2</v>
      </c>
      <c r="Z11" s="18">
        <v>0</v>
      </c>
      <c r="AA11" s="18">
        <f>'A) Base RI'!S11+'A) Base RI'!T11</f>
        <v>5875</v>
      </c>
      <c r="AB11" s="18">
        <f>'A) Base RI'!U11</f>
        <v>10350</v>
      </c>
      <c r="AC11" s="18">
        <f>'A) Base RI'!V11</f>
        <v>400</v>
      </c>
      <c r="AD11" s="18">
        <f>'A) Base RI'!W11</f>
        <v>0</v>
      </c>
      <c r="AE11" s="18">
        <f>'A) Base RI'!Y11</f>
        <v>23432</v>
      </c>
      <c r="AF11" s="18">
        <f>'A) Base RI'!Z11</f>
        <v>0</v>
      </c>
      <c r="AG11" s="18">
        <f>'A) Base RI'!AA11</f>
        <v>172309.55</v>
      </c>
      <c r="AH11" s="18">
        <f>'A) Base RI'!AB11</f>
        <v>0</v>
      </c>
      <c r="AI11" s="18">
        <f>'A) Base RI'!AC11</f>
        <v>421656</v>
      </c>
      <c r="AJ11" s="18">
        <f>'A) Base RI'!AD11</f>
        <v>59628</v>
      </c>
      <c r="AK11" s="18">
        <f>'A) Base RI'!AE11</f>
        <v>0</v>
      </c>
      <c r="AL11" s="18">
        <f>'A) Base RI'!AF11</f>
        <v>0</v>
      </c>
      <c r="AM11" s="18">
        <f>'A) Base RI'!AG11</f>
        <v>573686.19999999995</v>
      </c>
      <c r="AN11" s="18">
        <f>'A) Base RI'!AH11</f>
        <v>0</v>
      </c>
      <c r="AO11" s="18">
        <f>'A) Base RI'!AI11</f>
        <v>0</v>
      </c>
      <c r="AP11" s="18">
        <f>'A) Base RI'!AJ11</f>
        <v>0</v>
      </c>
      <c r="AQ11" s="18">
        <f>'A) Base RI'!AK11</f>
        <v>0</v>
      </c>
      <c r="AR11" s="18">
        <f>'A) Base RI'!AN11</f>
        <v>1248</v>
      </c>
    </row>
    <row r="12" spans="1:44" x14ac:dyDescent="0.25">
      <c r="A12" s="13">
        <f>'A) Base RI'!A12</f>
        <v>5406</v>
      </c>
      <c r="B12" s="62" t="str">
        <f>'A) Base RI'!B12</f>
        <v>Lavey-Morcles</v>
      </c>
      <c r="C12" s="18">
        <f>'A) Base RI'!C12+'A) Base RI'!D12</f>
        <v>1107749.08</v>
      </c>
      <c r="D12" s="18">
        <f>'A) Base RI'!AO12</f>
        <v>-47393.91</v>
      </c>
      <c r="E12" s="61">
        <f>'A) Base RI'!AP12</f>
        <v>0</v>
      </c>
      <c r="F12" s="61">
        <f>'A) Base RI'!AQ12</f>
        <v>-68.510000000000005</v>
      </c>
      <c r="G12" s="4">
        <f t="shared" si="0"/>
        <v>1060286.6600000001</v>
      </c>
      <c r="H12" s="18">
        <f>'A) Base RI'!E12</f>
        <v>0</v>
      </c>
      <c r="I12" s="18">
        <f>'A) Base RI'!F12</f>
        <v>0</v>
      </c>
      <c r="J12" s="18">
        <f>'A) Base RI'!G12+'A) Base RI'!H12</f>
        <v>69868.349999999991</v>
      </c>
      <c r="K12" s="18">
        <v>0</v>
      </c>
      <c r="L12" s="18">
        <f>'A) Base RI'!J12</f>
        <v>58257.27</v>
      </c>
      <c r="M12" s="18">
        <f>'A) Base RI'!K12</f>
        <v>7625</v>
      </c>
      <c r="N12" s="18">
        <f>'A) Base RI'!Q12</f>
        <v>38878.04</v>
      </c>
      <c r="O12" s="18">
        <f t="shared" si="1"/>
        <v>128991.23076923077</v>
      </c>
      <c r="P12" s="18">
        <f>'A) Base RI'!L12</f>
        <v>167688.6</v>
      </c>
      <c r="Q12" s="64">
        <f>'A) Base RI'!AR12</f>
        <v>1.3</v>
      </c>
      <c r="R12" s="4">
        <f t="shared" si="2"/>
        <v>1363906.550769231</v>
      </c>
      <c r="S12" s="63">
        <f>'A) Base RI'!AM12</f>
        <v>71</v>
      </c>
      <c r="T12" s="4">
        <f t="shared" si="3"/>
        <v>1227290.3200000003</v>
      </c>
      <c r="U12" s="4">
        <f t="shared" si="4"/>
        <v>19209.951419284946</v>
      </c>
      <c r="V12" s="18">
        <f>'A) Base RI'!O12</f>
        <v>45333.2</v>
      </c>
      <c r="W12" s="18">
        <f>'A) Base RI'!P12</f>
        <v>40402.199999999997</v>
      </c>
      <c r="X12" s="18">
        <f>'A) Base RI'!R12</f>
        <v>41843.199999999997</v>
      </c>
      <c r="Y12" s="4">
        <f t="shared" si="5"/>
        <v>127578.59999999999</v>
      </c>
      <c r="Z12" s="18">
        <v>0</v>
      </c>
      <c r="AA12" s="18">
        <f>'A) Base RI'!S12+'A) Base RI'!T12</f>
        <v>312.5</v>
      </c>
      <c r="AB12" s="18">
        <f>'A) Base RI'!U12</f>
        <v>7550</v>
      </c>
      <c r="AC12" s="18">
        <f>'A) Base RI'!V12</f>
        <v>431455</v>
      </c>
      <c r="AD12" s="18">
        <f>'A) Base RI'!W12</f>
        <v>0</v>
      </c>
      <c r="AE12" s="18">
        <f>'A) Base RI'!Y12</f>
        <v>12788.95</v>
      </c>
      <c r="AF12" s="18">
        <f>'A) Base RI'!Z12</f>
        <v>0</v>
      </c>
      <c r="AG12" s="18">
        <f>'A) Base RI'!AA12</f>
        <v>258088.9</v>
      </c>
      <c r="AH12" s="18">
        <f>'A) Base RI'!AB12</f>
        <v>0</v>
      </c>
      <c r="AI12" s="18">
        <f>'A) Base RI'!AC12</f>
        <v>122363.35</v>
      </c>
      <c r="AJ12" s="18">
        <f>'A) Base RI'!AD12</f>
        <v>15096.45</v>
      </c>
      <c r="AK12" s="18">
        <f>'A) Base RI'!AE12</f>
        <v>0</v>
      </c>
      <c r="AL12" s="18">
        <f>'A) Base RI'!AF12</f>
        <v>0</v>
      </c>
      <c r="AM12" s="18">
        <f>'A) Base RI'!AG12</f>
        <v>41262.5</v>
      </c>
      <c r="AN12" s="18">
        <f>'A) Base RI'!AH12</f>
        <v>64639.23</v>
      </c>
      <c r="AO12" s="18">
        <f>'A) Base RI'!AI12</f>
        <v>0</v>
      </c>
      <c r="AP12" s="18">
        <f>'A) Base RI'!AJ12</f>
        <v>0</v>
      </c>
      <c r="AQ12" s="18">
        <f>'A) Base RI'!AK12</f>
        <v>0</v>
      </c>
      <c r="AR12" s="18">
        <f>'A) Base RI'!AN12</f>
        <v>885</v>
      </c>
    </row>
    <row r="13" spans="1:44" x14ac:dyDescent="0.25">
      <c r="A13" s="13">
        <f>'A) Base RI'!A13</f>
        <v>5407</v>
      </c>
      <c r="B13" s="62" t="str">
        <f>'A) Base RI'!B13</f>
        <v>Leysin</v>
      </c>
      <c r="C13" s="18">
        <f>'A) Base RI'!C13+'A) Base RI'!D13</f>
        <v>5071494.13</v>
      </c>
      <c r="D13" s="18">
        <f>'A) Base RI'!AO13</f>
        <v>-121961.14</v>
      </c>
      <c r="E13" s="61">
        <f>'A) Base RI'!AP13</f>
        <v>0</v>
      </c>
      <c r="F13" s="61">
        <f>'A) Base RI'!AQ13</f>
        <v>-335.31</v>
      </c>
      <c r="G13" s="4">
        <f t="shared" si="0"/>
        <v>4949197.6800000006</v>
      </c>
      <c r="H13" s="18">
        <f>'A) Base RI'!E13</f>
        <v>0</v>
      </c>
      <c r="I13" s="18">
        <f>'A) Base RI'!F13</f>
        <v>0</v>
      </c>
      <c r="J13" s="18">
        <f>'A) Base RI'!G13+'A) Base RI'!H13</f>
        <v>1211097.27</v>
      </c>
      <c r="K13" s="18">
        <f>'A) Base RI'!I13</f>
        <v>177530.54</v>
      </c>
      <c r="L13" s="18">
        <f>'A) Base RI'!J13</f>
        <v>586978.78</v>
      </c>
      <c r="M13" s="18">
        <f>'A) Base RI'!K13</f>
        <v>55959</v>
      </c>
      <c r="N13" s="18">
        <f>'A) Base RI'!Q13</f>
        <v>19855.14</v>
      </c>
      <c r="O13" s="18">
        <f t="shared" si="1"/>
        <v>777626.06666666677</v>
      </c>
      <c r="P13" s="18">
        <f>'A) Base RI'!L13</f>
        <v>1166439.1000000001</v>
      </c>
      <c r="Q13" s="64">
        <f>'A) Base RI'!AR13</f>
        <v>1.5</v>
      </c>
      <c r="R13" s="4">
        <f t="shared" si="2"/>
        <v>7778244.4766666675</v>
      </c>
      <c r="S13" s="63">
        <f>'A) Base RI'!AM13</f>
        <v>78</v>
      </c>
      <c r="T13" s="4">
        <f t="shared" si="3"/>
        <v>6944659.4100000011</v>
      </c>
      <c r="U13" s="4">
        <f t="shared" si="4"/>
        <v>99721.08303418805</v>
      </c>
      <c r="V13" s="18">
        <f>'A) Base RI'!O13</f>
        <v>74768.3</v>
      </c>
      <c r="W13" s="18">
        <f>'A) Base RI'!P13</f>
        <v>488193.8</v>
      </c>
      <c r="X13" s="18">
        <f>'A) Base RI'!R13</f>
        <v>446373.2</v>
      </c>
      <c r="Y13" s="4">
        <f t="shared" si="5"/>
        <v>1009335.3</v>
      </c>
      <c r="Z13" s="18">
        <f>'A) Base RI'!N13</f>
        <v>23145.9</v>
      </c>
      <c r="AA13" s="18">
        <f>'A) Base RI'!S13+'A) Base RI'!T13</f>
        <v>1406.25</v>
      </c>
      <c r="AB13" s="18">
        <f>'A) Base RI'!U13</f>
        <v>14450</v>
      </c>
      <c r="AC13" s="18">
        <f>'A) Base RI'!V13</f>
        <v>14803.4</v>
      </c>
      <c r="AD13" s="18">
        <f>'A) Base RI'!W13</f>
        <v>1660</v>
      </c>
      <c r="AE13" s="18">
        <f>'A) Base RI'!Y13</f>
        <v>119610</v>
      </c>
      <c r="AF13" s="18">
        <f>'A) Base RI'!Z13</f>
        <v>0</v>
      </c>
      <c r="AG13" s="18">
        <f>'A) Base RI'!AA13</f>
        <v>547067.25</v>
      </c>
      <c r="AH13" s="18">
        <f>'A) Base RI'!AB13</f>
        <v>0</v>
      </c>
      <c r="AI13" s="18">
        <f>'A) Base RI'!AC13</f>
        <v>509000.31</v>
      </c>
      <c r="AJ13" s="18">
        <f>'A) Base RI'!AD13</f>
        <v>127515</v>
      </c>
      <c r="AK13" s="18">
        <f>'A) Base RI'!AE13</f>
        <v>0</v>
      </c>
      <c r="AL13" s="18">
        <f>'A) Base RI'!AF13</f>
        <v>0</v>
      </c>
      <c r="AM13" s="18">
        <f>'A) Base RI'!AG13</f>
        <v>0</v>
      </c>
      <c r="AN13" s="18">
        <f>'A) Base RI'!AH13</f>
        <v>137207.95000000001</v>
      </c>
      <c r="AO13" s="18">
        <f>'A) Base RI'!AI13</f>
        <v>0</v>
      </c>
      <c r="AP13" s="18">
        <f>'A) Base RI'!AJ13</f>
        <v>0</v>
      </c>
      <c r="AQ13" s="18">
        <f>'A) Base RI'!AK13</f>
        <v>0</v>
      </c>
      <c r="AR13" s="18">
        <f>'A) Base RI'!AN13</f>
        <v>4050</v>
      </c>
    </row>
    <row r="14" spans="1:44" x14ac:dyDescent="0.25">
      <c r="A14" s="13">
        <f>'A) Base RI'!A14</f>
        <v>5408</v>
      </c>
      <c r="B14" s="62" t="str">
        <f>'A) Base RI'!B14</f>
        <v>Noville</v>
      </c>
      <c r="C14" s="18">
        <f>'A) Base RI'!C14+'A) Base RI'!D14</f>
        <v>1753099.74</v>
      </c>
      <c r="D14" s="18">
        <f>'A) Base RI'!AO14</f>
        <v>-28086.53</v>
      </c>
      <c r="E14" s="61">
        <f>'A) Base RI'!AP14</f>
        <v>0</v>
      </c>
      <c r="F14" s="61">
        <f>'A) Base RI'!AQ14</f>
        <v>-294.16000000000003</v>
      </c>
      <c r="G14" s="4">
        <f t="shared" si="0"/>
        <v>1724719.05</v>
      </c>
      <c r="H14" s="18">
        <f>'A) Base RI'!E14</f>
        <v>0</v>
      </c>
      <c r="I14" s="18">
        <f>'A) Base RI'!F14</f>
        <v>0</v>
      </c>
      <c r="J14" s="18">
        <f>'A) Base RI'!G14+'A) Base RI'!H14</f>
        <v>269978.3</v>
      </c>
      <c r="K14" s="18">
        <f>'A) Base RI'!I14</f>
        <v>0</v>
      </c>
      <c r="L14" s="18">
        <f>'A) Base RI'!J14</f>
        <v>41153.14</v>
      </c>
      <c r="M14" s="18">
        <f>'A) Base RI'!K14</f>
        <v>7708</v>
      </c>
      <c r="N14" s="18">
        <f>'A) Base RI'!Q14</f>
        <v>458.45</v>
      </c>
      <c r="O14" s="18">
        <f t="shared" si="1"/>
        <v>136875.73333333334</v>
      </c>
      <c r="P14" s="18">
        <f>'A) Base RI'!L14</f>
        <v>205313.6</v>
      </c>
      <c r="Q14" s="64">
        <f>'A) Base RI'!AR14</f>
        <v>1.5</v>
      </c>
      <c r="R14" s="4">
        <f t="shared" si="2"/>
        <v>2180892.6733333333</v>
      </c>
      <c r="S14" s="63">
        <f>'A) Base RI'!AM14</f>
        <v>78.5</v>
      </c>
      <c r="T14" s="4">
        <f t="shared" si="3"/>
        <v>2036308.94</v>
      </c>
      <c r="U14" s="4">
        <f t="shared" si="4"/>
        <v>27782.072271762208</v>
      </c>
      <c r="V14" s="18">
        <f>'A) Base RI'!O14</f>
        <v>8893.5</v>
      </c>
      <c r="W14" s="18">
        <f>'A) Base RI'!P14</f>
        <v>130861.2</v>
      </c>
      <c r="X14" s="18">
        <f>'A) Base RI'!R14</f>
        <v>32777.65</v>
      </c>
      <c r="Y14" s="4">
        <f t="shared" si="5"/>
        <v>172532.35</v>
      </c>
      <c r="Z14" s="18">
        <f>'A) Base RI'!N14</f>
        <v>50894.8</v>
      </c>
      <c r="AA14" s="18">
        <f>'A) Base RI'!S14+'A) Base RI'!T14</f>
        <v>550</v>
      </c>
      <c r="AB14" s="18">
        <f>'A) Base RI'!U14</f>
        <v>7250</v>
      </c>
      <c r="AC14" s="18">
        <f>'A) Base RI'!V14</f>
        <v>0</v>
      </c>
      <c r="AD14" s="18">
        <f>'A) Base RI'!W14</f>
        <v>0</v>
      </c>
      <c r="AE14" s="18">
        <f>'A) Base RI'!Y14</f>
        <v>115517.5</v>
      </c>
      <c r="AF14" s="18">
        <f>'A) Base RI'!Z14</f>
        <v>0</v>
      </c>
      <c r="AG14" s="18">
        <f>'A) Base RI'!AA14</f>
        <v>68175.55</v>
      </c>
      <c r="AH14" s="18">
        <f>'A) Base RI'!AB14</f>
        <v>43229.5</v>
      </c>
      <c r="AI14" s="18">
        <f>'A) Base RI'!AC14</f>
        <v>90428.5</v>
      </c>
      <c r="AJ14" s="18">
        <f>'A) Base RI'!AD14</f>
        <v>83512.5</v>
      </c>
      <c r="AK14" s="18">
        <f>'A) Base RI'!AE14</f>
        <v>190000</v>
      </c>
      <c r="AL14" s="18">
        <f>'A) Base RI'!AF14</f>
        <v>0</v>
      </c>
      <c r="AM14" s="18">
        <f>'A) Base RI'!AG14</f>
        <v>63301</v>
      </c>
      <c r="AN14" s="18">
        <f>'A) Base RI'!AH14</f>
        <v>0</v>
      </c>
      <c r="AO14" s="18">
        <f>'A) Base RI'!AI14</f>
        <v>0</v>
      </c>
      <c r="AP14" s="18">
        <f>'A) Base RI'!AJ14</f>
        <v>0</v>
      </c>
      <c r="AQ14" s="18">
        <f>'A) Base RI'!AK14</f>
        <v>0</v>
      </c>
      <c r="AR14" s="18">
        <f>'A) Base RI'!AN14</f>
        <v>971</v>
      </c>
    </row>
    <row r="15" spans="1:44" x14ac:dyDescent="0.25">
      <c r="A15" s="13">
        <f>'A) Base RI'!A15</f>
        <v>5409</v>
      </c>
      <c r="B15" s="62" t="str">
        <f>'A) Base RI'!B15</f>
        <v>Ollon</v>
      </c>
      <c r="C15" s="18">
        <f>'A) Base RI'!C15+'A) Base RI'!D15</f>
        <v>18030077.399999999</v>
      </c>
      <c r="D15" s="18">
        <f>'A) Base RI'!AO15</f>
        <v>-301537.26</v>
      </c>
      <c r="E15" s="61">
        <f>'A) Base RI'!AP15</f>
        <v>0</v>
      </c>
      <c r="F15" s="61">
        <f>'A) Base RI'!AQ15</f>
        <v>-4687.32</v>
      </c>
      <c r="G15" s="4">
        <f t="shared" si="0"/>
        <v>17723852.819999997</v>
      </c>
      <c r="H15" s="18">
        <f>'A) Base RI'!E15</f>
        <v>0</v>
      </c>
      <c r="I15" s="18">
        <f>'A) Base RI'!F15</f>
        <v>0</v>
      </c>
      <c r="J15" s="18">
        <f>'A) Base RI'!G15+'A) Base RI'!H15</f>
        <v>1271904.6499999999</v>
      </c>
      <c r="K15" s="18">
        <f>'A) Base RI'!I15</f>
        <v>2576106.3199999998</v>
      </c>
      <c r="L15" s="18">
        <f>'A) Base RI'!J15</f>
        <v>789587.55</v>
      </c>
      <c r="M15" s="18">
        <f>'A) Base RI'!K15</f>
        <v>118433.3</v>
      </c>
      <c r="N15" s="18">
        <f>'A) Base RI'!Q15</f>
        <v>180687.15</v>
      </c>
      <c r="O15" s="18">
        <f t="shared" si="1"/>
        <v>2704520.4615384615</v>
      </c>
      <c r="P15" s="18">
        <f>'A) Base RI'!L15</f>
        <v>3515876.6</v>
      </c>
      <c r="Q15" s="64">
        <f>'A) Base RI'!AR15</f>
        <v>1.3</v>
      </c>
      <c r="R15" s="4">
        <f t="shared" si="2"/>
        <v>25365092.251538455</v>
      </c>
      <c r="S15" s="63">
        <f>'A) Base RI'!AM15</f>
        <v>68</v>
      </c>
      <c r="T15" s="4">
        <f t="shared" si="3"/>
        <v>22542138.489999995</v>
      </c>
      <c r="U15" s="4">
        <f t="shared" si="4"/>
        <v>373016.06252262433</v>
      </c>
      <c r="V15" s="18">
        <f>'A) Base RI'!O15</f>
        <v>341560.4</v>
      </c>
      <c r="W15" s="18">
        <f>'A) Base RI'!P15</f>
        <v>1263887.3</v>
      </c>
      <c r="X15" s="18">
        <f>'A) Base RI'!R15</f>
        <v>1333511.8999999999</v>
      </c>
      <c r="Y15" s="4">
        <f t="shared" si="5"/>
        <v>2938959.6</v>
      </c>
      <c r="Z15" s="18">
        <f>'A) Base RI'!N15</f>
        <v>44172.95</v>
      </c>
      <c r="AA15" s="18">
        <f>'A) Base RI'!S15+'A) Base RI'!T15</f>
        <v>22337.5</v>
      </c>
      <c r="AB15" s="18">
        <f>'A) Base RI'!U15</f>
        <v>43150</v>
      </c>
      <c r="AC15" s="18">
        <f>'A) Base RI'!V15</f>
        <v>0</v>
      </c>
      <c r="AD15" s="18">
        <f>'A) Base RI'!W15</f>
        <v>740</v>
      </c>
      <c r="AE15" s="18">
        <f>'A) Base RI'!Y15</f>
        <v>286028.2</v>
      </c>
      <c r="AF15" s="18">
        <f>'A) Base RI'!Z15</f>
        <v>49215.15</v>
      </c>
      <c r="AG15" s="18">
        <f>'A) Base RI'!AA15</f>
        <v>2352398.7000000002</v>
      </c>
      <c r="AH15" s="18">
        <f>'A) Base RI'!AB15</f>
        <v>0</v>
      </c>
      <c r="AI15" s="18">
        <f>'A) Base RI'!AC15</f>
        <v>1379489.04</v>
      </c>
      <c r="AJ15" s="18">
        <f>'A) Base RI'!AD15</f>
        <v>536303</v>
      </c>
      <c r="AK15" s="18">
        <f>'A) Base RI'!AE15</f>
        <v>108815.1</v>
      </c>
      <c r="AL15" s="18">
        <f>'A) Base RI'!AF15</f>
        <v>0</v>
      </c>
      <c r="AM15" s="18">
        <f>'A) Base RI'!AG15</f>
        <v>2828754.4</v>
      </c>
      <c r="AN15" s="18">
        <f>'A) Base RI'!AH15</f>
        <v>0</v>
      </c>
      <c r="AO15" s="18">
        <f>'A) Base RI'!AI15</f>
        <v>0</v>
      </c>
      <c r="AP15" s="18">
        <f>'A) Base RI'!AJ15</f>
        <v>0</v>
      </c>
      <c r="AQ15" s="18">
        <f>'A) Base RI'!AK15</f>
        <v>0</v>
      </c>
      <c r="AR15" s="18">
        <f>'A) Base RI'!AN15</f>
        <v>7152</v>
      </c>
    </row>
    <row r="16" spans="1:44" x14ac:dyDescent="0.25">
      <c r="A16" s="13">
        <f>'A) Base RI'!A16</f>
        <v>5410</v>
      </c>
      <c r="B16" s="62" t="str">
        <f>'A) Base RI'!B16</f>
        <v>Ormont-Dessous</v>
      </c>
      <c r="C16" s="18">
        <f>'A) Base RI'!C16+'A) Base RI'!D16</f>
        <v>2112289.25</v>
      </c>
      <c r="D16" s="18">
        <f>'A) Base RI'!AO16</f>
        <v>-112406.81</v>
      </c>
      <c r="E16" s="61">
        <f>'A) Base RI'!AP16</f>
        <v>0</v>
      </c>
      <c r="F16" s="61">
        <f>'A) Base RI'!AQ16</f>
        <v>-167.05</v>
      </c>
      <c r="G16" s="4">
        <f t="shared" si="0"/>
        <v>1999715.39</v>
      </c>
      <c r="H16" s="18">
        <f>'A) Base RI'!E16</f>
        <v>0</v>
      </c>
      <c r="I16" s="18">
        <f>'A) Base RI'!F16</f>
        <v>0</v>
      </c>
      <c r="J16" s="18">
        <f>'A) Base RI'!G16+'A) Base RI'!H16</f>
        <v>84528.5</v>
      </c>
      <c r="K16" s="18">
        <f>'A) Base RI'!I16</f>
        <v>0</v>
      </c>
      <c r="L16" s="18">
        <f>'A) Base RI'!J16</f>
        <v>58594.89</v>
      </c>
      <c r="M16" s="18">
        <f>'A) Base RI'!K16</f>
        <v>835.5</v>
      </c>
      <c r="N16" s="18">
        <f>'A) Base RI'!Q16</f>
        <v>7633.8</v>
      </c>
      <c r="O16" s="18">
        <f t="shared" si="1"/>
        <v>331991.73333333334</v>
      </c>
      <c r="P16" s="18">
        <f>'A) Base RI'!L16</f>
        <v>497987.6</v>
      </c>
      <c r="Q16" s="64">
        <f>'A) Base RI'!AR16</f>
        <v>1.5</v>
      </c>
      <c r="R16" s="4">
        <f t="shared" si="2"/>
        <v>2483299.813333333</v>
      </c>
      <c r="S16" s="63">
        <f>'A) Base RI'!AM16</f>
        <v>78.5</v>
      </c>
      <c r="T16" s="4">
        <f t="shared" si="3"/>
        <v>2150472.5799999996</v>
      </c>
      <c r="U16" s="4">
        <f t="shared" si="4"/>
        <v>31634.392526539275</v>
      </c>
      <c r="V16" s="18">
        <f>'A) Base RI'!O16</f>
        <v>56486.5</v>
      </c>
      <c r="W16" s="18">
        <f>'A) Base RI'!P16</f>
        <v>115663.7</v>
      </c>
      <c r="X16" s="18">
        <f>'A) Base RI'!R16</f>
        <v>79025.649999999994</v>
      </c>
      <c r="Y16" s="4">
        <f t="shared" si="5"/>
        <v>251175.85</v>
      </c>
      <c r="Z16" s="18">
        <f>'A) Base RI'!N16</f>
        <v>2705.05</v>
      </c>
      <c r="AA16" s="18">
        <f>'A) Base RI'!S16+'A) Base RI'!T16</f>
        <v>7868.75</v>
      </c>
      <c r="AB16" s="18">
        <f>'A) Base RI'!U16</f>
        <v>14625</v>
      </c>
      <c r="AC16" s="18">
        <f>'A) Base RI'!V16</f>
        <v>3676.65</v>
      </c>
      <c r="AD16" s="18">
        <f>'A) Base RI'!W16</f>
        <v>0</v>
      </c>
      <c r="AE16" s="18">
        <f>'A) Base RI'!Y16</f>
        <v>121776.85</v>
      </c>
      <c r="AF16" s="18">
        <f>'A) Base RI'!Z16</f>
        <v>0</v>
      </c>
      <c r="AG16" s="18">
        <f>'A) Base RI'!AA16</f>
        <v>430090</v>
      </c>
      <c r="AH16" s="18">
        <f>'A) Base RI'!AB16</f>
        <v>0</v>
      </c>
      <c r="AI16" s="18">
        <f>'A) Base RI'!AC16</f>
        <v>291919.21999999997</v>
      </c>
      <c r="AJ16" s="18">
        <f>'A) Base RI'!AD16</f>
        <v>48826.75</v>
      </c>
      <c r="AK16" s="18">
        <f>'A) Base RI'!AE16</f>
        <v>0</v>
      </c>
      <c r="AL16" s="18">
        <f>'A) Base RI'!AF16</f>
        <v>0</v>
      </c>
      <c r="AM16" s="18">
        <f>'A) Base RI'!AG16</f>
        <v>296098.90000000002</v>
      </c>
      <c r="AN16" s="18">
        <f>'A) Base RI'!AH16</f>
        <v>60796.25</v>
      </c>
      <c r="AO16" s="18">
        <f>'A) Base RI'!AI16</f>
        <v>0</v>
      </c>
      <c r="AP16" s="18">
        <f>'A) Base RI'!AJ16</f>
        <v>34740.699999999997</v>
      </c>
      <c r="AQ16" s="18">
        <f>'A) Base RI'!AK16</f>
        <v>0</v>
      </c>
      <c r="AR16" s="18">
        <f>'A) Base RI'!AN16</f>
        <v>1072</v>
      </c>
    </row>
    <row r="17" spans="1:44" x14ac:dyDescent="0.25">
      <c r="A17" s="13">
        <f>'A) Base RI'!A17</f>
        <v>5411</v>
      </c>
      <c r="B17" s="62" t="str">
        <f>'A) Base RI'!B17</f>
        <v>Ormont-Dessus</v>
      </c>
      <c r="C17" s="18">
        <f>'A) Base RI'!C17+'A) Base RI'!D17</f>
        <v>3847994.13</v>
      </c>
      <c r="D17" s="18">
        <f>'A) Base RI'!AO17</f>
        <v>-30884.15</v>
      </c>
      <c r="E17" s="61">
        <f>'A) Base RI'!AP17</f>
        <v>0</v>
      </c>
      <c r="F17" s="61">
        <f>'A) Base RI'!AQ17</f>
        <v>-1767.81</v>
      </c>
      <c r="G17" s="4">
        <f t="shared" si="0"/>
        <v>3815342.17</v>
      </c>
      <c r="H17" s="18">
        <f>'A) Base RI'!E17</f>
        <v>0</v>
      </c>
      <c r="I17" s="18">
        <f>'A) Base RI'!F17</f>
        <v>0</v>
      </c>
      <c r="J17" s="18">
        <f>'A) Base RI'!G17+'A) Base RI'!H17</f>
        <v>70381.95</v>
      </c>
      <c r="K17" s="18">
        <f>'A) Base RI'!I17</f>
        <v>172538.57</v>
      </c>
      <c r="L17" s="18">
        <f>'A) Base RI'!J17</f>
        <v>215447.55</v>
      </c>
      <c r="M17" s="18">
        <f>'A) Base RI'!K17</f>
        <v>21216.5</v>
      </c>
      <c r="N17" s="18">
        <f>'A) Base RI'!Q17</f>
        <v>9117.25</v>
      </c>
      <c r="O17" s="18">
        <f t="shared" si="1"/>
        <v>729588.5</v>
      </c>
      <c r="P17" s="18">
        <f>'A) Base RI'!L17</f>
        <v>1094382.75</v>
      </c>
      <c r="Q17" s="64">
        <f>'A) Base RI'!AR17</f>
        <v>1.5</v>
      </c>
      <c r="R17" s="4">
        <f t="shared" si="2"/>
        <v>5033632.49</v>
      </c>
      <c r="S17" s="63">
        <f>'A) Base RI'!AM17</f>
        <v>74</v>
      </c>
      <c r="T17" s="4">
        <f t="shared" si="3"/>
        <v>4282827.49</v>
      </c>
      <c r="U17" s="4">
        <f t="shared" si="4"/>
        <v>68022.060675675675</v>
      </c>
      <c r="V17" s="18">
        <f>'A) Base RI'!O17</f>
        <v>-7409.7</v>
      </c>
      <c r="W17" s="18">
        <f>'A) Base RI'!P17</f>
        <v>340904.4</v>
      </c>
      <c r="X17" s="18">
        <f>'A) Base RI'!R17</f>
        <v>337740.2</v>
      </c>
      <c r="Y17" s="4">
        <f t="shared" si="5"/>
        <v>671234.9</v>
      </c>
      <c r="Z17" s="18">
        <v>0</v>
      </c>
      <c r="AA17" s="18">
        <f>'A) Base RI'!S17+'A) Base RI'!T17</f>
        <v>8487.5</v>
      </c>
      <c r="AB17" s="18">
        <f>'A) Base RI'!U17</f>
        <v>9550</v>
      </c>
      <c r="AC17" s="18">
        <f>'A) Base RI'!V17</f>
        <v>1726.65</v>
      </c>
      <c r="AD17" s="18">
        <f>'A) Base RI'!W17</f>
        <v>0</v>
      </c>
      <c r="AE17" s="18">
        <f>'A) Base RI'!Y17</f>
        <v>12114.05</v>
      </c>
      <c r="AF17" s="18">
        <f>'A) Base RI'!Z17</f>
        <v>0</v>
      </c>
      <c r="AG17" s="18">
        <f>'A) Base RI'!AA17</f>
        <v>358493.38</v>
      </c>
      <c r="AH17" s="18">
        <f>'A) Base RI'!AB17</f>
        <v>0</v>
      </c>
      <c r="AI17" s="18">
        <f>'A) Base RI'!AC17</f>
        <v>414535.89</v>
      </c>
      <c r="AJ17" s="18">
        <f>'A) Base RI'!AD17</f>
        <v>31856.02</v>
      </c>
      <c r="AK17" s="18">
        <f>'A) Base RI'!AE17</f>
        <v>0</v>
      </c>
      <c r="AL17" s="18">
        <f>'A) Base RI'!AF17</f>
        <v>0</v>
      </c>
      <c r="AM17" s="18">
        <f>'A) Base RI'!AG17</f>
        <v>772067.01</v>
      </c>
      <c r="AN17" s="18">
        <f>'A) Base RI'!AH17</f>
        <v>102108.85</v>
      </c>
      <c r="AO17" s="18">
        <f>'A) Base RI'!AI17</f>
        <v>0</v>
      </c>
      <c r="AP17" s="18">
        <f>'A) Base RI'!AJ17</f>
        <v>0</v>
      </c>
      <c r="AQ17" s="18">
        <f>'A) Base RI'!AK17</f>
        <v>29173.95</v>
      </c>
      <c r="AR17" s="18">
        <f>'A) Base RI'!AN17</f>
        <v>1457</v>
      </c>
    </row>
    <row r="18" spans="1:44" x14ac:dyDescent="0.25">
      <c r="A18" s="13">
        <f>'A) Base RI'!A18</f>
        <v>5412</v>
      </c>
      <c r="B18" s="62" t="str">
        <f>'A) Base RI'!B18</f>
        <v>Rennaz</v>
      </c>
      <c r="C18" s="18">
        <f>'A) Base RI'!C18+'A) Base RI'!D18</f>
        <v>1107617.1499999999</v>
      </c>
      <c r="D18" s="18">
        <f>'A) Base RI'!AO18</f>
        <v>-40926.720000000001</v>
      </c>
      <c r="E18" s="61">
        <f>'A) Base RI'!AP18</f>
        <v>0</v>
      </c>
      <c r="F18" s="61">
        <f>'A) Base RI'!AQ18</f>
        <v>-18.12</v>
      </c>
      <c r="G18" s="4">
        <f t="shared" si="0"/>
        <v>1066672.3099999998</v>
      </c>
      <c r="H18" s="18">
        <f>'A) Base RI'!E18</f>
        <v>0</v>
      </c>
      <c r="I18" s="18">
        <f>'A) Base RI'!F18</f>
        <v>0</v>
      </c>
      <c r="J18" s="18">
        <f>'A) Base RI'!G18+'A) Base RI'!H18</f>
        <v>228609.05</v>
      </c>
      <c r="K18" s="18">
        <f>'A) Base RI'!I18</f>
        <v>20204.25</v>
      </c>
      <c r="L18" s="18">
        <f>'A) Base RI'!J18</f>
        <v>67966.64</v>
      </c>
      <c r="M18" s="18">
        <f>'A) Base RI'!K18</f>
        <v>10613.5</v>
      </c>
      <c r="N18" s="18">
        <f>'A) Base RI'!Q18</f>
        <v>6112.75</v>
      </c>
      <c r="O18" s="18">
        <f t="shared" si="1"/>
        <v>158725.1</v>
      </c>
      <c r="P18" s="18">
        <f>'A) Base RI'!L18</f>
        <v>158725.1</v>
      </c>
      <c r="Q18" s="64">
        <f>'A) Base RI'!AR18</f>
        <v>1</v>
      </c>
      <c r="R18" s="4">
        <f t="shared" si="2"/>
        <v>1558903.5999999999</v>
      </c>
      <c r="S18" s="63">
        <f>'A) Base RI'!AM18</f>
        <v>63.5</v>
      </c>
      <c r="T18" s="4">
        <f t="shared" si="3"/>
        <v>1389564.9999999998</v>
      </c>
      <c r="U18" s="4">
        <f t="shared" si="4"/>
        <v>24549.662992125981</v>
      </c>
      <c r="V18" s="18">
        <f>'A) Base RI'!O18</f>
        <v>62550.45</v>
      </c>
      <c r="W18" s="18">
        <f>'A) Base RI'!P18</f>
        <v>278662.75</v>
      </c>
      <c r="X18" s="18">
        <f>'A) Base RI'!R18</f>
        <v>34064.9</v>
      </c>
      <c r="Y18" s="4">
        <f t="shared" si="5"/>
        <v>375278.10000000003</v>
      </c>
      <c r="Z18" s="18">
        <f>'A) Base RI'!N18</f>
        <v>96688.6</v>
      </c>
      <c r="AA18" s="18">
        <f>'A) Base RI'!S18+'A) Base RI'!T18</f>
        <v>718.75</v>
      </c>
      <c r="AB18" s="18">
        <f>'A) Base RI'!U18</f>
        <v>3700</v>
      </c>
      <c r="AC18" s="18">
        <f>'A) Base RI'!V18</f>
        <v>0</v>
      </c>
      <c r="AD18" s="18">
        <f>'A) Base RI'!W18</f>
        <v>0</v>
      </c>
      <c r="AE18" s="18">
        <f>'A) Base RI'!Y18</f>
        <v>89595.17</v>
      </c>
      <c r="AF18" s="18">
        <f>'A) Base RI'!Z18</f>
        <v>0</v>
      </c>
      <c r="AG18" s="18">
        <f>'A) Base RI'!AA18</f>
        <v>143301.49</v>
      </c>
      <c r="AH18" s="18">
        <f>'A) Base RI'!AB18</f>
        <v>0</v>
      </c>
      <c r="AI18" s="18">
        <f>'A) Base RI'!AC18</f>
        <v>93320.5</v>
      </c>
      <c r="AJ18" s="18">
        <f>'A) Base RI'!AD18</f>
        <v>103631.35</v>
      </c>
      <c r="AK18" s="18">
        <f>'A) Base RI'!AE18</f>
        <v>0</v>
      </c>
      <c r="AL18" s="18">
        <f>'A) Base RI'!AF18</f>
        <v>0</v>
      </c>
      <c r="AM18" s="18">
        <f>'A) Base RI'!AG18</f>
        <v>1098</v>
      </c>
      <c r="AN18" s="18">
        <f>'A) Base RI'!AH18</f>
        <v>48496.45</v>
      </c>
      <c r="AO18" s="18">
        <f>'A) Base RI'!AI18</f>
        <v>0</v>
      </c>
      <c r="AP18" s="18">
        <f>'A) Base RI'!AJ18</f>
        <v>0</v>
      </c>
      <c r="AQ18" s="18">
        <f>'A) Base RI'!AK18</f>
        <v>0</v>
      </c>
      <c r="AR18" s="18">
        <f>'A) Base RI'!AN18</f>
        <v>802</v>
      </c>
    </row>
    <row r="19" spans="1:44" x14ac:dyDescent="0.25">
      <c r="A19" s="13">
        <f>'A) Base RI'!A19</f>
        <v>5413</v>
      </c>
      <c r="B19" s="62" t="str">
        <f>'A) Base RI'!B19</f>
        <v>Roche</v>
      </c>
      <c r="C19" s="18">
        <f>'A) Base RI'!C19+'A) Base RI'!D19</f>
        <v>1871604.65</v>
      </c>
      <c r="D19" s="18">
        <f>'A) Base RI'!AO19</f>
        <v>-82238.05</v>
      </c>
      <c r="E19" s="61">
        <f>'A) Base RI'!AP19</f>
        <v>0</v>
      </c>
      <c r="F19" s="61">
        <f>'A) Base RI'!AQ19</f>
        <v>-4.93</v>
      </c>
      <c r="G19" s="4">
        <f t="shared" si="0"/>
        <v>1789361.67</v>
      </c>
      <c r="H19" s="18">
        <f>'A) Base RI'!E19</f>
        <v>0</v>
      </c>
      <c r="I19" s="18">
        <f>'A) Base RI'!F19</f>
        <v>0</v>
      </c>
      <c r="J19" s="18">
        <f>'A) Base RI'!G19+'A) Base RI'!H19</f>
        <v>298351.94999999995</v>
      </c>
      <c r="K19" s="18">
        <f>'A) Base RI'!I19</f>
        <v>0</v>
      </c>
      <c r="L19" s="18">
        <f>'A) Base RI'!J19</f>
        <v>86849.11</v>
      </c>
      <c r="M19" s="18">
        <f>'A) Base RI'!K19</f>
        <v>21774.5</v>
      </c>
      <c r="N19" s="18">
        <f>'A) Base RI'!Q19</f>
        <v>1874.44</v>
      </c>
      <c r="O19" s="18">
        <f t="shared" si="1"/>
        <v>207894.95</v>
      </c>
      <c r="P19" s="18">
        <f>'A) Base RI'!L19</f>
        <v>207894.95</v>
      </c>
      <c r="Q19" s="64">
        <f>'A) Base RI'!AR19</f>
        <v>1</v>
      </c>
      <c r="R19" s="4">
        <f t="shared" si="2"/>
        <v>2406106.62</v>
      </c>
      <c r="S19" s="63">
        <f>'A) Base RI'!AM19</f>
        <v>68</v>
      </c>
      <c r="T19" s="4">
        <f t="shared" si="3"/>
        <v>2176437.17</v>
      </c>
      <c r="U19" s="4">
        <f t="shared" si="4"/>
        <v>35383.920882352941</v>
      </c>
      <c r="V19" s="18">
        <f>'A) Base RI'!O19</f>
        <v>1041.7</v>
      </c>
      <c r="W19" s="18">
        <f>'A) Base RI'!P19</f>
        <v>242360.95</v>
      </c>
      <c r="X19" s="18">
        <f>'A) Base RI'!R19</f>
        <v>60798.95</v>
      </c>
      <c r="Y19" s="4">
        <f t="shared" si="5"/>
        <v>304201.60000000003</v>
      </c>
      <c r="Z19" s="18">
        <f>'A) Base RI'!N19</f>
        <v>197745.9</v>
      </c>
      <c r="AA19" s="18">
        <f>'A) Base RI'!S19+'A) Base RI'!T19</f>
        <v>312.5</v>
      </c>
      <c r="AB19" s="18">
        <f>'A) Base RI'!U19</f>
        <v>10100</v>
      </c>
      <c r="AC19" s="18">
        <f>'A) Base RI'!V19</f>
        <v>0</v>
      </c>
      <c r="AD19" s="18">
        <f>'A) Base RI'!W19</f>
        <v>0</v>
      </c>
      <c r="AE19" s="18">
        <f>'A) Base RI'!Y19</f>
        <v>0</v>
      </c>
      <c r="AF19" s="18">
        <f>'A) Base RI'!Z19</f>
        <v>0</v>
      </c>
      <c r="AG19" s="18">
        <f>'A) Base RI'!AA19</f>
        <v>133181.15</v>
      </c>
      <c r="AH19" s="18">
        <f>'A) Base RI'!AB19</f>
        <v>0</v>
      </c>
      <c r="AI19" s="18">
        <f>'A) Base RI'!AC19</f>
        <v>209838.03</v>
      </c>
      <c r="AJ19" s="18">
        <f>'A) Base RI'!AD19</f>
        <v>0</v>
      </c>
      <c r="AK19" s="18">
        <f>'A) Base RI'!AE19</f>
        <v>0</v>
      </c>
      <c r="AL19" s="18">
        <f>'A) Base RI'!AF19</f>
        <v>0</v>
      </c>
      <c r="AM19" s="18">
        <f>'A) Base RI'!AG19</f>
        <v>0</v>
      </c>
      <c r="AN19" s="18">
        <f>'A) Base RI'!AH19</f>
        <v>70168.399999999994</v>
      </c>
      <c r="AO19" s="18">
        <f>'A) Base RI'!AI19</f>
        <v>20033.8</v>
      </c>
      <c r="AP19" s="18">
        <f>'A) Base RI'!AJ19</f>
        <v>0</v>
      </c>
      <c r="AQ19" s="18">
        <f>'A) Base RI'!AK19</f>
        <v>0</v>
      </c>
      <c r="AR19" s="18">
        <f>'A) Base RI'!AN19</f>
        <v>1499</v>
      </c>
    </row>
    <row r="20" spans="1:44" x14ac:dyDescent="0.25">
      <c r="A20" s="13">
        <f>'A) Base RI'!A20</f>
        <v>5414</v>
      </c>
      <c r="B20" s="62" t="str">
        <f>'A) Base RI'!B20</f>
        <v>Villeneuve</v>
      </c>
      <c r="C20" s="18">
        <f>'A) Base RI'!C20+'A) Base RI'!D20</f>
        <v>8686160.75</v>
      </c>
      <c r="D20" s="18">
        <f>'A) Base RI'!AO20</f>
        <v>-342722.86</v>
      </c>
      <c r="E20" s="61">
        <f>'A) Base RI'!AP20</f>
        <v>0</v>
      </c>
      <c r="F20" s="61">
        <f>'A) Base RI'!AQ20</f>
        <v>-523.58000000000004</v>
      </c>
      <c r="G20" s="4">
        <f t="shared" si="0"/>
        <v>8342914.3099999996</v>
      </c>
      <c r="H20" s="18">
        <f>'A) Base RI'!E20</f>
        <v>0</v>
      </c>
      <c r="I20" s="18">
        <f>'A) Base RI'!F20</f>
        <v>0</v>
      </c>
      <c r="J20" s="18">
        <f>'A) Base RI'!G20+'A) Base RI'!H20</f>
        <v>2324330.25</v>
      </c>
      <c r="K20" s="18">
        <f>'A) Base RI'!I20</f>
        <v>41152.550000000003</v>
      </c>
      <c r="L20" s="18">
        <f>'A) Base RI'!J20</f>
        <v>463193.18</v>
      </c>
      <c r="M20" s="18">
        <f>'A) Base RI'!K20</f>
        <v>106455.5</v>
      </c>
      <c r="N20" s="18">
        <f>'A) Base RI'!Q20</f>
        <v>97778.880000000005</v>
      </c>
      <c r="O20" s="18">
        <f t="shared" si="1"/>
        <v>931561.15</v>
      </c>
      <c r="P20" s="18">
        <f>'A) Base RI'!L20</f>
        <v>931561.15</v>
      </c>
      <c r="Q20" s="64">
        <f>'A) Base RI'!AR20</f>
        <v>1</v>
      </c>
      <c r="R20" s="4">
        <f t="shared" si="2"/>
        <v>12307385.82</v>
      </c>
      <c r="S20" s="63">
        <f>'A) Base RI'!AM20</f>
        <v>69</v>
      </c>
      <c r="T20" s="4">
        <f t="shared" si="3"/>
        <v>11269369.17</v>
      </c>
      <c r="U20" s="4">
        <f t="shared" si="4"/>
        <v>178367.91043478262</v>
      </c>
      <c r="V20" s="18">
        <f>'A) Base RI'!O20</f>
        <v>230179</v>
      </c>
      <c r="W20" s="18">
        <f>'A) Base RI'!P20</f>
        <v>1008860.95</v>
      </c>
      <c r="X20" s="18">
        <f>'A) Base RI'!R20</f>
        <v>204014.1</v>
      </c>
      <c r="Y20" s="4">
        <f t="shared" si="5"/>
        <v>1443054.05</v>
      </c>
      <c r="Z20" s="18">
        <f>'A) Base RI'!N20</f>
        <v>739606.15</v>
      </c>
      <c r="AA20" s="18">
        <f>'A) Base RI'!S20+'A) Base RI'!T20</f>
        <v>1575</v>
      </c>
      <c r="AB20" s="18">
        <f>'A) Base RI'!U20</f>
        <v>24150</v>
      </c>
      <c r="AC20" s="18">
        <f>'A) Base RI'!V20</f>
        <v>0</v>
      </c>
      <c r="AD20" s="18">
        <f>'A) Base RI'!W20</f>
        <v>0</v>
      </c>
      <c r="AE20" s="18">
        <f>'A) Base RI'!Y20</f>
        <v>153327.45000000001</v>
      </c>
      <c r="AF20" s="18">
        <f>'A) Base RI'!Z20</f>
        <v>0</v>
      </c>
      <c r="AG20" s="18">
        <f>'A) Base RI'!AA20</f>
        <v>1070995.8</v>
      </c>
      <c r="AH20" s="18">
        <f>'A) Base RI'!AB20</f>
        <v>0</v>
      </c>
      <c r="AI20" s="18">
        <f>'A) Base RI'!AC20</f>
        <v>677384.13</v>
      </c>
      <c r="AJ20" s="18">
        <f>'A) Base RI'!AD20</f>
        <v>189326.65</v>
      </c>
      <c r="AK20" s="18">
        <f>'A) Base RI'!AE20</f>
        <v>0</v>
      </c>
      <c r="AL20" s="18">
        <f>'A) Base RI'!AF20</f>
        <v>0</v>
      </c>
      <c r="AM20" s="18">
        <f>'A) Base RI'!AG20</f>
        <v>78897</v>
      </c>
      <c r="AN20" s="18">
        <f>'A) Base RI'!AH20</f>
        <v>0</v>
      </c>
      <c r="AO20" s="18">
        <f>'A) Base RI'!AI20</f>
        <v>0</v>
      </c>
      <c r="AP20" s="18">
        <f>'A) Base RI'!AJ20</f>
        <v>0</v>
      </c>
      <c r="AQ20" s="18">
        <f>'A) Base RI'!AK20</f>
        <v>0</v>
      </c>
      <c r="AR20" s="18">
        <f>'A) Base RI'!AN20</f>
        <v>5188</v>
      </c>
    </row>
    <row r="21" spans="1:44" x14ac:dyDescent="0.25">
      <c r="A21" s="13">
        <f>'A) Base RI'!A21</f>
        <v>5415</v>
      </c>
      <c r="B21" s="62" t="str">
        <f>'A) Base RI'!B21</f>
        <v>Yvorne</v>
      </c>
      <c r="C21" s="18">
        <f>'A) Base RI'!C21+'A) Base RI'!D21</f>
        <v>2425596.1800000002</v>
      </c>
      <c r="D21" s="18">
        <f>'A) Base RI'!AO21</f>
        <v>-22763.58</v>
      </c>
      <c r="E21" s="61">
        <f>'A) Base RI'!AP21</f>
        <v>0</v>
      </c>
      <c r="F21" s="61">
        <f>'A) Base RI'!AQ21</f>
        <v>-30.58</v>
      </c>
      <c r="G21" s="4">
        <f t="shared" si="0"/>
        <v>2402802.02</v>
      </c>
      <c r="H21" s="18">
        <f>'A) Base RI'!E21</f>
        <v>0</v>
      </c>
      <c r="I21" s="18">
        <f>'A) Base RI'!F21</f>
        <v>0</v>
      </c>
      <c r="J21" s="18">
        <f>'A) Base RI'!G21+'A) Base RI'!H21</f>
        <v>72824</v>
      </c>
      <c r="K21" s="18">
        <f>'A) Base RI'!I21</f>
        <v>0</v>
      </c>
      <c r="L21" s="18">
        <f>'A) Base RI'!J21</f>
        <v>57350.720000000001</v>
      </c>
      <c r="M21" s="18">
        <f>'A) Base RI'!K21</f>
        <v>7920.5</v>
      </c>
      <c r="N21" s="18">
        <f>'A) Base RI'!Q21</f>
        <v>4526.75</v>
      </c>
      <c r="O21" s="18">
        <f t="shared" si="1"/>
        <v>199612.26666666669</v>
      </c>
      <c r="P21" s="18">
        <f>'A) Base RI'!L21</f>
        <v>299418.40000000002</v>
      </c>
      <c r="Q21" s="64">
        <f>'A) Base RI'!AR21</f>
        <v>1.5</v>
      </c>
      <c r="R21" s="4">
        <f t="shared" si="2"/>
        <v>2745036.2566666668</v>
      </c>
      <c r="S21" s="63">
        <f>'A) Base RI'!AM21</f>
        <v>68.5</v>
      </c>
      <c r="T21" s="4">
        <f t="shared" si="3"/>
        <v>2537503.4900000002</v>
      </c>
      <c r="U21" s="4">
        <f t="shared" si="4"/>
        <v>40073.521995133822</v>
      </c>
      <c r="V21" s="18">
        <f>'A) Base RI'!O21</f>
        <v>55308.5</v>
      </c>
      <c r="W21" s="18">
        <f>'A) Base RI'!P21</f>
        <v>116630.6</v>
      </c>
      <c r="X21" s="18">
        <f>'A) Base RI'!R21</f>
        <v>124363.85</v>
      </c>
      <c r="Y21" s="4">
        <f t="shared" si="5"/>
        <v>296302.95</v>
      </c>
      <c r="Z21" s="18">
        <f>'A) Base RI'!N21</f>
        <v>44730.400000000001</v>
      </c>
      <c r="AA21" s="18">
        <f>'A) Base RI'!S21+'A) Base RI'!T21</f>
        <v>475</v>
      </c>
      <c r="AB21" s="18">
        <f>'A) Base RI'!U21</f>
        <v>7800</v>
      </c>
      <c r="AC21" s="18">
        <f>'A) Base RI'!V21</f>
        <v>0</v>
      </c>
      <c r="AD21" s="18">
        <f>'A) Base RI'!W21</f>
        <v>0</v>
      </c>
      <c r="AE21" s="18">
        <f>'A) Base RI'!Y21</f>
        <v>26461.1</v>
      </c>
      <c r="AF21" s="18">
        <f>'A) Base RI'!Z21</f>
        <v>0</v>
      </c>
      <c r="AG21" s="18">
        <f>'A) Base RI'!AA21</f>
        <v>140395.4</v>
      </c>
      <c r="AH21" s="18">
        <f>'A) Base RI'!AB21</f>
        <v>0</v>
      </c>
      <c r="AI21" s="18">
        <f>'A) Base RI'!AC21</f>
        <v>56630.65</v>
      </c>
      <c r="AJ21" s="18">
        <f>'A) Base RI'!AD21</f>
        <v>43441.15</v>
      </c>
      <c r="AK21" s="18">
        <f>'A) Base RI'!AE21</f>
        <v>0</v>
      </c>
      <c r="AL21" s="18">
        <f>'A) Base RI'!AF21</f>
        <v>14300</v>
      </c>
      <c r="AM21" s="18">
        <f>'A) Base RI'!AG21</f>
        <v>29088.5</v>
      </c>
      <c r="AN21" s="18">
        <f>'A) Base RI'!AH21</f>
        <v>20300</v>
      </c>
      <c r="AO21" s="18">
        <f>'A) Base RI'!AI21</f>
        <v>0</v>
      </c>
      <c r="AP21" s="18">
        <f>'A) Base RI'!AJ21</f>
        <v>0</v>
      </c>
      <c r="AQ21" s="18">
        <f>'A) Base RI'!AK21</f>
        <v>20300</v>
      </c>
      <c r="AR21" s="18">
        <f>'A) Base RI'!AN21</f>
        <v>1039</v>
      </c>
    </row>
    <row r="22" spans="1:44" x14ac:dyDescent="0.25">
      <c r="A22" s="13">
        <f>'A) Base RI'!A22</f>
        <v>5421</v>
      </c>
      <c r="B22" s="62" t="str">
        <f>'A) Base RI'!B22</f>
        <v>Apples</v>
      </c>
      <c r="C22" s="18">
        <f>'A) Base RI'!C22+'A) Base RI'!D22</f>
        <v>2976052.6</v>
      </c>
      <c r="D22" s="18">
        <f>'A) Base RI'!AO22</f>
        <v>-29704.17</v>
      </c>
      <c r="E22" s="61">
        <f>'A) Base RI'!AP22</f>
        <v>0</v>
      </c>
      <c r="F22" s="61">
        <f>'A) Base RI'!AQ22</f>
        <v>-102.87</v>
      </c>
      <c r="G22" s="4">
        <f t="shared" si="0"/>
        <v>2946245.56</v>
      </c>
      <c r="H22" s="18">
        <f>'A) Base RI'!E22</f>
        <v>0</v>
      </c>
      <c r="I22" s="18">
        <f>'A) Base RI'!F22</f>
        <v>0</v>
      </c>
      <c r="J22" s="18">
        <f>'A) Base RI'!G22+'A) Base RI'!H22</f>
        <v>153605.90000000002</v>
      </c>
      <c r="K22" s="18">
        <f>'A) Base RI'!I22</f>
        <v>97722.73</v>
      </c>
      <c r="L22" s="18">
        <f>'A) Base RI'!J22</f>
        <v>44059.46</v>
      </c>
      <c r="M22" s="18">
        <f>'A) Base RI'!K22</f>
        <v>6064.5</v>
      </c>
      <c r="N22" s="18">
        <f>'A) Base RI'!Q22</f>
        <v>0</v>
      </c>
      <c r="O22" s="18">
        <f t="shared" si="1"/>
        <v>243715.1</v>
      </c>
      <c r="P22" s="18">
        <f>'A) Base RI'!L22</f>
        <v>243715.1</v>
      </c>
      <c r="Q22" s="64">
        <f>'A) Base RI'!AR22</f>
        <v>1</v>
      </c>
      <c r="R22" s="4">
        <f t="shared" si="2"/>
        <v>3491413.25</v>
      </c>
      <c r="S22" s="63">
        <f>'A) Base RI'!AM22</f>
        <v>71</v>
      </c>
      <c r="T22" s="4">
        <f>(G22+H22+J22+K22+L22+N22)</f>
        <v>3241633.65</v>
      </c>
      <c r="U22" s="4">
        <f>R22/S22</f>
        <v>49174.834507042251</v>
      </c>
      <c r="V22" s="18">
        <f>'A) Base RI'!O22</f>
        <v>3319.5</v>
      </c>
      <c r="W22" s="18">
        <f>'A) Base RI'!P22</f>
        <v>122175.5</v>
      </c>
      <c r="X22" s="18">
        <f>'A) Base RI'!R22</f>
        <v>153221.75</v>
      </c>
      <c r="Y22" s="4">
        <f t="shared" si="5"/>
        <v>278716.75</v>
      </c>
      <c r="Z22" s="18">
        <f>'A) Base RI'!N22</f>
        <v>19718.150000000001</v>
      </c>
      <c r="AA22" s="18">
        <f>'A) Base RI'!S22+'A) Base RI'!T22</f>
        <v>125</v>
      </c>
      <c r="AB22" s="18">
        <f>'A) Base RI'!U22</f>
        <v>7600</v>
      </c>
      <c r="AC22" s="18">
        <f>'A) Base RI'!V22</f>
        <v>0</v>
      </c>
      <c r="AD22" s="18">
        <f>'A) Base RI'!W22</f>
        <v>0</v>
      </c>
      <c r="AE22" s="18">
        <f>'A) Base RI'!Y22</f>
        <v>117475</v>
      </c>
      <c r="AF22" s="18">
        <f>'A) Base RI'!Z22</f>
        <v>0</v>
      </c>
      <c r="AG22" s="18">
        <f>'A) Base RI'!AA22</f>
        <v>310278.95</v>
      </c>
      <c r="AH22" s="18">
        <f>'A) Base RI'!AB22</f>
        <v>0</v>
      </c>
      <c r="AI22" s="18">
        <f>'A) Base RI'!AC22</f>
        <v>132273.82999999999</v>
      </c>
      <c r="AJ22" s="18">
        <f>'A) Base RI'!AD22</f>
        <v>184465</v>
      </c>
      <c r="AK22" s="18">
        <f>'A) Base RI'!AE22</f>
        <v>0</v>
      </c>
      <c r="AL22" s="18">
        <f>'A) Base RI'!AF22</f>
        <v>0</v>
      </c>
      <c r="AM22" s="18">
        <f>'A) Base RI'!AG22</f>
        <v>0</v>
      </c>
      <c r="AN22" s="18">
        <f>'A) Base RI'!AH22</f>
        <v>0</v>
      </c>
      <c r="AO22" s="18">
        <f>'A) Base RI'!AI22</f>
        <v>0</v>
      </c>
      <c r="AP22" s="18">
        <f>'A) Base RI'!AJ22</f>
        <v>0</v>
      </c>
      <c r="AQ22" s="18">
        <f>'A) Base RI'!AK22</f>
        <v>0</v>
      </c>
      <c r="AR22" s="18">
        <f>'A) Base RI'!AN22</f>
        <v>1341</v>
      </c>
    </row>
    <row r="23" spans="1:44" x14ac:dyDescent="0.25">
      <c r="A23" s="13">
        <f>'A) Base RI'!A23</f>
        <v>5422</v>
      </c>
      <c r="B23" s="62" t="str">
        <f>'A) Base RI'!B23</f>
        <v>Aubonne</v>
      </c>
      <c r="C23" s="18">
        <f>'A) Base RI'!C23+'A) Base RI'!D23</f>
        <v>11470998.289999999</v>
      </c>
      <c r="D23" s="18">
        <f>'A) Base RI'!AO23</f>
        <v>-78940.160000000003</v>
      </c>
      <c r="E23" s="61">
        <f>'A) Base RI'!AP23</f>
        <v>0</v>
      </c>
      <c r="F23" s="61">
        <f>'A) Base RI'!AQ23</f>
        <v>-5262.99</v>
      </c>
      <c r="G23" s="4">
        <f t="shared" si="0"/>
        <v>11386795.139999999</v>
      </c>
      <c r="H23" s="18">
        <f>'A) Base RI'!E23</f>
        <v>0</v>
      </c>
      <c r="I23" s="18">
        <f>'A) Base RI'!F23</f>
        <v>0</v>
      </c>
      <c r="J23" s="18">
        <f>'A) Base RI'!G23+'A) Base RI'!H23</f>
        <v>4350162.8500000006</v>
      </c>
      <c r="K23" s="18">
        <f>'A) Base RI'!I23</f>
        <v>205569.32</v>
      </c>
      <c r="L23" s="18">
        <f>'A) Base RI'!J23</f>
        <v>593743.18999999994</v>
      </c>
      <c r="M23" s="18">
        <f>'A) Base RI'!K23</f>
        <v>108879</v>
      </c>
      <c r="N23" s="18">
        <f>'A) Base RI'!Q23</f>
        <v>7064.77</v>
      </c>
      <c r="O23" s="18">
        <f t="shared" si="1"/>
        <v>802693</v>
      </c>
      <c r="P23" s="18">
        <f>'A) Base RI'!L23</f>
        <v>802693</v>
      </c>
      <c r="Q23" s="64">
        <f>'A) Base RI'!AR23</f>
        <v>1</v>
      </c>
      <c r="R23" s="4">
        <f t="shared" si="2"/>
        <v>17454907.269999996</v>
      </c>
      <c r="S23" s="63">
        <f>'A) Base RI'!AM23</f>
        <v>68</v>
      </c>
      <c r="T23" s="4">
        <f t="shared" si="3"/>
        <v>16543335.269999998</v>
      </c>
      <c r="U23" s="4">
        <f t="shared" si="4"/>
        <v>256689.81279411758</v>
      </c>
      <c r="V23" s="18">
        <f>'A) Base RI'!O23</f>
        <v>216029.1</v>
      </c>
      <c r="W23" s="18">
        <f>'A) Base RI'!P23</f>
        <v>371698.3</v>
      </c>
      <c r="X23" s="18">
        <f>'A) Base RI'!R23</f>
        <v>276157.3</v>
      </c>
      <c r="Y23" s="4">
        <f t="shared" si="5"/>
        <v>863884.7</v>
      </c>
      <c r="Z23" s="18">
        <f>'A) Base RI'!N23</f>
        <v>457342.95</v>
      </c>
      <c r="AA23" s="18">
        <f>'A) Base RI'!S23+'A) Base RI'!T23</f>
        <v>4500</v>
      </c>
      <c r="AB23" s="18">
        <f>'A) Base RI'!U23</f>
        <v>20500</v>
      </c>
      <c r="AC23" s="18">
        <f>'A) Base RI'!V23</f>
        <v>0</v>
      </c>
      <c r="AD23" s="18">
        <f>'A) Base RI'!W23</f>
        <v>0</v>
      </c>
      <c r="AE23" s="18">
        <f>'A) Base RI'!Y23</f>
        <v>107152.69</v>
      </c>
      <c r="AF23" s="18">
        <f>'A) Base RI'!Z23</f>
        <v>0</v>
      </c>
      <c r="AG23" s="18">
        <f>'A) Base RI'!AA23</f>
        <v>714115.85</v>
      </c>
      <c r="AH23" s="18">
        <f>'A) Base RI'!AB23</f>
        <v>0</v>
      </c>
      <c r="AI23" s="18">
        <f>'A) Base RI'!AC23</f>
        <v>232778.48</v>
      </c>
      <c r="AJ23" s="18">
        <f>'A) Base RI'!AD23</f>
        <v>109312.7</v>
      </c>
      <c r="AK23" s="18">
        <f>'A) Base RI'!AE23</f>
        <v>0</v>
      </c>
      <c r="AL23" s="18">
        <f>'A) Base RI'!AF23</f>
        <v>0</v>
      </c>
      <c r="AM23" s="18">
        <f>'A) Base RI'!AG23</f>
        <v>0</v>
      </c>
      <c r="AN23" s="18">
        <f>'A) Base RI'!AH23</f>
        <v>207175.85</v>
      </c>
      <c r="AO23" s="18">
        <f>'A) Base RI'!AI23</f>
        <v>0</v>
      </c>
      <c r="AP23" s="18">
        <f>'A) Base RI'!AJ23</f>
        <v>0</v>
      </c>
      <c r="AQ23" s="18">
        <f>'A) Base RI'!AK23</f>
        <v>0</v>
      </c>
      <c r="AR23" s="18">
        <f>'A) Base RI'!AN23</f>
        <v>3051</v>
      </c>
    </row>
    <row r="24" spans="1:44" x14ac:dyDescent="0.25">
      <c r="A24" s="13">
        <f>'A) Base RI'!A24</f>
        <v>5423</v>
      </c>
      <c r="B24" s="62" t="str">
        <f>'A) Base RI'!B24</f>
        <v>Ballens</v>
      </c>
      <c r="C24" s="18">
        <f>'A) Base RI'!C24+'A) Base RI'!D24</f>
        <v>916967.83000000007</v>
      </c>
      <c r="D24" s="18">
        <f>'A) Base RI'!AO24</f>
        <v>-11106.59</v>
      </c>
      <c r="E24" s="61">
        <f>'A) Base RI'!AP24</f>
        <v>0</v>
      </c>
      <c r="F24" s="61">
        <f>'A) Base RI'!AQ24</f>
        <v>-228.61</v>
      </c>
      <c r="G24" s="4">
        <f t="shared" si="0"/>
        <v>905632.63000000012</v>
      </c>
      <c r="H24" s="18">
        <f>'A) Base RI'!E24</f>
        <v>0</v>
      </c>
      <c r="I24" s="18">
        <f>'A) Base RI'!F24</f>
        <v>2610</v>
      </c>
      <c r="J24" s="18">
        <f>'A) Base RI'!G24+'A) Base RI'!H24</f>
        <v>88305</v>
      </c>
      <c r="K24" s="18">
        <f>'A) Base RI'!I24</f>
        <v>0</v>
      </c>
      <c r="L24" s="18">
        <f>'A) Base RI'!J24</f>
        <v>45609.61</v>
      </c>
      <c r="M24" s="18">
        <f>'A) Base RI'!K24</f>
        <v>1554.5</v>
      </c>
      <c r="N24" s="18">
        <f>'A) Base RI'!Q24</f>
        <v>0</v>
      </c>
      <c r="O24" s="18">
        <f t="shared" si="1"/>
        <v>64160.4</v>
      </c>
      <c r="P24" s="18">
        <f>'A) Base RI'!L24</f>
        <v>32080.2</v>
      </c>
      <c r="Q24" s="64">
        <f>'A) Base RI'!AR24</f>
        <v>0.5</v>
      </c>
      <c r="R24" s="4">
        <f t="shared" si="2"/>
        <v>1107872.1400000001</v>
      </c>
      <c r="S24" s="63">
        <f>'A) Base RI'!AM24</f>
        <v>69</v>
      </c>
      <c r="T24" s="4">
        <f t="shared" si="3"/>
        <v>1039547.2400000001</v>
      </c>
      <c r="U24" s="4">
        <f t="shared" si="4"/>
        <v>16056.117971014495</v>
      </c>
      <c r="V24" s="18">
        <v>0</v>
      </c>
      <c r="W24" s="18">
        <f>'A) Base RI'!P24</f>
        <v>13469.05</v>
      </c>
      <c r="X24" s="18">
        <f>'A) Base RI'!R24</f>
        <v>14169.15</v>
      </c>
      <c r="Y24" s="4">
        <f t="shared" si="5"/>
        <v>27638.199999999997</v>
      </c>
      <c r="Z24" s="18">
        <f>'A) Base RI'!N24</f>
        <v>12384.5</v>
      </c>
      <c r="AA24" s="18">
        <f>'A) Base RI'!S24+'A) Base RI'!T24</f>
        <v>657.3</v>
      </c>
      <c r="AB24" s="18">
        <f>'A) Base RI'!U24</f>
        <v>1400</v>
      </c>
      <c r="AC24" s="18">
        <f>'A) Base RI'!V24</f>
        <v>0</v>
      </c>
      <c r="AD24" s="18">
        <f>'A) Base RI'!W24</f>
        <v>0</v>
      </c>
      <c r="AE24" s="18">
        <f>'A) Base RI'!Y24</f>
        <v>55360.7</v>
      </c>
      <c r="AF24" s="18">
        <f>'A) Base RI'!Z24</f>
        <v>0</v>
      </c>
      <c r="AG24" s="18">
        <f>'A) Base RI'!AA24</f>
        <v>149308</v>
      </c>
      <c r="AH24" s="18">
        <f>'A) Base RI'!AB24</f>
        <v>0</v>
      </c>
      <c r="AI24" s="18">
        <f>'A) Base RI'!AC24</f>
        <v>22737.95</v>
      </c>
      <c r="AJ24" s="18">
        <f>'A) Base RI'!AD24</f>
        <v>0</v>
      </c>
      <c r="AK24" s="18">
        <f>'A) Base RI'!AE24</f>
        <v>0</v>
      </c>
      <c r="AL24" s="18">
        <f>'A) Base RI'!AF24</f>
        <v>0</v>
      </c>
      <c r="AM24" s="18">
        <f>'A) Base RI'!AG24</f>
        <v>0</v>
      </c>
      <c r="AN24" s="18">
        <f>'A) Base RI'!AH24</f>
        <v>10904.55</v>
      </c>
      <c r="AO24" s="18">
        <f>'A) Base RI'!AI24</f>
        <v>0</v>
      </c>
      <c r="AP24" s="18">
        <f>'A) Base RI'!AJ24</f>
        <v>0</v>
      </c>
      <c r="AQ24" s="18">
        <f>'A) Base RI'!AK24</f>
        <v>0</v>
      </c>
      <c r="AR24" s="18">
        <f>'A) Base RI'!AN24</f>
        <v>507</v>
      </c>
    </row>
    <row r="25" spans="1:44" x14ac:dyDescent="0.25">
      <c r="A25" s="13">
        <f>'A) Base RI'!A25</f>
        <v>5424</v>
      </c>
      <c r="B25" s="62" t="str">
        <f>'A) Base RI'!B25</f>
        <v>Berolle</v>
      </c>
      <c r="C25" s="18">
        <f>'A) Base RI'!C25+'A) Base RI'!D25</f>
        <v>592846.00999999989</v>
      </c>
      <c r="D25" s="18">
        <f>'A) Base RI'!AO25</f>
        <v>-3087.91</v>
      </c>
      <c r="E25" s="61">
        <f>'A) Base RI'!AP25</f>
        <v>0</v>
      </c>
      <c r="F25" s="61">
        <f>'A) Base RI'!AQ25</f>
        <v>0</v>
      </c>
      <c r="G25" s="4">
        <f t="shared" si="0"/>
        <v>589758.09999999986</v>
      </c>
      <c r="H25" s="18">
        <f>'A) Base RI'!E25</f>
        <v>0</v>
      </c>
      <c r="I25" s="18">
        <f>'A) Base RI'!F25</f>
        <v>0</v>
      </c>
      <c r="J25" s="18">
        <f>'A) Base RI'!G25+'A) Base RI'!H25</f>
        <v>1003.95</v>
      </c>
      <c r="K25" s="18">
        <f>'A) Base RI'!I25</f>
        <v>58228.800000000003</v>
      </c>
      <c r="L25" s="18">
        <f>'A) Base RI'!J25</f>
        <v>29510.12</v>
      </c>
      <c r="M25" s="18">
        <f>'A) Base RI'!K25</f>
        <v>94.5</v>
      </c>
      <c r="N25" s="18">
        <f>'A) Base RI'!Q25</f>
        <v>0</v>
      </c>
      <c r="O25" s="18">
        <f t="shared" si="1"/>
        <v>41972.3</v>
      </c>
      <c r="P25" s="18">
        <f>'A) Base RI'!L25</f>
        <v>41972.3</v>
      </c>
      <c r="Q25" s="64">
        <f>'A) Base RI'!AR25</f>
        <v>1</v>
      </c>
      <c r="R25" s="4">
        <f t="shared" si="2"/>
        <v>720567.7699999999</v>
      </c>
      <c r="S25" s="63">
        <f>'A) Base RI'!AM25</f>
        <v>77</v>
      </c>
      <c r="T25" s="4">
        <f t="shared" si="3"/>
        <v>678500.96999999986</v>
      </c>
      <c r="U25" s="4">
        <f t="shared" si="4"/>
        <v>9358.0229870129861</v>
      </c>
      <c r="V25" s="18">
        <f>'A) Base RI'!O25</f>
        <v>297.8</v>
      </c>
      <c r="W25" s="18">
        <f>'A) Base RI'!P25</f>
        <v>12650</v>
      </c>
      <c r="X25" s="18">
        <f>'A) Base RI'!R25</f>
        <v>0</v>
      </c>
      <c r="Y25" s="4">
        <f t="shared" si="5"/>
        <v>12947.8</v>
      </c>
      <c r="Z25" s="18">
        <f>'A) Base RI'!N25</f>
        <v>0</v>
      </c>
      <c r="AA25" s="18">
        <f>'A) Base RI'!S25+'A) Base RI'!T25</f>
        <v>0</v>
      </c>
      <c r="AB25" s="18">
        <f>'A) Base RI'!U25</f>
        <v>1700</v>
      </c>
      <c r="AC25" s="18">
        <f>'A) Base RI'!V25</f>
        <v>0</v>
      </c>
      <c r="AD25" s="18">
        <f>'A) Base RI'!W25</f>
        <v>0</v>
      </c>
      <c r="AE25" s="18">
        <f>'A) Base RI'!Y25</f>
        <v>0</v>
      </c>
      <c r="AF25" s="18">
        <f>'A) Base RI'!Z25</f>
        <v>1450</v>
      </c>
      <c r="AG25" s="18">
        <f>'A) Base RI'!AA25</f>
        <v>40750</v>
      </c>
      <c r="AH25" s="18">
        <f>'A) Base RI'!AB25</f>
        <v>10264.959999999999</v>
      </c>
      <c r="AI25" s="18">
        <f>'A) Base RI'!AC25</f>
        <v>13332.95</v>
      </c>
      <c r="AJ25" s="18">
        <f>'A) Base RI'!AD25</f>
        <v>0</v>
      </c>
      <c r="AK25" s="18">
        <f>'A) Base RI'!AE25</f>
        <v>649.75</v>
      </c>
      <c r="AL25" s="18">
        <f>'A) Base RI'!AF25</f>
        <v>0</v>
      </c>
      <c r="AM25" s="18">
        <f>'A) Base RI'!AG25</f>
        <v>0</v>
      </c>
      <c r="AN25" s="18">
        <f>'A) Base RI'!AH25</f>
        <v>8091.2</v>
      </c>
      <c r="AO25" s="18">
        <f>'A) Base RI'!AI25</f>
        <v>0</v>
      </c>
      <c r="AP25" s="18">
        <f>'A) Base RI'!AJ25</f>
        <v>0</v>
      </c>
      <c r="AQ25" s="18">
        <f>'A) Base RI'!AK25</f>
        <v>0</v>
      </c>
      <c r="AR25" s="18">
        <f>'A) Base RI'!AN25</f>
        <v>302</v>
      </c>
    </row>
    <row r="26" spans="1:44" x14ac:dyDescent="0.25">
      <c r="A26" s="13">
        <f>'A) Base RI'!A26</f>
        <v>5425</v>
      </c>
      <c r="B26" s="62" t="str">
        <f>'A) Base RI'!B26</f>
        <v>Bière</v>
      </c>
      <c r="C26" s="18">
        <f>'A) Base RI'!C26+'A) Base RI'!D26</f>
        <v>2157631.89</v>
      </c>
      <c r="D26" s="18">
        <f>'A) Base RI'!AO26</f>
        <v>-60017.02</v>
      </c>
      <c r="E26" s="61">
        <f>'A) Base RI'!AP26</f>
        <v>0</v>
      </c>
      <c r="F26" s="61">
        <f>'A) Base RI'!AQ26</f>
        <v>-12.29</v>
      </c>
      <c r="G26" s="4">
        <f t="shared" si="0"/>
        <v>2097602.58</v>
      </c>
      <c r="H26" s="18">
        <f>'A) Base RI'!E26</f>
        <v>0</v>
      </c>
      <c r="I26" s="18">
        <f>'A) Base RI'!F26</f>
        <v>0</v>
      </c>
      <c r="J26" s="18">
        <f>'A) Base RI'!G26+'A) Base RI'!H26</f>
        <v>122271.7</v>
      </c>
      <c r="K26" s="18">
        <f>'A) Base RI'!I26</f>
        <v>0</v>
      </c>
      <c r="L26" s="18">
        <f>'A) Base RI'!J26</f>
        <v>109163.28</v>
      </c>
      <c r="M26" s="18">
        <f>'A) Base RI'!K26</f>
        <v>13025</v>
      </c>
      <c r="N26" s="18">
        <f>'A) Base RI'!Q26</f>
        <v>7436.84</v>
      </c>
      <c r="O26" s="18">
        <f t="shared" si="1"/>
        <v>175097.3</v>
      </c>
      <c r="P26" s="18">
        <f>'A) Base RI'!L26</f>
        <v>87548.65</v>
      </c>
      <c r="Q26" s="64">
        <f>'A) Base RI'!AR26</f>
        <v>0.5</v>
      </c>
      <c r="R26" s="4">
        <f t="shared" si="2"/>
        <v>2524596.6999999997</v>
      </c>
      <c r="S26" s="63">
        <f>'A) Base RI'!AM26</f>
        <v>68</v>
      </c>
      <c r="T26" s="4">
        <f t="shared" si="3"/>
        <v>2336474.4</v>
      </c>
      <c r="U26" s="4">
        <f t="shared" si="4"/>
        <v>37126.422058823526</v>
      </c>
      <c r="V26" s="18">
        <f>'A) Base RI'!O26</f>
        <v>60857.5</v>
      </c>
      <c r="W26" s="18">
        <f>'A) Base RI'!P26</f>
        <v>46442</v>
      </c>
      <c r="X26" s="18">
        <f>'A) Base RI'!R26</f>
        <v>6221.25</v>
      </c>
      <c r="Y26" s="4">
        <f t="shared" si="5"/>
        <v>113520.75</v>
      </c>
      <c r="Z26" s="18">
        <f>'A) Base RI'!N26</f>
        <v>23256.55</v>
      </c>
      <c r="AA26" s="18">
        <f>'A) Base RI'!S26+'A) Base RI'!T26</f>
        <v>2430</v>
      </c>
      <c r="AB26" s="18">
        <f>'A) Base RI'!U26</f>
        <v>10750</v>
      </c>
      <c r="AC26" s="18">
        <f>'A) Base RI'!V26</f>
        <v>8858.2000000000007</v>
      </c>
      <c r="AD26" s="18">
        <f>'A) Base RI'!W26</f>
        <v>0</v>
      </c>
      <c r="AE26" s="18">
        <f>'A) Base RI'!Y26</f>
        <v>32207.200000000001</v>
      </c>
      <c r="AF26" s="18">
        <f>'A) Base RI'!Z26</f>
        <v>0</v>
      </c>
      <c r="AG26" s="18">
        <f>'A) Base RI'!AA26</f>
        <v>177307.6</v>
      </c>
      <c r="AH26" s="18">
        <f>'A) Base RI'!AB26</f>
        <v>0</v>
      </c>
      <c r="AI26" s="18">
        <f>'A) Base RI'!AC26</f>
        <v>162949.35999999999</v>
      </c>
      <c r="AJ26" s="18">
        <f>'A) Base RI'!AD26</f>
        <v>13176</v>
      </c>
      <c r="AK26" s="18">
        <f>'A) Base RI'!AE26</f>
        <v>0</v>
      </c>
      <c r="AL26" s="18">
        <f>'A) Base RI'!AF26</f>
        <v>0</v>
      </c>
      <c r="AM26" s="18">
        <f>'A) Base RI'!AG26</f>
        <v>0</v>
      </c>
      <c r="AN26" s="18">
        <f>'A) Base RI'!AH26</f>
        <v>61923.7</v>
      </c>
      <c r="AO26" s="18">
        <f>'A) Base RI'!AI26</f>
        <v>0</v>
      </c>
      <c r="AP26" s="18">
        <f>'A) Base RI'!AJ26</f>
        <v>0</v>
      </c>
      <c r="AQ26" s="18">
        <f>'A) Base RI'!AK26</f>
        <v>0</v>
      </c>
      <c r="AR26" s="18">
        <f>'A) Base RI'!AN26</f>
        <v>1526</v>
      </c>
    </row>
    <row r="27" spans="1:44" x14ac:dyDescent="0.25">
      <c r="A27" s="13">
        <f>'A) Base RI'!A27</f>
        <v>5426</v>
      </c>
      <c r="B27" s="62" t="str">
        <f>'A) Base RI'!B27</f>
        <v>Bougy-Villars</v>
      </c>
      <c r="C27" s="18">
        <f>'A) Base RI'!C27+'A) Base RI'!D27</f>
        <v>2302946.04</v>
      </c>
      <c r="D27" s="18">
        <f>'A) Base RI'!AO27</f>
        <v>-9103.19</v>
      </c>
      <c r="E27" s="61">
        <f>'A) Base RI'!AP27</f>
        <v>0</v>
      </c>
      <c r="F27" s="61">
        <f>'A) Base RI'!AQ27</f>
        <v>-6887.79</v>
      </c>
      <c r="G27" s="4">
        <f t="shared" si="0"/>
        <v>2286955.06</v>
      </c>
      <c r="H27" s="18">
        <f>'A) Base RI'!E27</f>
        <v>0</v>
      </c>
      <c r="I27" s="18">
        <f>'A) Base RI'!F27</f>
        <v>0</v>
      </c>
      <c r="J27" s="18">
        <f>'A) Base RI'!G27+'A) Base RI'!H27</f>
        <v>45304.6</v>
      </c>
      <c r="K27" s="18">
        <f>'A) Base RI'!I27</f>
        <v>553690.80000000005</v>
      </c>
      <c r="L27" s="18">
        <f>'A) Base RI'!J27</f>
        <v>165759.10999999999</v>
      </c>
      <c r="M27" s="18">
        <f>'A) Base RI'!K27</f>
        <v>2563.5</v>
      </c>
      <c r="N27" s="18">
        <f>'A) Base RI'!Q27</f>
        <v>7891.9</v>
      </c>
      <c r="O27" s="18">
        <f t="shared" si="1"/>
        <v>210472.15</v>
      </c>
      <c r="P27" s="18">
        <f>'A) Base RI'!L27</f>
        <v>210472.15</v>
      </c>
      <c r="Q27" s="64">
        <f>'A) Base RI'!AR27</f>
        <v>1</v>
      </c>
      <c r="R27" s="4">
        <f t="shared" si="2"/>
        <v>3272637.1199999996</v>
      </c>
      <c r="S27" s="63">
        <f>'A) Base RI'!AM27</f>
        <v>62</v>
      </c>
      <c r="T27" s="4">
        <f t="shared" si="3"/>
        <v>3059601.4699999997</v>
      </c>
      <c r="U27" s="4">
        <f t="shared" si="4"/>
        <v>52784.469677419351</v>
      </c>
      <c r="V27" s="18">
        <f>'A) Base RI'!O27</f>
        <v>228155.3</v>
      </c>
      <c r="W27" s="18">
        <f>'A) Base RI'!P27</f>
        <v>84374</v>
      </c>
      <c r="X27" s="18">
        <f>'A) Base RI'!R27</f>
        <v>153570.4</v>
      </c>
      <c r="Y27" s="4">
        <f t="shared" si="5"/>
        <v>466099.69999999995</v>
      </c>
      <c r="Z27" s="18">
        <f>'A) Base RI'!N27</f>
        <v>11863.7</v>
      </c>
      <c r="AA27" s="18">
        <f>'A) Base RI'!S27+'A) Base RI'!T27</f>
        <v>1318.75</v>
      </c>
      <c r="AB27" s="18">
        <f>'A) Base RI'!U27</f>
        <v>3040</v>
      </c>
      <c r="AC27" s="18">
        <f>'A) Base RI'!V27</f>
        <v>20130.099999999999</v>
      </c>
      <c r="AD27" s="18">
        <f>'A) Base RI'!W27</f>
        <v>0</v>
      </c>
      <c r="AE27" s="18">
        <f>'A) Base RI'!Y27</f>
        <v>40655.4</v>
      </c>
      <c r="AF27" s="18">
        <f>'A) Base RI'!Z27</f>
        <v>41432.9</v>
      </c>
      <c r="AG27" s="18">
        <f>'A) Base RI'!AA27</f>
        <v>105396.5</v>
      </c>
      <c r="AH27" s="18">
        <f>'A) Base RI'!AB27</f>
        <v>0</v>
      </c>
      <c r="AI27" s="18">
        <f>'A) Base RI'!AC27</f>
        <v>31745.5</v>
      </c>
      <c r="AJ27" s="18">
        <f>'A) Base RI'!AD27</f>
        <v>0</v>
      </c>
      <c r="AK27" s="18">
        <f>'A) Base RI'!AE27</f>
        <v>0</v>
      </c>
      <c r="AL27" s="18">
        <f>'A) Base RI'!AF27</f>
        <v>0</v>
      </c>
      <c r="AM27" s="18">
        <f>'A) Base RI'!AG27</f>
        <v>0</v>
      </c>
      <c r="AN27" s="18">
        <f>'A) Base RI'!AH27</f>
        <v>0</v>
      </c>
      <c r="AO27" s="18">
        <f>'A) Base RI'!AI27</f>
        <v>0</v>
      </c>
      <c r="AP27" s="18">
        <f>'A) Base RI'!AJ27</f>
        <v>0</v>
      </c>
      <c r="AQ27" s="18">
        <f>'A) Base RI'!AK27</f>
        <v>0</v>
      </c>
      <c r="AR27" s="18">
        <f>'A) Base RI'!AN27</f>
        <v>444</v>
      </c>
    </row>
    <row r="28" spans="1:44" x14ac:dyDescent="0.25">
      <c r="A28" s="13">
        <f>'A) Base RI'!A28</f>
        <v>5427</v>
      </c>
      <c r="B28" s="62" t="str">
        <f>'A) Base RI'!B28</f>
        <v>Féchy</v>
      </c>
      <c r="C28" s="18">
        <f>'A) Base RI'!C28+'A) Base RI'!D28</f>
        <v>3926970</v>
      </c>
      <c r="D28" s="18">
        <f>'A) Base RI'!AO28</f>
        <v>-15893.3</v>
      </c>
      <c r="E28" s="61">
        <f>'A) Base RI'!AP28</f>
        <v>0</v>
      </c>
      <c r="F28" s="61">
        <f>'A) Base RI'!AQ28</f>
        <v>0</v>
      </c>
      <c r="G28" s="4">
        <f t="shared" si="0"/>
        <v>3911076.7</v>
      </c>
      <c r="H28" s="18">
        <f>'A) Base RI'!E28</f>
        <v>0</v>
      </c>
      <c r="I28" s="18">
        <f>'A) Base RI'!F28</f>
        <v>0</v>
      </c>
      <c r="J28" s="18">
        <f>'A) Base RI'!G28+'A) Base RI'!H28</f>
        <v>173568.85</v>
      </c>
      <c r="K28" s="18">
        <f>'A) Base RI'!I28</f>
        <v>696179.15</v>
      </c>
      <c r="L28" s="18">
        <f>'A) Base RI'!J28</f>
        <v>-284586.27</v>
      </c>
      <c r="M28" s="18">
        <f>'A) Base RI'!K28</f>
        <v>2483.5</v>
      </c>
      <c r="N28" s="18">
        <f>'A) Base RI'!Q28</f>
        <v>-3030.33</v>
      </c>
      <c r="O28" s="18">
        <f t="shared" si="1"/>
        <v>308121.73076923075</v>
      </c>
      <c r="P28" s="18">
        <f>'A) Base RI'!L28</f>
        <v>400558.25</v>
      </c>
      <c r="Q28" s="64">
        <f>'A) Base RI'!AR28</f>
        <v>1.3</v>
      </c>
      <c r="R28" s="4">
        <f t="shared" si="2"/>
        <v>4803813.3307692306</v>
      </c>
      <c r="S28" s="63">
        <f>'A) Base RI'!AM28</f>
        <v>64</v>
      </c>
      <c r="T28" s="4">
        <f t="shared" si="3"/>
        <v>4493208.0999999996</v>
      </c>
      <c r="U28" s="4">
        <f t="shared" si="4"/>
        <v>75059.583293269228</v>
      </c>
      <c r="V28" s="18">
        <f>'A) Base RI'!O28</f>
        <v>102182.5</v>
      </c>
      <c r="W28" s="18">
        <f>'A) Base RI'!P28</f>
        <v>126995</v>
      </c>
      <c r="X28" s="18">
        <f>'A) Base RI'!R28</f>
        <v>147776.15</v>
      </c>
      <c r="Y28" s="4">
        <f t="shared" si="5"/>
        <v>376953.65</v>
      </c>
      <c r="Z28" s="18">
        <f>'A) Base RI'!N28</f>
        <v>6769</v>
      </c>
      <c r="AA28" s="18">
        <f>'A) Base RI'!S28+'A) Base RI'!T28</f>
        <v>0</v>
      </c>
      <c r="AB28" s="18">
        <f>'A) Base RI'!U28</f>
        <v>4320</v>
      </c>
      <c r="AC28" s="18">
        <f>'A) Base RI'!V28</f>
        <v>0</v>
      </c>
      <c r="AD28" s="18">
        <f>'A) Base RI'!W28</f>
        <v>0</v>
      </c>
      <c r="AE28" s="18">
        <f>'A) Base RI'!Y28</f>
        <v>52491.9</v>
      </c>
      <c r="AF28" s="18">
        <f>'A) Base RI'!Z28</f>
        <v>0</v>
      </c>
      <c r="AG28" s="18">
        <f>'A) Base RI'!AA28</f>
        <v>221148.75</v>
      </c>
      <c r="AH28" s="18">
        <f>'A) Base RI'!AB28</f>
        <v>0</v>
      </c>
      <c r="AI28" s="18">
        <f>'A) Base RI'!AC28</f>
        <v>83953.600000000006</v>
      </c>
      <c r="AJ28" s="18">
        <f>'A) Base RI'!AD28</f>
        <v>0</v>
      </c>
      <c r="AK28" s="18">
        <f>'A) Base RI'!AE28</f>
        <v>0</v>
      </c>
      <c r="AL28" s="18">
        <f>'A) Base RI'!AF28</f>
        <v>0</v>
      </c>
      <c r="AM28" s="18">
        <f>'A) Base RI'!AG28</f>
        <v>0</v>
      </c>
      <c r="AN28" s="18">
        <f>'A) Base RI'!AH28</f>
        <v>0</v>
      </c>
      <c r="AO28" s="18">
        <f>'A) Base RI'!AI28</f>
        <v>0</v>
      </c>
      <c r="AP28" s="18">
        <f>'A) Base RI'!AJ28</f>
        <v>0</v>
      </c>
      <c r="AQ28" s="18">
        <f>'A) Base RI'!AK28</f>
        <v>0</v>
      </c>
      <c r="AR28" s="18">
        <f>'A) Base RI'!AN28</f>
        <v>857</v>
      </c>
    </row>
    <row r="29" spans="1:44" x14ac:dyDescent="0.25">
      <c r="A29" s="13">
        <f>'A) Base RI'!A29</f>
        <v>5428</v>
      </c>
      <c r="B29" s="62" t="str">
        <f>'A) Base RI'!B29</f>
        <v>Gimel</v>
      </c>
      <c r="C29" s="18">
        <f>'A) Base RI'!C29+'A) Base RI'!D29</f>
        <v>3377142.1100000003</v>
      </c>
      <c r="D29" s="18">
        <f>'A) Base RI'!AO29</f>
        <v>-45148.43</v>
      </c>
      <c r="E29" s="61">
        <f>'A) Base RI'!AP29</f>
        <v>0</v>
      </c>
      <c r="F29" s="61">
        <f>'A) Base RI'!AQ29</f>
        <v>-295.57</v>
      </c>
      <c r="G29" s="4">
        <f t="shared" si="0"/>
        <v>3331698.1100000003</v>
      </c>
      <c r="H29" s="18">
        <f>'A) Base RI'!E29</f>
        <v>0</v>
      </c>
      <c r="I29" s="18">
        <f>'A) Base RI'!F29</f>
        <v>0</v>
      </c>
      <c r="J29" s="18">
        <f>'A) Base RI'!G29+'A) Base RI'!H29</f>
        <v>32320.350000000002</v>
      </c>
      <c r="K29" s="18">
        <f>'A) Base RI'!I29</f>
        <v>43068.3</v>
      </c>
      <c r="L29" s="18">
        <f>'A) Base RI'!J29</f>
        <v>173441.1</v>
      </c>
      <c r="M29" s="18">
        <f>'A) Base RI'!K29</f>
        <v>7431.5</v>
      </c>
      <c r="N29" s="18">
        <f>'A) Base RI'!Q29</f>
        <v>4219.22</v>
      </c>
      <c r="O29" s="18">
        <f t="shared" si="1"/>
        <v>286330.58333333337</v>
      </c>
      <c r="P29" s="18">
        <f>'A) Base RI'!L29</f>
        <v>343596.7</v>
      </c>
      <c r="Q29" s="64">
        <f>'A) Base RI'!AR29</f>
        <v>1.2</v>
      </c>
      <c r="R29" s="4">
        <f t="shared" si="2"/>
        <v>3878509.163333334</v>
      </c>
      <c r="S29" s="63">
        <f>'A) Base RI'!AM29</f>
        <v>71.5</v>
      </c>
      <c r="T29" s="4">
        <f t="shared" si="3"/>
        <v>3584747.0800000005</v>
      </c>
      <c r="U29" s="4">
        <f t="shared" si="4"/>
        <v>54244.883403263411</v>
      </c>
      <c r="V29" s="18">
        <f>'A) Base RI'!O29</f>
        <v>60777.2</v>
      </c>
      <c r="W29" s="18">
        <f>'A) Base RI'!P29</f>
        <v>108965.15</v>
      </c>
      <c r="X29" s="18">
        <f>'A) Base RI'!R29</f>
        <v>106511.8</v>
      </c>
      <c r="Y29" s="4">
        <f t="shared" si="5"/>
        <v>276254.14999999997</v>
      </c>
      <c r="Z29" s="18">
        <f>'A) Base RI'!N29</f>
        <v>208566.85</v>
      </c>
      <c r="AA29" s="18">
        <f>'A) Base RI'!S29+'A) Base RI'!T29</f>
        <v>1925</v>
      </c>
      <c r="AB29" s="18">
        <f>'A) Base RI'!U29</f>
        <v>9950</v>
      </c>
      <c r="AC29" s="18">
        <f>'A) Base RI'!V29</f>
        <v>0</v>
      </c>
      <c r="AD29" s="18">
        <f>'A) Base RI'!W29</f>
        <v>0</v>
      </c>
      <c r="AE29" s="18">
        <f>'A) Base RI'!Y29</f>
        <v>17124.8</v>
      </c>
      <c r="AF29" s="18">
        <f>'A) Base RI'!Z29</f>
        <v>3912.15</v>
      </c>
      <c r="AG29" s="18">
        <f>'A) Base RI'!AA29</f>
        <v>229063.52</v>
      </c>
      <c r="AH29" s="18">
        <f>'A) Base RI'!AB29</f>
        <v>0</v>
      </c>
      <c r="AI29" s="18">
        <f>'A) Base RI'!AC29</f>
        <v>186487.99</v>
      </c>
      <c r="AJ29" s="18">
        <f>'A) Base RI'!AD29</f>
        <v>17242.900000000001</v>
      </c>
      <c r="AK29" s="18">
        <f>'A) Base RI'!AE29</f>
        <v>3912.15</v>
      </c>
      <c r="AL29" s="18">
        <f>'A) Base RI'!AF29</f>
        <v>0</v>
      </c>
      <c r="AM29" s="18">
        <f>'A) Base RI'!AG29</f>
        <v>0</v>
      </c>
      <c r="AN29" s="18">
        <f>'A) Base RI'!AH29</f>
        <v>49497.599999999999</v>
      </c>
      <c r="AO29" s="18">
        <f>'A) Base RI'!AI29</f>
        <v>0</v>
      </c>
      <c r="AP29" s="18">
        <f>'A) Base RI'!AJ29</f>
        <v>0</v>
      </c>
      <c r="AQ29" s="18">
        <f>'A) Base RI'!AK29</f>
        <v>0</v>
      </c>
      <c r="AR29" s="18">
        <f>'A) Base RI'!AN29</f>
        <v>1923</v>
      </c>
    </row>
    <row r="30" spans="1:44" x14ac:dyDescent="0.25">
      <c r="A30" s="13">
        <f>'A) Base RI'!A30</f>
        <v>5429</v>
      </c>
      <c r="B30" s="62" t="str">
        <f>'A) Base RI'!B30</f>
        <v>Longirod</v>
      </c>
      <c r="C30" s="18">
        <f>'A) Base RI'!C30+'A) Base RI'!D30</f>
        <v>1191803.18</v>
      </c>
      <c r="D30" s="18">
        <f>'A) Base RI'!AO30</f>
        <v>-92137</v>
      </c>
      <c r="E30" s="61">
        <f>'A) Base RI'!AP30</f>
        <v>0</v>
      </c>
      <c r="F30" s="61">
        <f>'A) Base RI'!AQ30</f>
        <v>-9.31</v>
      </c>
      <c r="G30" s="4">
        <f t="shared" si="0"/>
        <v>1099656.8699999999</v>
      </c>
      <c r="H30" s="18">
        <f>'A) Base RI'!E30</f>
        <v>0</v>
      </c>
      <c r="I30" s="18">
        <f>'A) Base RI'!F30</f>
        <v>0</v>
      </c>
      <c r="J30" s="18">
        <f>'A) Base RI'!G30+'A) Base RI'!H30</f>
        <v>6520.4</v>
      </c>
      <c r="K30" s="18">
        <f>'A) Base RI'!I30</f>
        <v>0</v>
      </c>
      <c r="L30" s="18">
        <f>'A) Base RI'!J30</f>
        <v>-842.61</v>
      </c>
      <c r="M30" s="18">
        <f>'A) Base RI'!K30</f>
        <v>1190</v>
      </c>
      <c r="N30" s="18">
        <f>'A) Base RI'!Q30</f>
        <v>0</v>
      </c>
      <c r="O30" s="18">
        <f t="shared" si="1"/>
        <v>77836.800000000003</v>
      </c>
      <c r="P30" s="18">
        <f>'A) Base RI'!L30</f>
        <v>77836.800000000003</v>
      </c>
      <c r="Q30" s="64">
        <f>'A) Base RI'!AR30</f>
        <v>1</v>
      </c>
      <c r="R30" s="4">
        <f t="shared" si="2"/>
        <v>1184361.4599999997</v>
      </c>
      <c r="S30" s="63">
        <f>'A) Base RI'!AM30</f>
        <v>81</v>
      </c>
      <c r="T30" s="4">
        <f t="shared" si="3"/>
        <v>1105334.6599999997</v>
      </c>
      <c r="U30" s="4">
        <f t="shared" si="4"/>
        <v>14621.746419753083</v>
      </c>
      <c r="V30" s="18">
        <f>'A) Base RI'!O30</f>
        <v>35956</v>
      </c>
      <c r="W30" s="18">
        <f>'A) Base RI'!P30</f>
        <v>61886.3</v>
      </c>
      <c r="X30" s="18">
        <f>'A) Base RI'!R30</f>
        <v>-5102.45</v>
      </c>
      <c r="Y30" s="4">
        <f t="shared" si="5"/>
        <v>92739.85</v>
      </c>
      <c r="Z30" s="18">
        <v>0</v>
      </c>
      <c r="AA30" s="18">
        <f>'A) Base RI'!S30+'A) Base RI'!T30</f>
        <v>0</v>
      </c>
      <c r="AB30" s="18">
        <f>'A) Base RI'!U30</f>
        <v>4799</v>
      </c>
      <c r="AC30" s="18">
        <f>'A) Base RI'!V30</f>
        <v>0</v>
      </c>
      <c r="AD30" s="18">
        <f>'A) Base RI'!W30</f>
        <v>0</v>
      </c>
      <c r="AE30" s="18">
        <f>'A) Base RI'!Y30</f>
        <v>19325</v>
      </c>
      <c r="AF30" s="18">
        <f>'A) Base RI'!Z30</f>
        <v>0</v>
      </c>
      <c r="AG30" s="18">
        <f>'A) Base RI'!AA30</f>
        <v>35033.599999999999</v>
      </c>
      <c r="AH30" s="18">
        <f>'A) Base RI'!AB30</f>
        <v>0</v>
      </c>
      <c r="AI30" s="18">
        <f>'A) Base RI'!AC30</f>
        <v>55639.95</v>
      </c>
      <c r="AJ30" s="18">
        <f>'A) Base RI'!AD30</f>
        <v>19325</v>
      </c>
      <c r="AK30" s="18">
        <f>'A) Base RI'!AE30</f>
        <v>0</v>
      </c>
      <c r="AL30" s="18">
        <f>'A) Base RI'!AF30</f>
        <v>0</v>
      </c>
      <c r="AM30" s="18">
        <f>'A) Base RI'!AG30</f>
        <v>383.6</v>
      </c>
      <c r="AN30" s="18">
        <f>'A) Base RI'!AH30</f>
        <v>0</v>
      </c>
      <c r="AO30" s="18">
        <f>'A) Base RI'!AI30</f>
        <v>0</v>
      </c>
      <c r="AP30" s="18">
        <f>'A) Base RI'!AJ30</f>
        <v>0</v>
      </c>
      <c r="AQ30" s="18">
        <f>'A) Base RI'!AK30</f>
        <v>0</v>
      </c>
      <c r="AR30" s="18">
        <f>'A) Base RI'!AN30</f>
        <v>441</v>
      </c>
    </row>
    <row r="31" spans="1:44" x14ac:dyDescent="0.25">
      <c r="A31" s="13">
        <f>'A) Base RI'!A31</f>
        <v>5430</v>
      </c>
      <c r="B31" s="62" t="str">
        <f>'A) Base RI'!B31</f>
        <v>Marchissy</v>
      </c>
      <c r="C31" s="18">
        <f>'A) Base RI'!C31+'A) Base RI'!D31</f>
        <v>964939.16999999993</v>
      </c>
      <c r="D31" s="18">
        <f>'A) Base RI'!AO31</f>
        <v>-4232.92</v>
      </c>
      <c r="E31" s="61">
        <f>'A) Base RI'!AP31</f>
        <v>0</v>
      </c>
      <c r="F31" s="61">
        <f>'A) Base RI'!AQ31</f>
        <v>-92.98</v>
      </c>
      <c r="G31" s="4">
        <f t="shared" si="0"/>
        <v>960613.2699999999</v>
      </c>
      <c r="H31" s="18">
        <f>'A) Base RI'!E31</f>
        <v>0</v>
      </c>
      <c r="I31" s="18">
        <f>'A) Base RI'!F31</f>
        <v>0</v>
      </c>
      <c r="J31" s="18">
        <f>'A) Base RI'!G31+'A) Base RI'!H31</f>
        <v>5140.2000000000007</v>
      </c>
      <c r="K31" s="18">
        <f>'A) Base RI'!I31</f>
        <v>0</v>
      </c>
      <c r="L31" s="18">
        <f>'A) Base RI'!J31</f>
        <v>15544.72</v>
      </c>
      <c r="M31" s="18">
        <f>'A) Base RI'!K31</f>
        <v>488</v>
      </c>
      <c r="N31" s="18">
        <f>'A) Base RI'!Q31</f>
        <v>1379.2</v>
      </c>
      <c r="O31" s="18">
        <f t="shared" si="1"/>
        <v>75454.25</v>
      </c>
      <c r="P31" s="18">
        <f>'A) Base RI'!L31</f>
        <v>75454.25</v>
      </c>
      <c r="Q31" s="64">
        <f>'A) Base RI'!AR31</f>
        <v>1</v>
      </c>
      <c r="R31" s="4">
        <f t="shared" si="2"/>
        <v>1058619.6399999997</v>
      </c>
      <c r="S31" s="63">
        <f>'A) Base RI'!AM31</f>
        <v>81</v>
      </c>
      <c r="T31" s="4">
        <f t="shared" si="3"/>
        <v>982677.38999999978</v>
      </c>
      <c r="U31" s="4">
        <f t="shared" si="4"/>
        <v>13069.378271604934</v>
      </c>
      <c r="V31" s="18">
        <f>'A) Base RI'!O31</f>
        <v>9648.5</v>
      </c>
      <c r="W31" s="18">
        <f>'A) Base RI'!P31</f>
        <v>51104.85</v>
      </c>
      <c r="X31" s="18">
        <f>'A) Base RI'!R31</f>
        <v>14783.35</v>
      </c>
      <c r="Y31" s="4">
        <f t="shared" si="5"/>
        <v>75536.7</v>
      </c>
      <c r="Z31" s="18">
        <f>'A) Base RI'!N31</f>
        <v>11420.9</v>
      </c>
      <c r="AA31" s="18">
        <f>'A) Base RI'!S31+'A) Base RI'!T31</f>
        <v>0</v>
      </c>
      <c r="AB31" s="18">
        <f>'A) Base RI'!U31</f>
        <v>2920</v>
      </c>
      <c r="AC31" s="18">
        <f>'A) Base RI'!V31</f>
        <v>0</v>
      </c>
      <c r="AD31" s="18">
        <f>'A) Base RI'!W31</f>
        <v>0</v>
      </c>
      <c r="AE31" s="18">
        <f>'A) Base RI'!Y31</f>
        <v>2090</v>
      </c>
      <c r="AF31" s="18">
        <f>'A) Base RI'!Z31</f>
        <v>0</v>
      </c>
      <c r="AG31" s="18">
        <f>'A) Base RI'!AA31</f>
        <v>37005.300000000003</v>
      </c>
      <c r="AH31" s="18">
        <f>'A) Base RI'!AB31</f>
        <v>0</v>
      </c>
      <c r="AI31" s="18">
        <f>'A) Base RI'!AC31</f>
        <v>45341.5</v>
      </c>
      <c r="AJ31" s="18">
        <f>'A) Base RI'!AD31</f>
        <v>10976</v>
      </c>
      <c r="AK31" s="18">
        <f>'A) Base RI'!AE31</f>
        <v>0</v>
      </c>
      <c r="AL31" s="18">
        <f>'A) Base RI'!AF31</f>
        <v>0</v>
      </c>
      <c r="AM31" s="18">
        <f>'A) Base RI'!AG31</f>
        <v>208.1</v>
      </c>
      <c r="AN31" s="18">
        <f>'A) Base RI'!AH31</f>
        <v>0</v>
      </c>
      <c r="AO31" s="18">
        <f>'A) Base RI'!AI31</f>
        <v>0</v>
      </c>
      <c r="AP31" s="18">
        <f>'A) Base RI'!AJ31</f>
        <v>0</v>
      </c>
      <c r="AQ31" s="18">
        <f>'A) Base RI'!AK31</f>
        <v>0</v>
      </c>
      <c r="AR31" s="18">
        <f>'A) Base RI'!AN31</f>
        <v>444</v>
      </c>
    </row>
    <row r="32" spans="1:44" x14ac:dyDescent="0.25">
      <c r="A32" s="13">
        <f>'A) Base RI'!A32</f>
        <v>5431</v>
      </c>
      <c r="B32" s="62" t="str">
        <f>'A) Base RI'!B32</f>
        <v>Mollens</v>
      </c>
      <c r="C32" s="18">
        <f>'A) Base RI'!C32+'A) Base RI'!D32</f>
        <v>549922.16</v>
      </c>
      <c r="D32" s="18">
        <f>'A) Base RI'!AO32</f>
        <v>-6750.44</v>
      </c>
      <c r="E32" s="61">
        <f>'A) Base RI'!AP32</f>
        <v>0</v>
      </c>
      <c r="F32" s="61">
        <f>'A) Base RI'!AQ32</f>
        <v>-127.06</v>
      </c>
      <c r="G32" s="4">
        <f t="shared" si="0"/>
        <v>543044.66</v>
      </c>
      <c r="H32" s="18">
        <f>'A) Base RI'!E32</f>
        <v>0</v>
      </c>
      <c r="I32" s="18">
        <f>'A) Base RI'!F32</f>
        <v>0</v>
      </c>
      <c r="J32" s="18">
        <f>'A) Base RI'!G32+'A) Base RI'!H32</f>
        <v>798</v>
      </c>
      <c r="K32" s="18">
        <f>'A) Base RI'!I32</f>
        <v>0</v>
      </c>
      <c r="L32" s="18">
        <f>'A) Base RI'!J32</f>
        <v>2506.36</v>
      </c>
      <c r="M32" s="18">
        <f>'A) Base RI'!K32</f>
        <v>300.5</v>
      </c>
      <c r="N32" s="18">
        <f>'A) Base RI'!Q32</f>
        <v>1730.19</v>
      </c>
      <c r="O32" s="18">
        <f t="shared" si="1"/>
        <v>45419.5</v>
      </c>
      <c r="P32" s="18">
        <f>'A) Base RI'!L32</f>
        <v>45419.5</v>
      </c>
      <c r="Q32" s="64">
        <f>'A) Base RI'!AR32</f>
        <v>1</v>
      </c>
      <c r="R32" s="4">
        <f t="shared" si="2"/>
        <v>593799.21</v>
      </c>
      <c r="S32" s="63">
        <f>'A) Base RI'!AM32</f>
        <v>74</v>
      </c>
      <c r="T32" s="4">
        <f t="shared" si="3"/>
        <v>548079.21</v>
      </c>
      <c r="U32" s="4">
        <f t="shared" si="4"/>
        <v>8024.3136486486483</v>
      </c>
      <c r="V32" s="18">
        <f>'A) Base RI'!O32</f>
        <v>4693.6000000000004</v>
      </c>
      <c r="W32" s="18">
        <f>'A) Base RI'!P32</f>
        <v>18164.5</v>
      </c>
      <c r="X32" s="18">
        <f>'A) Base RI'!R32</f>
        <v>19999.599999999999</v>
      </c>
      <c r="Y32" s="4">
        <f t="shared" si="5"/>
        <v>42857.7</v>
      </c>
      <c r="Z32" s="18">
        <v>0</v>
      </c>
      <c r="AA32" s="18">
        <f>'A) Base RI'!S32+'A) Base RI'!T32</f>
        <v>0</v>
      </c>
      <c r="AB32" s="18">
        <f>'A) Base RI'!U32</f>
        <v>2025</v>
      </c>
      <c r="AC32" s="18">
        <f>'A) Base RI'!V32</f>
        <v>0</v>
      </c>
      <c r="AD32" s="18">
        <f>'A) Base RI'!W32</f>
        <v>0</v>
      </c>
      <c r="AE32" s="18">
        <f>'A) Base RI'!Y32</f>
        <v>2045.4</v>
      </c>
      <c r="AF32" s="18">
        <f>'A) Base RI'!Z32</f>
        <v>0</v>
      </c>
      <c r="AG32" s="18">
        <f>'A) Base RI'!AA32</f>
        <v>89700</v>
      </c>
      <c r="AH32" s="18">
        <f>'A) Base RI'!AB32</f>
        <v>0</v>
      </c>
      <c r="AI32" s="18">
        <f>'A) Base RI'!AC32</f>
        <v>15375.05</v>
      </c>
      <c r="AJ32" s="18">
        <f>'A) Base RI'!AD32</f>
        <v>1625.4</v>
      </c>
      <c r="AK32" s="18">
        <f>'A) Base RI'!AE32</f>
        <v>0</v>
      </c>
      <c r="AL32" s="18">
        <f>'A) Base RI'!AF32</f>
        <v>0</v>
      </c>
      <c r="AM32" s="18">
        <f>'A) Base RI'!AG32</f>
        <v>0</v>
      </c>
      <c r="AN32" s="18">
        <f>'A) Base RI'!AH32</f>
        <v>0</v>
      </c>
      <c r="AO32" s="18">
        <f>'A) Base RI'!AI32</f>
        <v>0</v>
      </c>
      <c r="AP32" s="18">
        <f>'A) Base RI'!AJ32</f>
        <v>0</v>
      </c>
      <c r="AQ32" s="18">
        <f>'A) Base RI'!AK32</f>
        <v>0</v>
      </c>
      <c r="AR32" s="18">
        <f>'A) Base RI'!AN32</f>
        <v>288</v>
      </c>
    </row>
    <row r="33" spans="1:44" x14ac:dyDescent="0.25">
      <c r="A33" s="13">
        <f>'A) Base RI'!A33</f>
        <v>5432</v>
      </c>
      <c r="B33" s="62" t="str">
        <f>'A) Base RI'!B33</f>
        <v>Montherod</v>
      </c>
      <c r="C33" s="18">
        <f>'A) Base RI'!C33+'A) Base RI'!D33</f>
        <v>1116812.54</v>
      </c>
      <c r="D33" s="18">
        <f>'A) Base RI'!AO33</f>
        <v>-4854.05</v>
      </c>
      <c r="E33" s="61">
        <f>'A) Base RI'!AP33</f>
        <v>-5191.95</v>
      </c>
      <c r="F33" s="61">
        <f>'A) Base RI'!AQ33</f>
        <v>-1.38</v>
      </c>
      <c r="G33" s="4">
        <f t="shared" si="0"/>
        <v>1106765.1600000001</v>
      </c>
      <c r="H33" s="18">
        <f>'A) Base RI'!E33</f>
        <v>0</v>
      </c>
      <c r="I33" s="18">
        <f>'A) Base RI'!F33</f>
        <v>0</v>
      </c>
      <c r="J33" s="18">
        <f>'A) Base RI'!G33+'A) Base RI'!H33</f>
        <v>51769.55</v>
      </c>
      <c r="K33" s="18">
        <f>'A) Base RI'!I33</f>
        <v>0</v>
      </c>
      <c r="L33" s="18">
        <f>'A) Base RI'!J33</f>
        <v>68312.5</v>
      </c>
      <c r="M33" s="18">
        <f>'A) Base RI'!K33</f>
        <v>2859.5</v>
      </c>
      <c r="N33" s="18">
        <f>'A) Base RI'!Q33</f>
        <v>2997.25</v>
      </c>
      <c r="O33" s="18">
        <f t="shared" si="1"/>
        <v>84453.9</v>
      </c>
      <c r="P33" s="18">
        <f>'A) Base RI'!L33</f>
        <v>84453.9</v>
      </c>
      <c r="Q33" s="64">
        <f>'A) Base RI'!AR33</f>
        <v>1</v>
      </c>
      <c r="R33" s="4">
        <f t="shared" si="2"/>
        <v>1317157.8600000001</v>
      </c>
      <c r="S33" s="63">
        <f>'A) Base RI'!AM33</f>
        <v>74</v>
      </c>
      <c r="T33" s="4">
        <f t="shared" si="3"/>
        <v>1229844.4600000002</v>
      </c>
      <c r="U33" s="4">
        <f t="shared" si="4"/>
        <v>17799.430540540543</v>
      </c>
      <c r="V33" s="18">
        <v>0</v>
      </c>
      <c r="W33" s="18">
        <f>'A) Base RI'!P33</f>
        <v>88869</v>
      </c>
      <c r="X33" s="18">
        <f>'A) Base RI'!R33</f>
        <v>46264.2</v>
      </c>
      <c r="Y33" s="4">
        <f t="shared" si="5"/>
        <v>135133.20000000001</v>
      </c>
      <c r="Z33" s="18">
        <f>'A) Base RI'!N33</f>
        <v>11485.1</v>
      </c>
      <c r="AA33" s="18">
        <f>'A) Base RI'!S33+'A) Base RI'!T33</f>
        <v>385</v>
      </c>
      <c r="AB33" s="18">
        <f>'A) Base RI'!U33</f>
        <v>4405</v>
      </c>
      <c r="AC33" s="18">
        <f>'A) Base RI'!V33</f>
        <v>0</v>
      </c>
      <c r="AD33" s="18">
        <f>'A) Base RI'!W33</f>
        <v>0</v>
      </c>
      <c r="AE33" s="18">
        <f>'A) Base RI'!Y33</f>
        <v>0</v>
      </c>
      <c r="AF33" s="18">
        <f>'A) Base RI'!Z33</f>
        <v>181.45</v>
      </c>
      <c r="AG33" s="18">
        <f>'A) Base RI'!AA33</f>
        <v>37205.75</v>
      </c>
      <c r="AH33" s="18">
        <f>'A) Base RI'!AB33</f>
        <v>0</v>
      </c>
      <c r="AI33" s="18">
        <f>'A) Base RI'!AC33</f>
        <v>50260</v>
      </c>
      <c r="AJ33" s="18">
        <f>'A) Base RI'!AD33</f>
        <v>0</v>
      </c>
      <c r="AK33" s="18">
        <f>'A) Base RI'!AE33</f>
        <v>181.45</v>
      </c>
      <c r="AL33" s="18">
        <f>'A) Base RI'!AF33</f>
        <v>0</v>
      </c>
      <c r="AM33" s="18">
        <f>'A) Base RI'!AG33</f>
        <v>0</v>
      </c>
      <c r="AN33" s="18">
        <f>'A) Base RI'!AH33</f>
        <v>11042.5</v>
      </c>
      <c r="AO33" s="18">
        <f>'A) Base RI'!AI33</f>
        <v>0</v>
      </c>
      <c r="AP33" s="18">
        <f>'A) Base RI'!AJ33</f>
        <v>0</v>
      </c>
      <c r="AQ33" s="18">
        <f>'A) Base RI'!AK33</f>
        <v>0</v>
      </c>
      <c r="AR33" s="18">
        <f>'A) Base RI'!AN33</f>
        <v>521</v>
      </c>
    </row>
    <row r="34" spans="1:44" x14ac:dyDescent="0.25">
      <c r="A34" s="13">
        <f>'A) Base RI'!A34</f>
        <v>5434</v>
      </c>
      <c r="B34" s="62" t="str">
        <f>'A) Base RI'!B34</f>
        <v>Saint-George</v>
      </c>
      <c r="C34" s="18">
        <f>'A) Base RI'!C34+'A) Base RI'!D34</f>
        <v>2189839.4500000002</v>
      </c>
      <c r="D34" s="18">
        <f>'A) Base RI'!AO34</f>
        <v>-82901</v>
      </c>
      <c r="E34" s="61">
        <f>'A) Base RI'!AP34</f>
        <v>0</v>
      </c>
      <c r="F34" s="61">
        <f>'A) Base RI'!AQ34</f>
        <v>0</v>
      </c>
      <c r="G34" s="4">
        <f t="shared" si="0"/>
        <v>2106938.4500000002</v>
      </c>
      <c r="H34" s="18">
        <f>'A) Base RI'!E34</f>
        <v>0</v>
      </c>
      <c r="I34" s="18">
        <f>'A) Base RI'!F34</f>
        <v>0</v>
      </c>
      <c r="J34" s="18">
        <f>'A) Base RI'!G34+'A) Base RI'!H34</f>
        <v>14672.06</v>
      </c>
      <c r="K34" s="18">
        <f>'A) Base RI'!I34</f>
        <v>0</v>
      </c>
      <c r="L34" s="18">
        <f>'A) Base RI'!J34</f>
        <v>82589.039999999994</v>
      </c>
      <c r="M34" s="18">
        <f>'A) Base RI'!K34</f>
        <v>0</v>
      </c>
      <c r="N34" s="18">
        <f>'A) Base RI'!Q34</f>
        <v>10074.17</v>
      </c>
      <c r="O34" s="18">
        <f t="shared" si="1"/>
        <v>192480.6</v>
      </c>
      <c r="P34" s="18">
        <f>'A) Base RI'!L34</f>
        <v>192480.6</v>
      </c>
      <c r="Q34" s="64">
        <f>'A) Base RI'!AR34</f>
        <v>1</v>
      </c>
      <c r="R34" s="4">
        <f t="shared" si="2"/>
        <v>2406754.3200000003</v>
      </c>
      <c r="S34" s="63">
        <f>'A) Base RI'!AM34</f>
        <v>68.5</v>
      </c>
      <c r="T34" s="4">
        <f t="shared" si="3"/>
        <v>2214273.7200000002</v>
      </c>
      <c r="U34" s="4">
        <f t="shared" si="4"/>
        <v>35135.099562043797</v>
      </c>
      <c r="V34" s="18">
        <f>'A) Base RI'!O34</f>
        <v>76623</v>
      </c>
      <c r="W34" s="18">
        <f>'A) Base RI'!P34</f>
        <v>134589.6</v>
      </c>
      <c r="X34" s="18">
        <f>'A) Base RI'!R34</f>
        <v>156717.5</v>
      </c>
      <c r="Y34" s="4">
        <f t="shared" si="5"/>
        <v>367930.1</v>
      </c>
      <c r="Z34" s="18">
        <f>'A) Base RI'!N34</f>
        <v>38621.300000000003</v>
      </c>
      <c r="AA34" s="18">
        <f>'A) Base RI'!S34+'A) Base RI'!T34</f>
        <v>382</v>
      </c>
      <c r="AB34" s="18">
        <f>'A) Base RI'!U34</f>
        <v>7080</v>
      </c>
      <c r="AC34" s="18">
        <f>'A) Base RI'!V34</f>
        <v>0</v>
      </c>
      <c r="AD34" s="18">
        <f>'A) Base RI'!W34</f>
        <v>0</v>
      </c>
      <c r="AE34" s="18">
        <f>'A) Base RI'!Y34</f>
        <v>31540.5</v>
      </c>
      <c r="AF34" s="18">
        <f>'A) Base RI'!Z34</f>
        <v>0</v>
      </c>
      <c r="AG34" s="18">
        <f>'A) Base RI'!AA34</f>
        <v>93156.6</v>
      </c>
      <c r="AH34" s="18">
        <f>'A) Base RI'!AB34</f>
        <v>0</v>
      </c>
      <c r="AI34" s="18">
        <f>'A) Base RI'!AC34</f>
        <v>71309.7</v>
      </c>
      <c r="AJ34" s="18">
        <f>'A) Base RI'!AD34</f>
        <v>122265</v>
      </c>
      <c r="AK34" s="18">
        <f>'A) Base RI'!AE34</f>
        <v>0</v>
      </c>
      <c r="AL34" s="18">
        <f>'A) Base RI'!AF34</f>
        <v>0</v>
      </c>
      <c r="AM34" s="18">
        <f>'A) Base RI'!AG34</f>
        <v>13361</v>
      </c>
      <c r="AN34" s="18">
        <f>'A) Base RI'!AH34</f>
        <v>0</v>
      </c>
      <c r="AO34" s="18">
        <f>'A) Base RI'!AI34</f>
        <v>0</v>
      </c>
      <c r="AP34" s="18">
        <f>'A) Base RI'!AJ34</f>
        <v>0</v>
      </c>
      <c r="AQ34" s="18">
        <f>'A) Base RI'!AK34</f>
        <v>0</v>
      </c>
      <c r="AR34" s="18">
        <f>'A) Base RI'!AN34</f>
        <v>951</v>
      </c>
    </row>
    <row r="35" spans="1:44" x14ac:dyDescent="0.25">
      <c r="A35" s="13">
        <f>'A) Base RI'!A35</f>
        <v>5435</v>
      </c>
      <c r="B35" s="62" t="str">
        <f>'A) Base RI'!B35</f>
        <v>Saint-Livres</v>
      </c>
      <c r="C35" s="18">
        <f>'A) Base RI'!C35+'A) Base RI'!D35</f>
        <v>1302385.57</v>
      </c>
      <c r="D35" s="18">
        <f>'A) Base RI'!AO35</f>
        <v>-23757.37</v>
      </c>
      <c r="E35" s="61">
        <f>'A) Base RI'!AP35</f>
        <v>0</v>
      </c>
      <c r="F35" s="61">
        <f>'A) Base RI'!AQ35</f>
        <v>-27.65</v>
      </c>
      <c r="G35" s="4">
        <f t="shared" si="0"/>
        <v>1278600.55</v>
      </c>
      <c r="H35" s="18">
        <f>'A) Base RI'!E35</f>
        <v>0</v>
      </c>
      <c r="I35" s="18">
        <f>'A) Base RI'!F35</f>
        <v>0</v>
      </c>
      <c r="J35" s="18">
        <f>'A) Base RI'!G35+'A) Base RI'!H35</f>
        <v>11859.949999999999</v>
      </c>
      <c r="K35" s="18">
        <f>'A) Base RI'!I35</f>
        <v>32027.71</v>
      </c>
      <c r="L35" s="18">
        <f>'A) Base RI'!J35</f>
        <v>28439.48</v>
      </c>
      <c r="M35" s="18">
        <f>'A) Base RI'!K35</f>
        <v>0</v>
      </c>
      <c r="N35" s="18">
        <f>'A) Base RI'!Q35</f>
        <v>26352.29</v>
      </c>
      <c r="O35" s="18">
        <f t="shared" si="1"/>
        <v>110273.7</v>
      </c>
      <c r="P35" s="18">
        <f>'A) Base RI'!L35</f>
        <v>110273.7</v>
      </c>
      <c r="Q35" s="64">
        <f>'A) Base RI'!AR35</f>
        <v>1</v>
      </c>
      <c r="R35" s="4">
        <f t="shared" si="2"/>
        <v>1487553.68</v>
      </c>
      <c r="S35" s="63">
        <f>'A) Base RI'!AM35</f>
        <v>69</v>
      </c>
      <c r="T35" s="4">
        <f t="shared" si="3"/>
        <v>1377279.98</v>
      </c>
      <c r="U35" s="4">
        <f t="shared" si="4"/>
        <v>21558.748985507245</v>
      </c>
      <c r="V35" s="18">
        <f>'A) Base RI'!O35</f>
        <v>21938</v>
      </c>
      <c r="W35" s="18">
        <f>'A) Base RI'!P35</f>
        <v>64108</v>
      </c>
      <c r="X35" s="18">
        <f>'A) Base RI'!R35</f>
        <v>68495.899999999994</v>
      </c>
      <c r="Y35" s="4">
        <f t="shared" si="5"/>
        <v>154541.9</v>
      </c>
      <c r="Z35" s="18">
        <v>0</v>
      </c>
      <c r="AA35" s="18">
        <f>'A) Base RI'!S35+'A) Base RI'!T35</f>
        <v>240</v>
      </c>
      <c r="AB35" s="18">
        <f>'A) Base RI'!U35</f>
        <v>5250</v>
      </c>
      <c r="AC35" s="18">
        <f>'A) Base RI'!V35</f>
        <v>0</v>
      </c>
      <c r="AD35" s="18">
        <f>'A) Base RI'!W35</f>
        <v>0</v>
      </c>
      <c r="AE35" s="18">
        <f>'A) Base RI'!Y35</f>
        <v>1570.9</v>
      </c>
      <c r="AF35" s="18">
        <f>'A) Base RI'!Z35</f>
        <v>0</v>
      </c>
      <c r="AG35" s="18">
        <f>'A) Base RI'!AA35</f>
        <v>82680.149999999994</v>
      </c>
      <c r="AH35" s="18">
        <f>'A) Base RI'!AB35</f>
        <v>0</v>
      </c>
      <c r="AI35" s="18">
        <f>'A) Base RI'!AC35</f>
        <v>56800</v>
      </c>
      <c r="AJ35" s="18">
        <f>'A) Base RI'!AD35</f>
        <v>6880.05</v>
      </c>
      <c r="AK35" s="18">
        <f>'A) Base RI'!AE35</f>
        <v>0</v>
      </c>
      <c r="AL35" s="18">
        <f>'A) Base RI'!AF35</f>
        <v>0</v>
      </c>
      <c r="AM35" s="18">
        <f>'A) Base RI'!AG35</f>
        <v>0</v>
      </c>
      <c r="AN35" s="18">
        <f>'A) Base RI'!AH35</f>
        <v>12237.8</v>
      </c>
      <c r="AO35" s="18">
        <f>'A) Base RI'!AI35</f>
        <v>0</v>
      </c>
      <c r="AP35" s="18">
        <f>'A) Base RI'!AJ35</f>
        <v>0</v>
      </c>
      <c r="AQ35" s="18">
        <f>'A) Base RI'!AK35</f>
        <v>0</v>
      </c>
      <c r="AR35" s="18">
        <f>'A) Base RI'!AN35</f>
        <v>699</v>
      </c>
    </row>
    <row r="36" spans="1:44" x14ac:dyDescent="0.25">
      <c r="A36" s="13">
        <f>'A) Base RI'!A36</f>
        <v>5436</v>
      </c>
      <c r="B36" s="62" t="str">
        <f>'A) Base RI'!B36</f>
        <v>Saint-Oyens</v>
      </c>
      <c r="C36" s="18">
        <f>'A) Base RI'!C36+'A) Base RI'!D36</f>
        <v>832218.09000000008</v>
      </c>
      <c r="D36" s="18">
        <f>'A) Base RI'!AO36</f>
        <v>-9717</v>
      </c>
      <c r="E36" s="61">
        <f>'A) Base RI'!AP36</f>
        <v>0</v>
      </c>
      <c r="F36" s="61">
        <f>'A) Base RI'!AQ36</f>
        <v>0</v>
      </c>
      <c r="G36" s="4">
        <f t="shared" si="0"/>
        <v>822501.09000000008</v>
      </c>
      <c r="H36" s="18">
        <f>'A) Base RI'!E36</f>
        <v>0</v>
      </c>
      <c r="I36" s="18">
        <f>'A) Base RI'!F36</f>
        <v>0</v>
      </c>
      <c r="J36" s="18">
        <f>'A) Base RI'!G36+'A) Base RI'!H36</f>
        <v>915.55</v>
      </c>
      <c r="K36" s="18">
        <f>'A) Base RI'!I36</f>
        <v>0</v>
      </c>
      <c r="L36" s="18">
        <f>'A) Base RI'!J36</f>
        <v>37673.42</v>
      </c>
      <c r="M36" s="18">
        <f>'A) Base RI'!K36</f>
        <v>0</v>
      </c>
      <c r="N36" s="18">
        <f>'A) Base RI'!Q36</f>
        <v>3437.79</v>
      </c>
      <c r="O36" s="18">
        <f t="shared" si="1"/>
        <v>56399.875</v>
      </c>
      <c r="P36" s="18">
        <f>'A) Base RI'!L36</f>
        <v>45119.9</v>
      </c>
      <c r="Q36" s="64">
        <f>'A) Base RI'!AR36</f>
        <v>0.8</v>
      </c>
      <c r="R36" s="4">
        <f t="shared" si="2"/>
        <v>920927.72500000021</v>
      </c>
      <c r="S36" s="63">
        <f>'A) Base RI'!AM36</f>
        <v>81</v>
      </c>
      <c r="T36" s="4">
        <f t="shared" si="3"/>
        <v>864527.85000000021</v>
      </c>
      <c r="U36" s="4">
        <f t="shared" si="4"/>
        <v>11369.478086419756</v>
      </c>
      <c r="V36" s="18">
        <v>0</v>
      </c>
      <c r="W36" s="18">
        <f>'A) Base RI'!P36</f>
        <v>53644.95</v>
      </c>
      <c r="X36" s="18">
        <f>'A) Base RI'!R36</f>
        <v>52464.45</v>
      </c>
      <c r="Y36" s="4">
        <f t="shared" si="5"/>
        <v>106109.4</v>
      </c>
      <c r="Z36" s="18">
        <v>0</v>
      </c>
      <c r="AA36" s="18">
        <f>'A) Base RI'!S36+'A) Base RI'!T36</f>
        <v>100</v>
      </c>
      <c r="AB36" s="18">
        <f>'A) Base RI'!U36</f>
        <v>2812.5</v>
      </c>
      <c r="AC36" s="18">
        <f>'A) Base RI'!V36</f>
        <v>0</v>
      </c>
      <c r="AD36" s="18">
        <f>'A) Base RI'!W36</f>
        <v>0</v>
      </c>
      <c r="AE36" s="18">
        <f>'A) Base RI'!Y36</f>
        <v>19747</v>
      </c>
      <c r="AF36" s="18">
        <f>'A) Base RI'!Z36</f>
        <v>0</v>
      </c>
      <c r="AG36" s="18">
        <f>'A) Base RI'!AA36</f>
        <v>50735</v>
      </c>
      <c r="AH36" s="18">
        <f>'A) Base RI'!AB36</f>
        <v>0</v>
      </c>
      <c r="AI36" s="18">
        <f>'A) Base RI'!AC36</f>
        <v>27840</v>
      </c>
      <c r="AJ36" s="18">
        <f>'A) Base RI'!AD36</f>
        <v>19747</v>
      </c>
      <c r="AK36" s="18">
        <f>'A) Base RI'!AE36</f>
        <v>0</v>
      </c>
      <c r="AL36" s="18">
        <f>'A) Base RI'!AF36</f>
        <v>0</v>
      </c>
      <c r="AM36" s="18">
        <f>'A) Base RI'!AG36</f>
        <v>0</v>
      </c>
      <c r="AN36" s="18">
        <f>'A) Base RI'!AH36</f>
        <v>8820</v>
      </c>
      <c r="AO36" s="18">
        <f>'A) Base RI'!AI36</f>
        <v>0</v>
      </c>
      <c r="AP36" s="18">
        <f>'A) Base RI'!AJ36</f>
        <v>0</v>
      </c>
      <c r="AQ36" s="18">
        <f>'A) Base RI'!AK36</f>
        <v>0</v>
      </c>
      <c r="AR36" s="18">
        <f>'A) Base RI'!AN36</f>
        <v>326</v>
      </c>
    </row>
    <row r="37" spans="1:44" x14ac:dyDescent="0.25">
      <c r="A37" s="13">
        <f>'A) Base RI'!A37</f>
        <v>5437</v>
      </c>
      <c r="B37" s="62" t="str">
        <f>'A) Base RI'!B37</f>
        <v>Saubraz</v>
      </c>
      <c r="C37" s="18">
        <f>'A) Base RI'!C37+'A) Base RI'!D37</f>
        <v>634968.63</v>
      </c>
      <c r="D37" s="18">
        <f>'A) Base RI'!AO37</f>
        <v>-1641.11</v>
      </c>
      <c r="E37" s="61">
        <f>'A) Base RI'!AP37</f>
        <v>0</v>
      </c>
      <c r="F37" s="61">
        <f>'A) Base RI'!AQ37</f>
        <v>0</v>
      </c>
      <c r="G37" s="4">
        <f t="shared" si="0"/>
        <v>633327.52</v>
      </c>
      <c r="H37" s="18">
        <f>'A) Base RI'!E37</f>
        <v>0</v>
      </c>
      <c r="I37" s="18">
        <f>'A) Base RI'!F37</f>
        <v>2940</v>
      </c>
      <c r="J37" s="18">
        <f>'A) Base RI'!G37+'A) Base RI'!H37</f>
        <v>2127.8500000000004</v>
      </c>
      <c r="K37" s="18">
        <f>'A) Base RI'!I37</f>
        <v>0</v>
      </c>
      <c r="L37" s="18">
        <f>'A) Base RI'!J37</f>
        <v>-8561.2900000000009</v>
      </c>
      <c r="M37" s="18">
        <f>'A) Base RI'!K37</f>
        <v>408.5</v>
      </c>
      <c r="N37" s="18">
        <f>'A) Base RI'!Q37</f>
        <v>0</v>
      </c>
      <c r="O37" s="18">
        <f t="shared" si="1"/>
        <v>51086.8</v>
      </c>
      <c r="P37" s="18">
        <f>'A) Base RI'!L37</f>
        <v>51086.8</v>
      </c>
      <c r="Q37" s="64">
        <f>'A) Base RI'!AR37</f>
        <v>1</v>
      </c>
      <c r="R37" s="4">
        <f t="shared" si="2"/>
        <v>681329.38</v>
      </c>
      <c r="S37" s="63">
        <f>'A) Base RI'!AM37</f>
        <v>83</v>
      </c>
      <c r="T37" s="4">
        <f t="shared" si="3"/>
        <v>626894.07999999996</v>
      </c>
      <c r="U37" s="4">
        <f t="shared" si="4"/>
        <v>8208.7877108433731</v>
      </c>
      <c r="V37" s="18">
        <f>'A) Base RI'!O37</f>
        <v>0</v>
      </c>
      <c r="W37" s="18">
        <f>'A) Base RI'!P37</f>
        <v>60742</v>
      </c>
      <c r="X37" s="18">
        <f>'A) Base RI'!R37</f>
        <v>56011.199999999997</v>
      </c>
      <c r="Y37" s="4">
        <f t="shared" si="5"/>
        <v>116753.2</v>
      </c>
      <c r="Z37" s="18">
        <v>0</v>
      </c>
      <c r="AA37" s="18">
        <f>'A) Base RI'!S37+'A) Base RI'!T37</f>
        <v>0</v>
      </c>
      <c r="AB37" s="18">
        <f>'A) Base RI'!U37</f>
        <v>2025</v>
      </c>
      <c r="AC37" s="18">
        <f>'A) Base RI'!V37</f>
        <v>0</v>
      </c>
      <c r="AD37" s="18">
        <f>'A) Base RI'!W37</f>
        <v>0</v>
      </c>
      <c r="AE37" s="18">
        <f>'A) Base RI'!Y37</f>
        <v>0</v>
      </c>
      <c r="AF37" s="18">
        <f>'A) Base RI'!Z37</f>
        <v>0</v>
      </c>
      <c r="AG37" s="18">
        <f>'A) Base RI'!AA37</f>
        <v>0</v>
      </c>
      <c r="AH37" s="18">
        <f>'A) Base RI'!AB37</f>
        <v>0</v>
      </c>
      <c r="AI37" s="18">
        <f>'A) Base RI'!AC37</f>
        <v>36030</v>
      </c>
      <c r="AJ37" s="18">
        <f>'A) Base RI'!AD37</f>
        <v>0</v>
      </c>
      <c r="AK37" s="18">
        <f>'A) Base RI'!AE37</f>
        <v>0</v>
      </c>
      <c r="AL37" s="18">
        <f>'A) Base RI'!AF37</f>
        <v>0</v>
      </c>
      <c r="AM37" s="18">
        <f>'A) Base RI'!AG37</f>
        <v>0</v>
      </c>
      <c r="AN37" s="18">
        <f>'A) Base RI'!AH37</f>
        <v>0</v>
      </c>
      <c r="AO37" s="18">
        <f>'A) Base RI'!AI37</f>
        <v>0</v>
      </c>
      <c r="AP37" s="18">
        <f>'A) Base RI'!AJ37</f>
        <v>0</v>
      </c>
      <c r="AQ37" s="18">
        <f>'A) Base RI'!AK37</f>
        <v>0</v>
      </c>
      <c r="AR37" s="18">
        <f>'A) Base RI'!AN37</f>
        <v>385</v>
      </c>
    </row>
    <row r="38" spans="1:44" x14ac:dyDescent="0.25">
      <c r="A38" s="13">
        <f>'A) Base RI'!A38</f>
        <v>5451</v>
      </c>
      <c r="B38" s="62" t="str">
        <f>'A) Base RI'!B38</f>
        <v>Avenches</v>
      </c>
      <c r="C38" s="18">
        <f>'A) Base RI'!C38+'A) Base RI'!D38</f>
        <v>5513420.0699999994</v>
      </c>
      <c r="D38" s="18">
        <f>'A) Base RI'!AO38</f>
        <v>-328582.24</v>
      </c>
      <c r="E38" s="61">
        <f>'A) Base RI'!AP38</f>
        <v>0</v>
      </c>
      <c r="F38" s="61">
        <f>'A) Base RI'!AQ38</f>
        <v>-664.71</v>
      </c>
      <c r="G38" s="4">
        <f t="shared" si="0"/>
        <v>5184173.1199999992</v>
      </c>
      <c r="H38" s="18">
        <f>'A) Base RI'!E38</f>
        <v>0</v>
      </c>
      <c r="I38" s="18">
        <f>'A) Base RI'!F38</f>
        <v>0</v>
      </c>
      <c r="J38" s="18">
        <f>'A) Base RI'!G38+'A) Base RI'!H38</f>
        <v>589977.19999999995</v>
      </c>
      <c r="K38" s="18">
        <f>'A) Base RI'!I38</f>
        <v>0</v>
      </c>
      <c r="L38" s="18">
        <f>'A) Base RI'!J38</f>
        <v>389977.27</v>
      </c>
      <c r="M38" s="18">
        <f>'A) Base RI'!K38</f>
        <v>79507.5</v>
      </c>
      <c r="N38" s="18">
        <f>'A) Base RI'!Q38</f>
        <v>77045.2</v>
      </c>
      <c r="O38" s="18">
        <f t="shared" si="1"/>
        <v>734352.29999999993</v>
      </c>
      <c r="P38" s="18">
        <f>'A) Base RI'!L38</f>
        <v>1101528.45</v>
      </c>
      <c r="Q38" s="64">
        <f>'A) Base RI'!AR38</f>
        <v>1.5</v>
      </c>
      <c r="R38" s="4">
        <f t="shared" si="2"/>
        <v>7055032.5899999999</v>
      </c>
      <c r="S38" s="63">
        <f>'A) Base RI'!AM38</f>
        <v>68</v>
      </c>
      <c r="T38" s="4">
        <f t="shared" si="3"/>
        <v>6241172.79</v>
      </c>
      <c r="U38" s="4">
        <f t="shared" si="4"/>
        <v>103750.47926470588</v>
      </c>
      <c r="V38" s="18">
        <f>'A) Base RI'!O38</f>
        <v>73486.2</v>
      </c>
      <c r="W38" s="18">
        <f>'A) Base RI'!P38</f>
        <v>427188.45</v>
      </c>
      <c r="X38" s="18">
        <f>'A) Base RI'!R38</f>
        <v>195017.7</v>
      </c>
      <c r="Y38" s="4">
        <f t="shared" si="5"/>
        <v>695692.35000000009</v>
      </c>
      <c r="Z38" s="18">
        <f>'A) Base RI'!N38</f>
        <v>494034.65</v>
      </c>
      <c r="AA38" s="18">
        <f>'A) Base RI'!S38+'A) Base RI'!T38</f>
        <v>34798.1</v>
      </c>
      <c r="AB38" s="18">
        <f>'A) Base RI'!U38</f>
        <v>20558.349999999999</v>
      </c>
      <c r="AC38" s="18">
        <f>'A) Base RI'!V38</f>
        <v>0</v>
      </c>
      <c r="AD38" s="18">
        <f>'A) Base RI'!W38</f>
        <v>0</v>
      </c>
      <c r="AE38" s="18">
        <f>'A) Base RI'!Y38</f>
        <v>96171.25</v>
      </c>
      <c r="AF38" s="18">
        <f>'A) Base RI'!Z38</f>
        <v>4115.3</v>
      </c>
      <c r="AG38" s="18">
        <f>'A) Base RI'!AA38</f>
        <v>749158.55</v>
      </c>
      <c r="AH38" s="18">
        <f>'A) Base RI'!AB38</f>
        <v>0</v>
      </c>
      <c r="AI38" s="18">
        <f>'A) Base RI'!AC38</f>
        <v>448713.16</v>
      </c>
      <c r="AJ38" s="18">
        <f>'A) Base RI'!AD38</f>
        <v>108160.65</v>
      </c>
      <c r="AK38" s="18">
        <f>'A) Base RI'!AE38</f>
        <v>4833.8</v>
      </c>
      <c r="AL38" s="18">
        <f>'A) Base RI'!AF38</f>
        <v>0</v>
      </c>
      <c r="AM38" s="18">
        <f>'A) Base RI'!AG38</f>
        <v>244838.5</v>
      </c>
      <c r="AN38" s="18">
        <f>'A) Base RI'!AH38</f>
        <v>0</v>
      </c>
      <c r="AO38" s="18">
        <f>'A) Base RI'!AI38</f>
        <v>0</v>
      </c>
      <c r="AP38" s="18">
        <f>'A) Base RI'!AJ38</f>
        <v>0</v>
      </c>
      <c r="AQ38" s="18">
        <f>'A) Base RI'!AK38</f>
        <v>0</v>
      </c>
      <c r="AR38" s="18">
        <f>'A) Base RI'!AN38</f>
        <v>4030</v>
      </c>
    </row>
    <row r="39" spans="1:44" x14ac:dyDescent="0.25">
      <c r="A39" s="13">
        <f>'A) Base RI'!A39</f>
        <v>5456</v>
      </c>
      <c r="B39" s="62" t="str">
        <f>'A) Base RI'!B39</f>
        <v>Cudrefin</v>
      </c>
      <c r="C39" s="18">
        <f>'A) Base RI'!C39+'A) Base RI'!D39</f>
        <v>2310738.9699999997</v>
      </c>
      <c r="D39" s="18">
        <f>'A) Base RI'!AO39</f>
        <v>-31873.23</v>
      </c>
      <c r="E39" s="61">
        <f>'A) Base RI'!AP39</f>
        <v>0</v>
      </c>
      <c r="F39" s="61">
        <f>'A) Base RI'!AQ39</f>
        <v>-28.68</v>
      </c>
      <c r="G39" s="4">
        <f t="shared" si="0"/>
        <v>2278837.0599999996</v>
      </c>
      <c r="H39" s="18">
        <f>'A) Base RI'!E39</f>
        <v>0</v>
      </c>
      <c r="I39" s="18">
        <f>'A) Base RI'!F39</f>
        <v>0</v>
      </c>
      <c r="J39" s="18">
        <f>'A) Base RI'!G39+'A) Base RI'!H39</f>
        <v>76031.5</v>
      </c>
      <c r="K39" s="18">
        <f>'A) Base RI'!I39</f>
        <v>0</v>
      </c>
      <c r="L39" s="18">
        <f>'A) Base RI'!J39</f>
        <v>63798.39</v>
      </c>
      <c r="M39" s="18">
        <f>'A) Base RI'!K39</f>
        <v>106.5</v>
      </c>
      <c r="N39" s="18">
        <f>'A) Base RI'!Q39</f>
        <v>3890.42</v>
      </c>
      <c r="O39" s="18">
        <f t="shared" si="1"/>
        <v>247699.96666666667</v>
      </c>
      <c r="P39" s="18">
        <f>'A) Base RI'!L39</f>
        <v>371549.95</v>
      </c>
      <c r="Q39" s="64">
        <f>'A) Base RI'!AR39</f>
        <v>1.5</v>
      </c>
      <c r="R39" s="4">
        <f t="shared" si="2"/>
        <v>2670363.8366666664</v>
      </c>
      <c r="S39" s="63">
        <f>'A) Base RI'!AM39</f>
        <v>59</v>
      </c>
      <c r="T39" s="4">
        <f t="shared" si="3"/>
        <v>2422557.3699999996</v>
      </c>
      <c r="U39" s="4">
        <f t="shared" si="4"/>
        <v>45260.404011299433</v>
      </c>
      <c r="V39" s="18">
        <f>'A) Base RI'!O39</f>
        <v>31644.6</v>
      </c>
      <c r="W39" s="18">
        <f>'A) Base RI'!P39</f>
        <v>79483.95</v>
      </c>
      <c r="X39" s="18">
        <f>'A) Base RI'!R39</f>
        <v>351812.55</v>
      </c>
      <c r="Y39" s="4">
        <f t="shared" si="5"/>
        <v>462941.1</v>
      </c>
      <c r="Z39" s="18">
        <v>0</v>
      </c>
      <c r="AA39" s="18">
        <f>'A) Base RI'!S39+'A) Base RI'!T39</f>
        <v>600</v>
      </c>
      <c r="AB39" s="18">
        <f>'A) Base RI'!U39</f>
        <v>1290</v>
      </c>
      <c r="AC39" s="18">
        <f>'A) Base RI'!V39</f>
        <v>0</v>
      </c>
      <c r="AD39" s="18">
        <f>'A) Base RI'!W39</f>
        <v>0</v>
      </c>
      <c r="AE39" s="18">
        <f>'A) Base RI'!Y39</f>
        <v>380000</v>
      </c>
      <c r="AF39" s="18">
        <f>'A) Base RI'!Z39</f>
        <v>0</v>
      </c>
      <c r="AG39" s="18">
        <f>'A) Base RI'!AA39</f>
        <v>121259.5</v>
      </c>
      <c r="AH39" s="18">
        <f>'A) Base RI'!AB39</f>
        <v>0</v>
      </c>
      <c r="AI39" s="18">
        <f>'A) Base RI'!AC39</f>
        <v>218743.74</v>
      </c>
      <c r="AJ39" s="18">
        <f>'A) Base RI'!AD39</f>
        <v>151168</v>
      </c>
      <c r="AK39" s="18">
        <f>'A) Base RI'!AE39</f>
        <v>0</v>
      </c>
      <c r="AL39" s="18">
        <f>'A) Base RI'!AF39</f>
        <v>0</v>
      </c>
      <c r="AM39" s="18">
        <f>'A) Base RI'!AG39</f>
        <v>123558.8</v>
      </c>
      <c r="AN39" s="18">
        <f>'A) Base RI'!AH39</f>
        <v>0</v>
      </c>
      <c r="AO39" s="18">
        <f>'A) Base RI'!AI39</f>
        <v>0</v>
      </c>
      <c r="AP39" s="18">
        <f>'A) Base RI'!AJ39</f>
        <v>0</v>
      </c>
      <c r="AQ39" s="18">
        <f>'A) Base RI'!AK39</f>
        <v>0</v>
      </c>
      <c r="AR39" s="18">
        <f>'A) Base RI'!AN39</f>
        <v>1464</v>
      </c>
    </row>
    <row r="40" spans="1:44" x14ac:dyDescent="0.25">
      <c r="A40" s="13">
        <f>'A) Base RI'!A40</f>
        <v>5458</v>
      </c>
      <c r="B40" s="62" t="str">
        <f>'A) Base RI'!B40</f>
        <v>Faoug</v>
      </c>
      <c r="C40" s="18">
        <f>'A) Base RI'!C40+'A) Base RI'!D40</f>
        <v>1415699.78</v>
      </c>
      <c r="D40" s="18">
        <f>'A) Base RI'!AO40</f>
        <v>-22522.62</v>
      </c>
      <c r="E40" s="61">
        <f>'A) Base RI'!AP40</f>
        <v>0</v>
      </c>
      <c r="F40" s="61">
        <f>'A) Base RI'!AQ40</f>
        <v>-633.65</v>
      </c>
      <c r="G40" s="4">
        <f t="shared" si="0"/>
        <v>1392543.51</v>
      </c>
      <c r="H40" s="18">
        <f>'A) Base RI'!E40</f>
        <v>0</v>
      </c>
      <c r="I40" s="18">
        <f>'A) Base RI'!F40</f>
        <v>0</v>
      </c>
      <c r="J40" s="18">
        <f>'A) Base RI'!G40+'A) Base RI'!H40</f>
        <v>57825.450000000004</v>
      </c>
      <c r="K40" s="18">
        <f>'A) Base RI'!I40</f>
        <v>0</v>
      </c>
      <c r="L40" s="18">
        <f>'A) Base RI'!J40</f>
        <v>26209.78</v>
      </c>
      <c r="M40" s="18">
        <f>'A) Base RI'!K40</f>
        <v>5951</v>
      </c>
      <c r="N40" s="18">
        <f>'A) Base RI'!Q40</f>
        <v>1387.95</v>
      </c>
      <c r="O40" s="18">
        <f t="shared" si="1"/>
        <v>146724.1</v>
      </c>
      <c r="P40" s="18">
        <f>'A) Base RI'!L40</f>
        <v>146724.1</v>
      </c>
      <c r="Q40" s="64">
        <f>'A) Base RI'!AR40</f>
        <v>1</v>
      </c>
      <c r="R40" s="4">
        <f t="shared" si="2"/>
        <v>1630641.79</v>
      </c>
      <c r="S40" s="63">
        <f>'A) Base RI'!AM40</f>
        <v>61</v>
      </c>
      <c r="T40" s="4">
        <f t="shared" si="3"/>
        <v>1477966.69</v>
      </c>
      <c r="U40" s="4">
        <f t="shared" si="4"/>
        <v>26731.83262295082</v>
      </c>
      <c r="V40" s="18">
        <f>'A) Base RI'!O40</f>
        <v>5095</v>
      </c>
      <c r="W40" s="18">
        <f>'A) Base RI'!P40</f>
        <v>100982.45</v>
      </c>
      <c r="X40" s="18">
        <f>'A) Base RI'!R40</f>
        <v>241983.55</v>
      </c>
      <c r="Y40" s="4">
        <f t="shared" si="5"/>
        <v>348061</v>
      </c>
      <c r="Z40" s="18">
        <v>0</v>
      </c>
      <c r="AA40" s="18">
        <f>'A) Base RI'!S40+'A) Base RI'!T40</f>
        <v>175</v>
      </c>
      <c r="AB40" s="18">
        <f>'A) Base RI'!U40</f>
        <v>7250</v>
      </c>
      <c r="AC40" s="18">
        <f>'A) Base RI'!V40</f>
        <v>0</v>
      </c>
      <c r="AD40" s="18">
        <f>'A) Base RI'!W40</f>
        <v>0</v>
      </c>
      <c r="AE40" s="18">
        <f>'A) Base RI'!Y40</f>
        <v>45170.5</v>
      </c>
      <c r="AF40" s="18">
        <f>'A) Base RI'!Z40</f>
        <v>24280.799999999999</v>
      </c>
      <c r="AG40" s="18">
        <f>'A) Base RI'!AA40</f>
        <v>135666.75</v>
      </c>
      <c r="AH40" s="18">
        <f>'A) Base RI'!AB40</f>
        <v>0</v>
      </c>
      <c r="AI40" s="18">
        <f>'A) Base RI'!AC40</f>
        <v>73663.100000000006</v>
      </c>
      <c r="AJ40" s="18">
        <f>'A) Base RI'!AD40</f>
        <v>45170.5</v>
      </c>
      <c r="AK40" s="18">
        <f>'A) Base RI'!AE40</f>
        <v>24280.799999999999</v>
      </c>
      <c r="AL40" s="18">
        <f>'A) Base RI'!AF40</f>
        <v>0</v>
      </c>
      <c r="AM40" s="18">
        <f>'A) Base RI'!AG40</f>
        <v>33906.1</v>
      </c>
      <c r="AN40" s="18">
        <f>'A) Base RI'!AH40</f>
        <v>25259.66</v>
      </c>
      <c r="AO40" s="18">
        <f>'A) Base RI'!AI40</f>
        <v>0</v>
      </c>
      <c r="AP40" s="18">
        <f>'A) Base RI'!AJ40</f>
        <v>0</v>
      </c>
      <c r="AQ40" s="18">
        <f>'A) Base RI'!AK40</f>
        <v>0</v>
      </c>
      <c r="AR40" s="18">
        <f>'A) Base RI'!AN40</f>
        <v>825</v>
      </c>
    </row>
    <row r="41" spans="1:44" x14ac:dyDescent="0.25">
      <c r="A41" s="13">
        <f>'A) Base RI'!A41</f>
        <v>5464</v>
      </c>
      <c r="B41" s="62" t="str">
        <f>'A) Base RI'!B41</f>
        <v>Vully-les-Lacs</v>
      </c>
      <c r="C41" s="18">
        <f>'A) Base RI'!C41+'A) Base RI'!D41</f>
        <v>5530396.0600000005</v>
      </c>
      <c r="D41" s="18">
        <f>'A) Base RI'!AO41</f>
        <v>-87889.56</v>
      </c>
      <c r="E41" s="61">
        <f>'A) Base RI'!AP41</f>
        <v>0</v>
      </c>
      <c r="F41" s="61">
        <f>'A) Base RI'!AQ41</f>
        <v>-696.77</v>
      </c>
      <c r="G41" s="4">
        <f t="shared" si="0"/>
        <v>5441809.7300000014</v>
      </c>
      <c r="H41" s="18">
        <f>'A) Base RI'!E41</f>
        <v>0</v>
      </c>
      <c r="I41" s="18">
        <f>'A) Base RI'!F41</f>
        <v>0</v>
      </c>
      <c r="J41" s="18">
        <f>'A) Base RI'!G41+'A) Base RI'!H41</f>
        <v>4630.45</v>
      </c>
      <c r="K41" s="18">
        <f>'A) Base RI'!I41</f>
        <v>0</v>
      </c>
      <c r="L41" s="18">
        <f>'A) Base RI'!J41</f>
        <v>162479.67000000001</v>
      </c>
      <c r="M41" s="18">
        <f>'A) Base RI'!K41</f>
        <v>16301.5</v>
      </c>
      <c r="N41" s="18">
        <f>'A) Base RI'!Q41</f>
        <v>6636.99</v>
      </c>
      <c r="O41" s="18">
        <f t="shared" si="1"/>
        <v>507345.7</v>
      </c>
      <c r="P41" s="18">
        <f>'A) Base RI'!L41</f>
        <v>761018.55</v>
      </c>
      <c r="Q41" s="64">
        <f>'A) Base RI'!AR41</f>
        <v>1.5</v>
      </c>
      <c r="R41" s="4">
        <f t="shared" si="2"/>
        <v>6139204.0400000019</v>
      </c>
      <c r="S41" s="63">
        <f>'A) Base RI'!AM41</f>
        <v>67</v>
      </c>
      <c r="T41" s="4">
        <f t="shared" si="3"/>
        <v>5615556.8400000017</v>
      </c>
      <c r="U41" s="4">
        <f t="shared" si="4"/>
        <v>91629.911044776149</v>
      </c>
      <c r="V41" s="18">
        <f>'A) Base RI'!O41</f>
        <v>92142.2</v>
      </c>
      <c r="W41" s="18">
        <f>'A) Base RI'!P41</f>
        <v>202639.75</v>
      </c>
      <c r="X41" s="18">
        <f>'A) Base RI'!R41</f>
        <v>291233.25</v>
      </c>
      <c r="Y41" s="4">
        <f t="shared" si="5"/>
        <v>586015.19999999995</v>
      </c>
      <c r="Z41" s="18">
        <v>0</v>
      </c>
      <c r="AA41" s="18">
        <f>'A) Base RI'!S41+'A) Base RI'!T41</f>
        <v>1175</v>
      </c>
      <c r="AB41" s="18">
        <f>'A) Base RI'!U41</f>
        <v>21350</v>
      </c>
      <c r="AC41" s="18">
        <f>'A) Base RI'!V41</f>
        <v>0</v>
      </c>
      <c r="AD41" s="18">
        <f>'A) Base RI'!W41</f>
        <v>0</v>
      </c>
      <c r="AE41" s="18">
        <f>'A) Base RI'!Y41</f>
        <v>112920.57</v>
      </c>
      <c r="AF41" s="18">
        <f>'A) Base RI'!Z41</f>
        <v>59884.67</v>
      </c>
      <c r="AG41" s="18">
        <f>'A) Base RI'!AA41</f>
        <v>421096.82</v>
      </c>
      <c r="AH41" s="18">
        <f>'A) Base RI'!AB41</f>
        <v>0</v>
      </c>
      <c r="AI41" s="18">
        <f>'A) Base RI'!AC41</f>
        <v>270075.81</v>
      </c>
      <c r="AJ41" s="18">
        <f>'A) Base RI'!AD41</f>
        <v>115792.05</v>
      </c>
      <c r="AK41" s="18">
        <f>'A) Base RI'!AE41</f>
        <v>0</v>
      </c>
      <c r="AL41" s="18">
        <f>'A) Base RI'!AF41</f>
        <v>0</v>
      </c>
      <c r="AM41" s="18">
        <f>'A) Base RI'!AG41</f>
        <v>145707.5</v>
      </c>
      <c r="AN41" s="18">
        <f>'A) Base RI'!AH41</f>
        <v>0</v>
      </c>
      <c r="AO41" s="18">
        <f>'A) Base RI'!AI41</f>
        <v>93606.2</v>
      </c>
      <c r="AP41" s="18">
        <f>'A) Base RI'!AJ41</f>
        <v>0</v>
      </c>
      <c r="AQ41" s="18">
        <f>'A) Base RI'!AK41</f>
        <v>0</v>
      </c>
      <c r="AR41" s="18">
        <f>'A) Base RI'!AN41</f>
        <v>2798</v>
      </c>
    </row>
    <row r="42" spans="1:44" x14ac:dyDescent="0.25">
      <c r="A42" s="13">
        <f>'A) Base RI'!A42</f>
        <v>5471</v>
      </c>
      <c r="B42" s="62" t="str">
        <f>'A) Base RI'!B42</f>
        <v>Bettens</v>
      </c>
      <c r="C42" s="18">
        <f>'A) Base RI'!C42+'A) Base RI'!D42</f>
        <v>1013789.96</v>
      </c>
      <c r="D42" s="18">
        <f>'A) Base RI'!AO42</f>
        <v>-12045.41</v>
      </c>
      <c r="E42" s="61">
        <f>'A) Base RI'!AP42</f>
        <v>0</v>
      </c>
      <c r="F42" s="61">
        <f>'A) Base RI'!AQ42</f>
        <v>-311.66000000000003</v>
      </c>
      <c r="G42" s="4">
        <f t="shared" si="0"/>
        <v>1001432.8899999999</v>
      </c>
      <c r="H42" s="18">
        <f>'A) Base RI'!E42</f>
        <v>0</v>
      </c>
      <c r="I42" s="18">
        <f>'A) Base RI'!F42</f>
        <v>0</v>
      </c>
      <c r="J42" s="18">
        <f>'A) Base RI'!G42+'A) Base RI'!H42</f>
        <v>179275.4</v>
      </c>
      <c r="K42" s="18">
        <f>'A) Base RI'!I42</f>
        <v>0</v>
      </c>
      <c r="L42" s="18">
        <f>'A) Base RI'!J42</f>
        <v>49441.22</v>
      </c>
      <c r="M42" s="18">
        <f>'A) Base RI'!K42</f>
        <v>-512.5</v>
      </c>
      <c r="N42" s="18">
        <f>'A) Base RI'!Q42</f>
        <v>0</v>
      </c>
      <c r="O42" s="18">
        <f t="shared" si="1"/>
        <v>77142.555555555562</v>
      </c>
      <c r="P42" s="18">
        <f>'A) Base RI'!L42</f>
        <v>69428.3</v>
      </c>
      <c r="Q42" s="64">
        <f>'A) Base RI'!AR42</f>
        <v>0.9</v>
      </c>
      <c r="R42" s="4">
        <f t="shared" si="2"/>
        <v>1306779.5655555553</v>
      </c>
      <c r="S42" s="63">
        <f>'A) Base RI'!AM42</f>
        <v>70</v>
      </c>
      <c r="T42" s="4">
        <f t="shared" si="3"/>
        <v>1230149.5099999998</v>
      </c>
      <c r="U42" s="4">
        <f t="shared" si="4"/>
        <v>18668.279507936502</v>
      </c>
      <c r="V42" s="18">
        <v>0</v>
      </c>
      <c r="W42" s="18">
        <f>'A) Base RI'!P42</f>
        <v>69950.350000000006</v>
      </c>
      <c r="X42" s="18">
        <f>'A) Base RI'!R42</f>
        <v>188129.45</v>
      </c>
      <c r="Y42" s="4">
        <f t="shared" si="5"/>
        <v>258079.80000000002</v>
      </c>
      <c r="Z42" s="18">
        <v>0</v>
      </c>
      <c r="AA42" s="18">
        <f>'A) Base RI'!S42+'A) Base RI'!T42</f>
        <v>62.5</v>
      </c>
      <c r="AB42" s="18">
        <f>'A) Base RI'!U42</f>
        <v>3850</v>
      </c>
      <c r="AC42" s="18">
        <f>'A) Base RI'!V42</f>
        <v>0</v>
      </c>
      <c r="AD42" s="18">
        <f>'A) Base RI'!W42</f>
        <v>0</v>
      </c>
      <c r="AE42" s="18">
        <f>'A) Base RI'!Y42</f>
        <v>53766</v>
      </c>
      <c r="AF42" s="18">
        <f>'A) Base RI'!Z42</f>
        <v>34571</v>
      </c>
      <c r="AG42" s="18">
        <f>'A) Base RI'!AA42</f>
        <v>0</v>
      </c>
      <c r="AH42" s="18">
        <f>'A) Base RI'!AB42</f>
        <v>0</v>
      </c>
      <c r="AI42" s="18">
        <f>'A) Base RI'!AC42</f>
        <v>17521</v>
      </c>
      <c r="AJ42" s="18">
        <f>'A) Base RI'!AD42</f>
        <v>8839</v>
      </c>
      <c r="AK42" s="18">
        <f>'A) Base RI'!AE42</f>
        <v>0</v>
      </c>
      <c r="AL42" s="18">
        <f>'A) Base RI'!AF42</f>
        <v>0</v>
      </c>
      <c r="AM42" s="18">
        <f>'A) Base RI'!AG42</f>
        <v>0</v>
      </c>
      <c r="AN42" s="18">
        <f>'A) Base RI'!AH42</f>
        <v>0</v>
      </c>
      <c r="AO42" s="18">
        <f>'A) Base RI'!AI42</f>
        <v>0</v>
      </c>
      <c r="AP42" s="18">
        <f>'A) Base RI'!AJ42</f>
        <v>0</v>
      </c>
      <c r="AQ42" s="18">
        <f>'A) Base RI'!AK42</f>
        <v>0</v>
      </c>
      <c r="AR42" s="18">
        <f>'A) Base RI'!AN42</f>
        <v>531</v>
      </c>
    </row>
    <row r="43" spans="1:44" x14ac:dyDescent="0.25">
      <c r="A43" s="13">
        <f>'A) Base RI'!A43</f>
        <v>5472</v>
      </c>
      <c r="B43" s="62" t="str">
        <f>'A) Base RI'!B43</f>
        <v>Bournens</v>
      </c>
      <c r="C43" s="18">
        <f>'A) Base RI'!C43+'A) Base RI'!D43</f>
        <v>956469.1</v>
      </c>
      <c r="D43" s="18">
        <f>'A) Base RI'!AO43</f>
        <v>-5214.7700000000004</v>
      </c>
      <c r="E43" s="61">
        <f>'A) Base RI'!AP43</f>
        <v>0</v>
      </c>
      <c r="F43" s="61">
        <f>'A) Base RI'!AQ43</f>
        <v>-86.6</v>
      </c>
      <c r="G43" s="4">
        <f t="shared" si="0"/>
        <v>951167.73</v>
      </c>
      <c r="H43" s="18">
        <f>'A) Base RI'!E43</f>
        <v>0</v>
      </c>
      <c r="I43" s="18">
        <f>'A) Base RI'!F43</f>
        <v>0</v>
      </c>
      <c r="J43" s="18">
        <f>'A) Base RI'!G43+'A) Base RI'!H43</f>
        <v>334.8</v>
      </c>
      <c r="K43" s="18">
        <f>'A) Base RI'!I43</f>
        <v>0</v>
      </c>
      <c r="L43" s="18">
        <f>'A) Base RI'!J43</f>
        <v>9135.36</v>
      </c>
      <c r="M43" s="18">
        <f>'A) Base RI'!K43</f>
        <v>200</v>
      </c>
      <c r="N43" s="18">
        <f>'A) Base RI'!Q43</f>
        <v>0</v>
      </c>
      <c r="O43" s="18">
        <f t="shared" si="1"/>
        <v>65935.649999999994</v>
      </c>
      <c r="P43" s="18">
        <f>'A) Base RI'!L43</f>
        <v>65935.649999999994</v>
      </c>
      <c r="Q43" s="64">
        <f>'A) Base RI'!AR43</f>
        <v>1</v>
      </c>
      <c r="R43" s="4">
        <f t="shared" si="2"/>
        <v>1026773.54</v>
      </c>
      <c r="S43" s="63">
        <f>'A) Base RI'!AM43</f>
        <v>80</v>
      </c>
      <c r="T43" s="4">
        <f t="shared" si="3"/>
        <v>960637.89</v>
      </c>
      <c r="U43" s="4">
        <f t="shared" si="4"/>
        <v>12834.669250000001</v>
      </c>
      <c r="V43" s="18">
        <f>'A) Base RI'!O43</f>
        <v>6435.5</v>
      </c>
      <c r="W43" s="18">
        <f>'A) Base RI'!P43</f>
        <v>25751</v>
      </c>
      <c r="X43" s="18">
        <f>'A) Base RI'!R43</f>
        <v>24330.15</v>
      </c>
      <c r="Y43" s="4">
        <f t="shared" si="5"/>
        <v>56516.65</v>
      </c>
      <c r="Z43" s="18">
        <v>0</v>
      </c>
      <c r="AA43" s="18">
        <f>'A) Base RI'!S43+'A) Base RI'!T43</f>
        <v>0</v>
      </c>
      <c r="AB43" s="18">
        <f>'A) Base RI'!U43</f>
        <v>1320</v>
      </c>
      <c r="AC43" s="18">
        <f>'A) Base RI'!V43</f>
        <v>0</v>
      </c>
      <c r="AD43" s="18">
        <f>'A) Base RI'!W43</f>
        <v>0</v>
      </c>
      <c r="AE43" s="18">
        <f>'A) Base RI'!Y43</f>
        <v>0</v>
      </c>
      <c r="AF43" s="18">
        <f>'A) Base RI'!Z43</f>
        <v>0</v>
      </c>
      <c r="AG43" s="18">
        <f>'A) Base RI'!AA43</f>
        <v>38277.85</v>
      </c>
      <c r="AH43" s="18">
        <f>'A) Base RI'!AB43</f>
        <v>0</v>
      </c>
      <c r="AI43" s="18">
        <f>'A) Base RI'!AC43</f>
        <v>27690</v>
      </c>
      <c r="AJ43" s="18">
        <f>'A) Base RI'!AD43</f>
        <v>2778.65</v>
      </c>
      <c r="AK43" s="18">
        <f>'A) Base RI'!AE43</f>
        <v>0</v>
      </c>
      <c r="AL43" s="18">
        <f>'A) Base RI'!AF43</f>
        <v>0</v>
      </c>
      <c r="AM43" s="18">
        <f>'A) Base RI'!AG43</f>
        <v>0</v>
      </c>
      <c r="AN43" s="18">
        <f>'A) Base RI'!AH43</f>
        <v>0</v>
      </c>
      <c r="AO43" s="18">
        <f>'A) Base RI'!AI43</f>
        <v>0</v>
      </c>
      <c r="AP43" s="18">
        <f>'A) Base RI'!AJ43</f>
        <v>0</v>
      </c>
      <c r="AQ43" s="18">
        <f>'A) Base RI'!AK43</f>
        <v>0</v>
      </c>
      <c r="AR43" s="18">
        <f>'A) Base RI'!AN43</f>
        <v>362</v>
      </c>
    </row>
    <row r="44" spans="1:44" x14ac:dyDescent="0.25">
      <c r="A44" s="13">
        <f>'A) Base RI'!A44</f>
        <v>5473</v>
      </c>
      <c r="B44" s="62" t="str">
        <f>'A) Base RI'!B44</f>
        <v>Boussens</v>
      </c>
      <c r="C44" s="18">
        <f>'A) Base RI'!C44+'A) Base RI'!D44</f>
        <v>2103360.6</v>
      </c>
      <c r="D44" s="18">
        <f>'A) Base RI'!AO44</f>
        <v>-16733</v>
      </c>
      <c r="E44" s="61">
        <f>'A) Base RI'!AP44</f>
        <v>0</v>
      </c>
      <c r="F44" s="61">
        <f>'A) Base RI'!AQ44</f>
        <v>-16.88</v>
      </c>
      <c r="G44" s="4">
        <f t="shared" si="0"/>
        <v>2086610.7200000002</v>
      </c>
      <c r="H44" s="18">
        <f>'A) Base RI'!E44</f>
        <v>0</v>
      </c>
      <c r="I44" s="18">
        <f>'A) Base RI'!F44</f>
        <v>0</v>
      </c>
      <c r="J44" s="18">
        <f>'A) Base RI'!G44+'A) Base RI'!H44</f>
        <v>6896.45</v>
      </c>
      <c r="K44" s="18">
        <f>'A) Base RI'!I44</f>
        <v>0</v>
      </c>
      <c r="L44" s="18">
        <f>'A) Base RI'!J44</f>
        <v>10594.16</v>
      </c>
      <c r="M44" s="18">
        <f>'A) Base RI'!K44</f>
        <v>1046.5</v>
      </c>
      <c r="N44" s="18">
        <f>'A) Base RI'!Q44</f>
        <v>0</v>
      </c>
      <c r="O44" s="18">
        <f t="shared" si="1"/>
        <v>165263.20000000001</v>
      </c>
      <c r="P44" s="18">
        <f>'A) Base RI'!L44</f>
        <v>165263.20000000001</v>
      </c>
      <c r="Q44" s="64">
        <f>'A) Base RI'!AR44</f>
        <v>1</v>
      </c>
      <c r="R44" s="4">
        <f t="shared" si="2"/>
        <v>2270411.0300000003</v>
      </c>
      <c r="S44" s="63">
        <f>'A) Base RI'!AM44</f>
        <v>69</v>
      </c>
      <c r="T44" s="4">
        <f t="shared" si="3"/>
        <v>2104101.33</v>
      </c>
      <c r="U44" s="4">
        <f t="shared" si="4"/>
        <v>32904.507681159426</v>
      </c>
      <c r="V44" s="18">
        <v>0</v>
      </c>
      <c r="W44" s="18">
        <f>'A) Base RI'!P44</f>
        <v>66131.75</v>
      </c>
      <c r="X44" s="18">
        <f>'A) Base RI'!R44</f>
        <v>57307.85</v>
      </c>
      <c r="Y44" s="4">
        <f t="shared" si="5"/>
        <v>123439.6</v>
      </c>
      <c r="Z44" s="18">
        <v>0</v>
      </c>
      <c r="AA44" s="18">
        <f>'A) Base RI'!S44+'A) Base RI'!T44</f>
        <v>0</v>
      </c>
      <c r="AB44" s="18">
        <f>'A) Base RI'!U44</f>
        <v>5640</v>
      </c>
      <c r="AC44" s="18">
        <f>'A) Base RI'!V44</f>
        <v>0</v>
      </c>
      <c r="AD44" s="18">
        <f>'A) Base RI'!W44</f>
        <v>0</v>
      </c>
      <c r="AE44" s="18">
        <f>'A) Base RI'!Y44</f>
        <v>55671</v>
      </c>
      <c r="AF44" s="18">
        <f>'A) Base RI'!Z44</f>
        <v>0</v>
      </c>
      <c r="AG44" s="18">
        <f>'A) Base RI'!AA44</f>
        <v>160644</v>
      </c>
      <c r="AH44" s="18">
        <f>'A) Base RI'!AB44</f>
        <v>0</v>
      </c>
      <c r="AI44" s="18">
        <f>'A) Base RI'!AC44</f>
        <v>60851</v>
      </c>
      <c r="AJ44" s="18">
        <f>'A) Base RI'!AD44</f>
        <v>0</v>
      </c>
      <c r="AK44" s="18">
        <f>'A) Base RI'!AE44</f>
        <v>0</v>
      </c>
      <c r="AL44" s="18">
        <f>'A) Base RI'!AF44</f>
        <v>0</v>
      </c>
      <c r="AM44" s="18">
        <f>'A) Base RI'!AG44</f>
        <v>0</v>
      </c>
      <c r="AN44" s="18">
        <f>'A) Base RI'!AH44</f>
        <v>0</v>
      </c>
      <c r="AO44" s="18">
        <f>'A) Base RI'!AI44</f>
        <v>0</v>
      </c>
      <c r="AP44" s="18">
        <f>'A) Base RI'!AJ44</f>
        <v>0</v>
      </c>
      <c r="AQ44" s="18">
        <f>'A) Base RI'!AK44</f>
        <v>0</v>
      </c>
      <c r="AR44" s="18">
        <f>'A) Base RI'!AN44</f>
        <v>944</v>
      </c>
    </row>
    <row r="45" spans="1:44" x14ac:dyDescent="0.25">
      <c r="A45" s="13">
        <f>'A) Base RI'!A45</f>
        <v>5474</v>
      </c>
      <c r="B45" s="62" t="str">
        <f>'A) Base RI'!B45</f>
        <v>La Chaux (Cossonay)</v>
      </c>
      <c r="C45" s="18">
        <f>'A) Base RI'!C45+'A) Base RI'!D45</f>
        <v>906008.29999999993</v>
      </c>
      <c r="D45" s="18">
        <f>'A) Base RI'!AO45</f>
        <v>-5675.4</v>
      </c>
      <c r="E45" s="61">
        <f>'A) Base RI'!AP45</f>
        <v>0</v>
      </c>
      <c r="F45" s="61">
        <f>'A) Base RI'!AQ45</f>
        <v>-0.09</v>
      </c>
      <c r="G45" s="4">
        <f t="shared" si="0"/>
        <v>900332.80999999994</v>
      </c>
      <c r="H45" s="18">
        <f>'A) Base RI'!E45</f>
        <v>0</v>
      </c>
      <c r="I45" s="18">
        <f>'A) Base RI'!F45</f>
        <v>0</v>
      </c>
      <c r="J45" s="18">
        <f>'A) Base RI'!G45+'A) Base RI'!H45</f>
        <v>2989.15</v>
      </c>
      <c r="K45" s="18">
        <f>'A) Base RI'!I45</f>
        <v>34126.800000000003</v>
      </c>
      <c r="L45" s="18">
        <f>'A) Base RI'!J45</f>
        <v>-700.28</v>
      </c>
      <c r="M45" s="18">
        <f>'A) Base RI'!K45</f>
        <v>-2454.5</v>
      </c>
      <c r="N45" s="18">
        <f>'A) Base RI'!Q45</f>
        <v>0</v>
      </c>
      <c r="O45" s="18">
        <f t="shared" si="1"/>
        <v>62268.583333333336</v>
      </c>
      <c r="P45" s="18">
        <f>'A) Base RI'!L45</f>
        <v>74722.3</v>
      </c>
      <c r="Q45" s="64">
        <f>'A) Base RI'!AR45</f>
        <v>1.2</v>
      </c>
      <c r="R45" s="4">
        <f t="shared" si="2"/>
        <v>996562.56333333335</v>
      </c>
      <c r="S45" s="63">
        <f>'A) Base RI'!AM45</f>
        <v>77</v>
      </c>
      <c r="T45" s="4">
        <f t="shared" si="3"/>
        <v>936748.48</v>
      </c>
      <c r="U45" s="4">
        <f t="shared" si="4"/>
        <v>12942.370952380952</v>
      </c>
      <c r="V45" s="18">
        <v>0</v>
      </c>
      <c r="W45" s="18">
        <f>'A) Base RI'!P45</f>
        <v>38545.599999999999</v>
      </c>
      <c r="X45" s="18">
        <f>'A) Base RI'!R45</f>
        <v>24948.7</v>
      </c>
      <c r="Y45" s="4">
        <f t="shared" si="5"/>
        <v>63494.3</v>
      </c>
      <c r="Z45" s="18">
        <v>0</v>
      </c>
      <c r="AA45" s="18">
        <f>'A) Base RI'!S45+'A) Base RI'!T45</f>
        <v>56.25</v>
      </c>
      <c r="AB45" s="18">
        <f>'A) Base RI'!U45</f>
        <v>1025</v>
      </c>
      <c r="AC45" s="18">
        <f>'A) Base RI'!V45</f>
        <v>0</v>
      </c>
      <c r="AD45" s="18">
        <f>'A) Base RI'!W45</f>
        <v>0</v>
      </c>
      <c r="AE45" s="18">
        <f>'A) Base RI'!Y45</f>
        <v>32443</v>
      </c>
      <c r="AF45" s="18">
        <f>'A) Base RI'!Z45</f>
        <v>0</v>
      </c>
      <c r="AG45" s="18">
        <f>'A) Base RI'!AA45</f>
        <v>59100.9</v>
      </c>
      <c r="AH45" s="18">
        <f>'A) Base RI'!AB45</f>
        <v>0</v>
      </c>
      <c r="AI45" s="18">
        <f>'A) Base RI'!AC45</f>
        <v>0</v>
      </c>
      <c r="AJ45" s="18">
        <f>'A) Base RI'!AD45</f>
        <v>0</v>
      </c>
      <c r="AK45" s="18">
        <f>'A) Base RI'!AE45</f>
        <v>0</v>
      </c>
      <c r="AL45" s="18">
        <f>'A) Base RI'!AF45</f>
        <v>0</v>
      </c>
      <c r="AM45" s="18">
        <f>'A) Base RI'!AG45</f>
        <v>0</v>
      </c>
      <c r="AN45" s="18">
        <f>'A) Base RI'!AH45</f>
        <v>0</v>
      </c>
      <c r="AO45" s="18">
        <f>'A) Base RI'!AI45</f>
        <v>0</v>
      </c>
      <c r="AP45" s="18">
        <f>'A) Base RI'!AJ45</f>
        <v>0</v>
      </c>
      <c r="AQ45" s="18">
        <f>'A) Base RI'!AK45</f>
        <v>0</v>
      </c>
      <c r="AR45" s="18">
        <f>'A) Base RI'!AN45</f>
        <v>422</v>
      </c>
    </row>
    <row r="46" spans="1:44" x14ac:dyDescent="0.25">
      <c r="A46" s="13">
        <f>'A) Base RI'!A46</f>
        <v>5475</v>
      </c>
      <c r="B46" s="62" t="str">
        <f>'A) Base RI'!B46</f>
        <v>Chavannes-le-Veyron</v>
      </c>
      <c r="C46" s="18">
        <f>'A) Base RI'!C46+'A) Base RI'!D46</f>
        <v>213804.22</v>
      </c>
      <c r="D46" s="18">
        <f>'A) Base RI'!AO46</f>
        <v>-21836.33</v>
      </c>
      <c r="E46" s="61">
        <f>'A) Base RI'!AP46</f>
        <v>0</v>
      </c>
      <c r="F46" s="61">
        <f>'A) Base RI'!AQ46</f>
        <v>0</v>
      </c>
      <c r="G46" s="4">
        <f t="shared" si="0"/>
        <v>191967.89</v>
      </c>
      <c r="H46" s="18">
        <f>'A) Base RI'!E46</f>
        <v>0</v>
      </c>
      <c r="I46" s="18">
        <f>'A) Base RI'!F46</f>
        <v>0</v>
      </c>
      <c r="J46" s="18">
        <f>'A) Base RI'!G46+'A) Base RI'!H46</f>
        <v>2807.5</v>
      </c>
      <c r="K46" s="18">
        <f>'A) Base RI'!I46</f>
        <v>0</v>
      </c>
      <c r="L46" s="18">
        <f>'A) Base RI'!J46</f>
        <v>6972.24</v>
      </c>
      <c r="M46" s="18">
        <f>'A) Base RI'!K46</f>
        <v>0</v>
      </c>
      <c r="N46" s="18">
        <f>'A) Base RI'!Q46</f>
        <v>0</v>
      </c>
      <c r="O46" s="18">
        <f t="shared" si="1"/>
        <v>19777.599999999999</v>
      </c>
      <c r="P46" s="18">
        <f>'A) Base RI'!L46</f>
        <v>19777.599999999999</v>
      </c>
      <c r="Q46" s="64">
        <f>'A) Base RI'!AR46</f>
        <v>1</v>
      </c>
      <c r="R46" s="4">
        <f t="shared" si="2"/>
        <v>221525.23</v>
      </c>
      <c r="S46" s="63">
        <f>'A) Base RI'!AM46</f>
        <v>77</v>
      </c>
      <c r="T46" s="4">
        <f t="shared" si="3"/>
        <v>201747.63</v>
      </c>
      <c r="U46" s="4">
        <f t="shared" si="4"/>
        <v>2876.9510389610391</v>
      </c>
      <c r="V46" s="18">
        <f>'A) Base RI'!O46</f>
        <v>26853.3</v>
      </c>
      <c r="W46" s="18">
        <f>'A) Base RI'!P46</f>
        <v>6124.8</v>
      </c>
      <c r="X46" s="18">
        <v>0</v>
      </c>
      <c r="Y46" s="4">
        <f t="shared" si="5"/>
        <v>32978.1</v>
      </c>
      <c r="Z46" s="18">
        <v>0</v>
      </c>
      <c r="AA46" s="18">
        <f>'A) Base RI'!S46+'A) Base RI'!T46</f>
        <v>0</v>
      </c>
      <c r="AB46" s="18">
        <f>'A) Base RI'!U46</f>
        <v>540</v>
      </c>
      <c r="AC46" s="18">
        <f>'A) Base RI'!V46</f>
        <v>0</v>
      </c>
      <c r="AD46" s="18">
        <f>'A) Base RI'!W46</f>
        <v>0</v>
      </c>
      <c r="AE46" s="18">
        <f>'A) Base RI'!Y46</f>
        <v>0</v>
      </c>
      <c r="AF46" s="18">
        <f>'A) Base RI'!Z46</f>
        <v>0</v>
      </c>
      <c r="AG46" s="18">
        <f>'A) Base RI'!AA46</f>
        <v>22271.95</v>
      </c>
      <c r="AH46" s="18">
        <f>'A) Base RI'!AB46</f>
        <v>0</v>
      </c>
      <c r="AI46" s="18">
        <f>'A) Base RI'!AC46</f>
        <v>17183.150000000001</v>
      </c>
      <c r="AJ46" s="18">
        <f>'A) Base RI'!AD46</f>
        <v>0</v>
      </c>
      <c r="AK46" s="18">
        <f>'A) Base RI'!AE46</f>
        <v>0</v>
      </c>
      <c r="AL46" s="18">
        <f>'A) Base RI'!AF46</f>
        <v>0</v>
      </c>
      <c r="AM46" s="18">
        <f>'A) Base RI'!AG46</f>
        <v>0</v>
      </c>
      <c r="AN46" s="18">
        <f>'A) Base RI'!AH46</f>
        <v>0</v>
      </c>
      <c r="AO46" s="18">
        <f>'A) Base RI'!AI46</f>
        <v>0</v>
      </c>
      <c r="AP46" s="18">
        <f>'A) Base RI'!AJ46</f>
        <v>0</v>
      </c>
      <c r="AQ46" s="18">
        <f>'A) Base RI'!AK46</f>
        <v>0</v>
      </c>
      <c r="AR46" s="18">
        <f>'A) Base RI'!AN46</f>
        <v>127</v>
      </c>
    </row>
    <row r="47" spans="1:44" x14ac:dyDescent="0.25">
      <c r="A47" s="13">
        <f>'A) Base RI'!A47</f>
        <v>5476</v>
      </c>
      <c r="B47" s="62" t="str">
        <f>'A) Base RI'!B47</f>
        <v>Chevilly</v>
      </c>
      <c r="C47" s="18">
        <f>'A) Base RI'!C47+'A) Base RI'!D47</f>
        <v>525951.78</v>
      </c>
      <c r="D47" s="18">
        <f>'A) Base RI'!AO47</f>
        <v>-35178.11</v>
      </c>
      <c r="E47" s="61">
        <f>'A) Base RI'!AP47</f>
        <v>0</v>
      </c>
      <c r="F47" s="61">
        <f>'A) Base RI'!AQ47</f>
        <v>-0.21</v>
      </c>
      <c r="G47" s="4">
        <f t="shared" si="0"/>
        <v>490773.46</v>
      </c>
      <c r="H47" s="18">
        <f>'A) Base RI'!E47</f>
        <v>0</v>
      </c>
      <c r="I47" s="18">
        <f>'A) Base RI'!F47</f>
        <v>0</v>
      </c>
      <c r="J47" s="18">
        <f>'A) Base RI'!G47+'A) Base RI'!H47</f>
        <v>3623.65</v>
      </c>
      <c r="K47" s="18">
        <f>'A) Base RI'!I47</f>
        <v>0</v>
      </c>
      <c r="L47" s="18">
        <f>'A) Base RI'!J47</f>
        <v>-1619.6</v>
      </c>
      <c r="M47" s="18">
        <f>'A) Base RI'!K47</f>
        <v>0</v>
      </c>
      <c r="N47" s="18">
        <f>'A) Base RI'!Q47</f>
        <v>96</v>
      </c>
      <c r="O47" s="18">
        <f t="shared" si="1"/>
        <v>46339.700000000004</v>
      </c>
      <c r="P47" s="18">
        <f>'A) Base RI'!L47</f>
        <v>69509.55</v>
      </c>
      <c r="Q47" s="64">
        <f>'A) Base RI'!AR47</f>
        <v>1.5</v>
      </c>
      <c r="R47" s="4">
        <f t="shared" si="2"/>
        <v>539213.21000000008</v>
      </c>
      <c r="S47" s="63">
        <f>'A) Base RI'!AM47</f>
        <v>74</v>
      </c>
      <c r="T47" s="4">
        <f t="shared" si="3"/>
        <v>492873.51000000007</v>
      </c>
      <c r="U47" s="4">
        <f t="shared" si="4"/>
        <v>7286.6650000000009</v>
      </c>
      <c r="V47" s="18">
        <f>'A) Base RI'!O47</f>
        <v>2448.5</v>
      </c>
      <c r="W47" s="18">
        <f>'A) Base RI'!P47</f>
        <v>47825.85</v>
      </c>
      <c r="X47" s="18">
        <f>'A) Base RI'!R47</f>
        <v>35610.5</v>
      </c>
      <c r="Y47" s="4">
        <f t="shared" si="5"/>
        <v>85884.85</v>
      </c>
      <c r="Z47" s="18">
        <v>0</v>
      </c>
      <c r="AA47" s="18">
        <f>'A) Base RI'!S47+'A) Base RI'!T47</f>
        <v>0</v>
      </c>
      <c r="AB47" s="18">
        <f>'A) Base RI'!U47</f>
        <v>2800</v>
      </c>
      <c r="AC47" s="18">
        <f>'A) Base RI'!V47</f>
        <v>0</v>
      </c>
      <c r="AD47" s="18">
        <f>'A) Base RI'!W47</f>
        <v>0</v>
      </c>
      <c r="AE47" s="18">
        <f>'A) Base RI'!Y47</f>
        <v>2114.5500000000002</v>
      </c>
      <c r="AF47" s="18">
        <f>'A) Base RI'!Z47</f>
        <v>0</v>
      </c>
      <c r="AG47" s="18">
        <f>'A) Base RI'!AA47</f>
        <v>12820</v>
      </c>
      <c r="AH47" s="18">
        <f>'A) Base RI'!AB47</f>
        <v>0</v>
      </c>
      <c r="AI47" s="18">
        <f>'A) Base RI'!AC47</f>
        <v>12691.65</v>
      </c>
      <c r="AJ47" s="18">
        <f>'A) Base RI'!AD47</f>
        <v>3524.25</v>
      </c>
      <c r="AK47" s="18">
        <f>'A) Base RI'!AE47</f>
        <v>0</v>
      </c>
      <c r="AL47" s="18">
        <f>'A) Base RI'!AF47</f>
        <v>0</v>
      </c>
      <c r="AM47" s="18">
        <f>'A) Base RI'!AG47</f>
        <v>0</v>
      </c>
      <c r="AN47" s="18">
        <f>'A) Base RI'!AH47</f>
        <v>0</v>
      </c>
      <c r="AO47" s="18">
        <f>'A) Base RI'!AI47</f>
        <v>0</v>
      </c>
      <c r="AP47" s="18">
        <f>'A) Base RI'!AJ47</f>
        <v>0</v>
      </c>
      <c r="AQ47" s="18">
        <f>'A) Base RI'!AK47</f>
        <v>0</v>
      </c>
      <c r="AR47" s="18">
        <f>'A) Base RI'!AN47</f>
        <v>249</v>
      </c>
    </row>
    <row r="48" spans="1:44" x14ac:dyDescent="0.25">
      <c r="A48" s="13">
        <f>'A) Base RI'!A48</f>
        <v>5477</v>
      </c>
      <c r="B48" s="62" t="str">
        <f>'A) Base RI'!B48</f>
        <v>Cossonay</v>
      </c>
      <c r="C48" s="18">
        <f>'A) Base RI'!C48+'A) Base RI'!D48</f>
        <v>7391898.4299999997</v>
      </c>
      <c r="D48" s="18">
        <f>'A) Base RI'!AO48</f>
        <v>-147455.96</v>
      </c>
      <c r="E48" s="61">
        <f>'A) Base RI'!AP48</f>
        <v>0</v>
      </c>
      <c r="F48" s="61">
        <f>'A) Base RI'!AQ48</f>
        <v>-508.88</v>
      </c>
      <c r="G48" s="4">
        <f t="shared" si="0"/>
        <v>7243933.5899999999</v>
      </c>
      <c r="H48" s="18">
        <f>'A) Base RI'!E48</f>
        <v>0</v>
      </c>
      <c r="I48" s="18">
        <f>'A) Base RI'!F48</f>
        <v>0</v>
      </c>
      <c r="J48" s="18">
        <f>'A) Base RI'!G48+'A) Base RI'!H48</f>
        <v>459110.10000000003</v>
      </c>
      <c r="K48" s="18">
        <f>'A) Base RI'!I48</f>
        <v>0</v>
      </c>
      <c r="L48" s="18">
        <f>'A) Base RI'!J48</f>
        <v>213457.43</v>
      </c>
      <c r="M48" s="18">
        <f>'A) Base RI'!K48</f>
        <v>22989.5</v>
      </c>
      <c r="N48" s="18">
        <f>'A) Base RI'!Q48</f>
        <v>20432.79</v>
      </c>
      <c r="O48" s="18">
        <f t="shared" si="1"/>
        <v>502242.6</v>
      </c>
      <c r="P48" s="18">
        <f>'A) Base RI'!L48</f>
        <v>502242.6</v>
      </c>
      <c r="Q48" s="64">
        <f>'A) Base RI'!AR48</f>
        <v>1</v>
      </c>
      <c r="R48" s="4">
        <f t="shared" si="2"/>
        <v>8462166.0099999998</v>
      </c>
      <c r="S48" s="63">
        <f>'A) Base RI'!AM48</f>
        <v>67.3</v>
      </c>
      <c r="T48" s="4">
        <f t="shared" si="3"/>
        <v>7936933.9099999992</v>
      </c>
      <c r="U48" s="4">
        <f t="shared" si="4"/>
        <v>125737.979346211</v>
      </c>
      <c r="V48" s="18">
        <f>'A) Base RI'!O48</f>
        <v>245168.8</v>
      </c>
      <c r="W48" s="18">
        <f>'A) Base RI'!P48</f>
        <v>210775.6</v>
      </c>
      <c r="X48" s="18">
        <f>'A) Base RI'!R48</f>
        <v>167545.35</v>
      </c>
      <c r="Y48" s="4">
        <f t="shared" si="5"/>
        <v>623489.75</v>
      </c>
      <c r="Z48" s="18">
        <f>'A) Base RI'!N48</f>
        <v>54004.25</v>
      </c>
      <c r="AA48" s="18">
        <f>'A) Base RI'!S48+'A) Base RI'!T48</f>
        <v>3575</v>
      </c>
      <c r="AB48" s="18">
        <f>'A) Base RI'!U48</f>
        <v>15100</v>
      </c>
      <c r="AC48" s="18">
        <f>'A) Base RI'!V48</f>
        <v>0</v>
      </c>
      <c r="AD48" s="18">
        <f>'A) Base RI'!W48</f>
        <v>0</v>
      </c>
      <c r="AE48" s="18">
        <f>'A) Base RI'!Y48</f>
        <v>274395</v>
      </c>
      <c r="AF48" s="18">
        <f>'A) Base RI'!Z48</f>
        <v>0</v>
      </c>
      <c r="AG48" s="18">
        <f>'A) Base RI'!AA48</f>
        <v>116476.5</v>
      </c>
      <c r="AH48" s="18">
        <f>'A) Base RI'!AB48</f>
        <v>313949.05</v>
      </c>
      <c r="AI48" s="18">
        <f>'A) Base RI'!AC48</f>
        <v>330142.7</v>
      </c>
      <c r="AJ48" s="18">
        <f>'A) Base RI'!AD48</f>
        <v>277250.2</v>
      </c>
      <c r="AK48" s="18">
        <f>'A) Base RI'!AE48</f>
        <v>0</v>
      </c>
      <c r="AL48" s="18">
        <f>'A) Base RI'!AF48</f>
        <v>0</v>
      </c>
      <c r="AM48" s="18">
        <f>'A) Base RI'!AG48</f>
        <v>1456.5</v>
      </c>
      <c r="AN48" s="18">
        <f>'A) Base RI'!AH48</f>
        <v>81082.600000000006</v>
      </c>
      <c r="AO48" s="18">
        <f>'A) Base RI'!AI48</f>
        <v>0</v>
      </c>
      <c r="AP48" s="18">
        <f>'A) Base RI'!AJ48</f>
        <v>0</v>
      </c>
      <c r="AQ48" s="18">
        <f>'A) Base RI'!AK48</f>
        <v>0</v>
      </c>
      <c r="AR48" s="18">
        <f>'A) Base RI'!AN48</f>
        <v>3608</v>
      </c>
    </row>
    <row r="49" spans="1:44" x14ac:dyDescent="0.25">
      <c r="A49" s="13">
        <f>'A) Base RI'!A49</f>
        <v>5478</v>
      </c>
      <c r="B49" s="62" t="str">
        <f>'A) Base RI'!B49</f>
        <v>Cottens</v>
      </c>
      <c r="C49" s="18">
        <f>'A) Base RI'!C49+'A) Base RI'!D49</f>
        <v>995012.76</v>
      </c>
      <c r="D49" s="18">
        <f>'A) Base RI'!AO49</f>
        <v>-2947.62</v>
      </c>
      <c r="E49" s="61">
        <f>'A) Base RI'!AP49</f>
        <v>0</v>
      </c>
      <c r="F49" s="61">
        <f>'A) Base RI'!AQ49</f>
        <v>-40.51</v>
      </c>
      <c r="G49" s="4">
        <f t="shared" si="0"/>
        <v>992024.63</v>
      </c>
      <c r="H49" s="18">
        <f>'A) Base RI'!E49</f>
        <v>0</v>
      </c>
      <c r="I49" s="18">
        <f>'A) Base RI'!F49</f>
        <v>0</v>
      </c>
      <c r="J49" s="18">
        <f>'A) Base RI'!G49+'A) Base RI'!H49</f>
        <v>50767.95</v>
      </c>
      <c r="K49" s="18">
        <f>'A) Base RI'!I49</f>
        <v>0</v>
      </c>
      <c r="L49" s="18">
        <f>'A) Base RI'!J49</f>
        <v>9501.89</v>
      </c>
      <c r="M49" s="18">
        <f>'A) Base RI'!K49</f>
        <v>250</v>
      </c>
      <c r="N49" s="18">
        <f>'A) Base RI'!Q49</f>
        <v>0</v>
      </c>
      <c r="O49" s="18">
        <f t="shared" si="1"/>
        <v>71620.3</v>
      </c>
      <c r="P49" s="18">
        <f>'A) Base RI'!L49</f>
        <v>71620.3</v>
      </c>
      <c r="Q49" s="64">
        <f>'A) Base RI'!AR49</f>
        <v>1</v>
      </c>
      <c r="R49" s="4">
        <f t="shared" si="2"/>
        <v>1124164.77</v>
      </c>
      <c r="S49" s="63">
        <f>'A) Base RI'!AM49</f>
        <v>72</v>
      </c>
      <c r="T49" s="4">
        <f t="shared" si="3"/>
        <v>1052294.47</v>
      </c>
      <c r="U49" s="4">
        <f t="shared" si="4"/>
        <v>15613.399583333334</v>
      </c>
      <c r="V49" s="18">
        <v>0</v>
      </c>
      <c r="W49" s="18">
        <f>'A) Base RI'!P49</f>
        <v>42955.05</v>
      </c>
      <c r="X49" s="18">
        <f>'A) Base RI'!R49</f>
        <v>3333.3</v>
      </c>
      <c r="Y49" s="4">
        <f t="shared" si="5"/>
        <v>46288.350000000006</v>
      </c>
      <c r="Z49" s="18">
        <v>0</v>
      </c>
      <c r="AA49" s="18">
        <f>'A) Base RI'!S49+'A) Base RI'!T49</f>
        <v>312.5</v>
      </c>
      <c r="AB49" s="18">
        <f>'A) Base RI'!U49</f>
        <v>1750</v>
      </c>
      <c r="AC49" s="18">
        <f>'A) Base RI'!V49</f>
        <v>0</v>
      </c>
      <c r="AD49" s="18">
        <f>'A) Base RI'!W49</f>
        <v>0</v>
      </c>
      <c r="AE49" s="18">
        <f>'A) Base RI'!Y49</f>
        <v>6600</v>
      </c>
      <c r="AF49" s="18">
        <f>'A) Base RI'!Z49</f>
        <v>0</v>
      </c>
      <c r="AG49" s="18">
        <f>'A) Base RI'!AA49</f>
        <v>26926</v>
      </c>
      <c r="AH49" s="18">
        <f>'A) Base RI'!AB49</f>
        <v>0</v>
      </c>
      <c r="AI49" s="18">
        <f>'A) Base RI'!AC49</f>
        <v>43128.85</v>
      </c>
      <c r="AJ49" s="18">
        <f>'A) Base RI'!AD49</f>
        <v>6600</v>
      </c>
      <c r="AK49" s="18">
        <f>'A) Base RI'!AE49</f>
        <v>0</v>
      </c>
      <c r="AL49" s="18">
        <f>'A) Base RI'!AF49</f>
        <v>0</v>
      </c>
      <c r="AM49" s="18">
        <f>'A) Base RI'!AG49</f>
        <v>0</v>
      </c>
      <c r="AN49" s="18">
        <f>'A) Base RI'!AH49</f>
        <v>0</v>
      </c>
      <c r="AO49" s="18">
        <f>'A) Base RI'!AI49</f>
        <v>0</v>
      </c>
      <c r="AP49" s="18">
        <f>'A) Base RI'!AJ49</f>
        <v>0</v>
      </c>
      <c r="AQ49" s="18">
        <f>'A) Base RI'!AK49</f>
        <v>0</v>
      </c>
      <c r="AR49" s="18">
        <f>'A) Base RI'!AN49</f>
        <v>472</v>
      </c>
    </row>
    <row r="50" spans="1:44" x14ac:dyDescent="0.25">
      <c r="A50" s="13">
        <f>'A) Base RI'!A50</f>
        <v>5479</v>
      </c>
      <c r="B50" s="62" t="str">
        <f>'A) Base RI'!B50</f>
        <v>Cuarnens</v>
      </c>
      <c r="C50" s="18">
        <f>'A) Base RI'!C50+'A) Base RI'!D50</f>
        <v>810735.5</v>
      </c>
      <c r="D50" s="18">
        <f>'A) Base RI'!AO50</f>
        <v>-34533.050000000003</v>
      </c>
      <c r="E50" s="61">
        <f>'A) Base RI'!AP50</f>
        <v>0</v>
      </c>
      <c r="F50" s="61">
        <f>'A) Base RI'!AQ50</f>
        <v>-0.05</v>
      </c>
      <c r="G50" s="4">
        <f t="shared" si="0"/>
        <v>776202.39999999991</v>
      </c>
      <c r="H50" s="18">
        <f>'A) Base RI'!E50</f>
        <v>0</v>
      </c>
      <c r="I50" s="18">
        <f>'A) Base RI'!F50</f>
        <v>0</v>
      </c>
      <c r="J50" s="18">
        <f>'A) Base RI'!G50+'A) Base RI'!H50</f>
        <v>41361.4</v>
      </c>
      <c r="K50" s="18">
        <f>'A) Base RI'!I50</f>
        <v>59292.87</v>
      </c>
      <c r="L50" s="18">
        <f>'A) Base RI'!J50</f>
        <v>13153.3</v>
      </c>
      <c r="M50" s="18">
        <f>'A) Base RI'!K50</f>
        <v>1668</v>
      </c>
      <c r="N50" s="18">
        <f>'A) Base RI'!Q50</f>
        <v>5848.21</v>
      </c>
      <c r="O50" s="18">
        <f t="shared" si="1"/>
        <v>63394.8</v>
      </c>
      <c r="P50" s="18">
        <f>'A) Base RI'!L50</f>
        <v>63394.8</v>
      </c>
      <c r="Q50" s="64">
        <f>'A) Base RI'!AR50</f>
        <v>1</v>
      </c>
      <c r="R50" s="4">
        <f t="shared" si="2"/>
        <v>960920.98</v>
      </c>
      <c r="S50" s="63">
        <f>'A) Base RI'!AM50</f>
        <v>77</v>
      </c>
      <c r="T50" s="4">
        <f t="shared" si="3"/>
        <v>895858.17999999993</v>
      </c>
      <c r="U50" s="4">
        <f t="shared" si="4"/>
        <v>12479.493246753247</v>
      </c>
      <c r="V50" s="18">
        <f>'A) Base RI'!O50</f>
        <v>51512.5</v>
      </c>
      <c r="W50" s="18">
        <f>'A) Base RI'!P50</f>
        <v>40935.9</v>
      </c>
      <c r="X50" s="18">
        <f>'A) Base RI'!R50</f>
        <v>59479.1</v>
      </c>
      <c r="Y50" s="4">
        <f t="shared" si="5"/>
        <v>151927.5</v>
      </c>
      <c r="Z50" s="18">
        <v>0</v>
      </c>
      <c r="AA50" s="18">
        <f>'A) Base RI'!S50+'A) Base RI'!T50</f>
        <v>0</v>
      </c>
      <c r="AB50" s="18">
        <f>'A) Base RI'!U50</f>
        <v>1440</v>
      </c>
      <c r="AC50" s="18">
        <f>'A) Base RI'!V50</f>
        <v>0</v>
      </c>
      <c r="AD50" s="18">
        <f>'A) Base RI'!W50</f>
        <v>0</v>
      </c>
      <c r="AE50" s="18">
        <f>'A) Base RI'!Y50</f>
        <v>30410</v>
      </c>
      <c r="AF50" s="18">
        <f>'A) Base RI'!Z50</f>
        <v>0</v>
      </c>
      <c r="AG50" s="18">
        <f>'A) Base RI'!AA50</f>
        <v>48362.5</v>
      </c>
      <c r="AH50" s="18">
        <f>'A) Base RI'!AB50</f>
        <v>0</v>
      </c>
      <c r="AI50" s="18">
        <f>'A) Base RI'!AC50</f>
        <v>67595.899999999994</v>
      </c>
      <c r="AJ50" s="18">
        <f>'A) Base RI'!AD50</f>
        <v>13770.15</v>
      </c>
      <c r="AK50" s="18">
        <f>'A) Base RI'!AE50</f>
        <v>10472.9</v>
      </c>
      <c r="AL50" s="18">
        <f>'A) Base RI'!AF50</f>
        <v>0</v>
      </c>
      <c r="AM50" s="18">
        <f>'A) Base RI'!AG50</f>
        <v>0</v>
      </c>
      <c r="AN50" s="18">
        <f>'A) Base RI'!AH50</f>
        <v>13822.4</v>
      </c>
      <c r="AO50" s="18">
        <f>'A) Base RI'!AI50</f>
        <v>0</v>
      </c>
      <c r="AP50" s="18">
        <f>'A) Base RI'!AJ50</f>
        <v>0</v>
      </c>
      <c r="AQ50" s="18">
        <f>'A) Base RI'!AK50</f>
        <v>0</v>
      </c>
      <c r="AR50" s="18">
        <f>'A) Base RI'!AN50</f>
        <v>435</v>
      </c>
    </row>
    <row r="51" spans="1:44" x14ac:dyDescent="0.25">
      <c r="A51" s="13">
        <f>'A) Base RI'!A51</f>
        <v>5480</v>
      </c>
      <c r="B51" s="62" t="str">
        <f>'A) Base RI'!B51</f>
        <v>Daillens</v>
      </c>
      <c r="C51" s="18">
        <f>'A) Base RI'!C51+'A) Base RI'!D51</f>
        <v>2272683.7600000002</v>
      </c>
      <c r="D51" s="18">
        <f>'A) Base RI'!AO51</f>
        <v>-34329.15</v>
      </c>
      <c r="E51" s="61">
        <f>'A) Base RI'!AP51</f>
        <v>0</v>
      </c>
      <c r="F51" s="61">
        <f>'A) Base RI'!AQ51</f>
        <v>-71.010000000000005</v>
      </c>
      <c r="G51" s="4">
        <f t="shared" si="0"/>
        <v>2238283.6000000006</v>
      </c>
      <c r="H51" s="18">
        <f>'A) Base RI'!E51</f>
        <v>0</v>
      </c>
      <c r="I51" s="18">
        <f>'A) Base RI'!F51</f>
        <v>0</v>
      </c>
      <c r="J51" s="18">
        <f>'A) Base RI'!G51+'A) Base RI'!H51</f>
        <v>95177</v>
      </c>
      <c r="K51" s="18">
        <f>'A) Base RI'!I51</f>
        <v>0</v>
      </c>
      <c r="L51" s="18">
        <f>'A) Base RI'!J51</f>
        <v>61147.03</v>
      </c>
      <c r="M51" s="18">
        <f>'A) Base RI'!K51</f>
        <v>47244</v>
      </c>
      <c r="N51" s="18">
        <f>'A) Base RI'!Q51</f>
        <v>18411.73</v>
      </c>
      <c r="O51" s="18">
        <f t="shared" si="1"/>
        <v>271491.09999999998</v>
      </c>
      <c r="P51" s="18">
        <f>'A) Base RI'!L51</f>
        <v>271491.09999999998</v>
      </c>
      <c r="Q51" s="64">
        <f>'A) Base RI'!AR51</f>
        <v>1</v>
      </c>
      <c r="R51" s="4">
        <f t="shared" si="2"/>
        <v>2731754.4600000004</v>
      </c>
      <c r="S51" s="63">
        <f>'A) Base RI'!AM51</f>
        <v>71</v>
      </c>
      <c r="T51" s="4">
        <f t="shared" si="3"/>
        <v>2413019.3600000003</v>
      </c>
      <c r="U51" s="4">
        <f t="shared" si="4"/>
        <v>38475.41492957747</v>
      </c>
      <c r="V51" s="18">
        <f>'A) Base RI'!O51</f>
        <v>72122.100000000006</v>
      </c>
      <c r="W51" s="18">
        <f>'A) Base RI'!P51</f>
        <v>68475.899999999994</v>
      </c>
      <c r="X51" s="18">
        <f>'A) Base RI'!R51</f>
        <v>56418.05</v>
      </c>
      <c r="Y51" s="4">
        <f t="shared" si="5"/>
        <v>197016.05</v>
      </c>
      <c r="Z51" s="18">
        <f>'A) Base RI'!N51</f>
        <v>116134.7</v>
      </c>
      <c r="AA51" s="18">
        <f>'A) Base RI'!S51+'A) Base RI'!T51</f>
        <v>931.25</v>
      </c>
      <c r="AB51" s="18">
        <f>'A) Base RI'!U51</f>
        <v>9150</v>
      </c>
      <c r="AC51" s="18">
        <f>'A) Base RI'!V51</f>
        <v>0</v>
      </c>
      <c r="AD51" s="18">
        <f>'A) Base RI'!W51</f>
        <v>0</v>
      </c>
      <c r="AE51" s="18">
        <f>'A) Base RI'!Y51</f>
        <v>73096.100000000006</v>
      </c>
      <c r="AF51" s="18">
        <f>'A) Base RI'!Z51</f>
        <v>0</v>
      </c>
      <c r="AG51" s="18">
        <f>'A) Base RI'!AA51</f>
        <v>128947.5</v>
      </c>
      <c r="AH51" s="18">
        <f>'A) Base RI'!AB51</f>
        <v>86503</v>
      </c>
      <c r="AI51" s="18">
        <f>'A) Base RI'!AC51</f>
        <v>56971.7</v>
      </c>
      <c r="AJ51" s="18">
        <f>'A) Base RI'!AD51</f>
        <v>33295.65</v>
      </c>
      <c r="AK51" s="18">
        <f>'A) Base RI'!AE51</f>
        <v>0</v>
      </c>
      <c r="AL51" s="18">
        <f>'A) Base RI'!AF51</f>
        <v>0</v>
      </c>
      <c r="AM51" s="18">
        <f>'A) Base RI'!AG51</f>
        <v>6977.8</v>
      </c>
      <c r="AN51" s="18">
        <f>'A) Base RI'!AH51</f>
        <v>62298.3</v>
      </c>
      <c r="AO51" s="18">
        <f>'A) Base RI'!AI51</f>
        <v>0</v>
      </c>
      <c r="AP51" s="18">
        <f>'A) Base RI'!AJ51</f>
        <v>0</v>
      </c>
      <c r="AQ51" s="18">
        <f>'A) Base RI'!AK51</f>
        <v>0</v>
      </c>
      <c r="AR51" s="18">
        <f>'A) Base RI'!AN51</f>
        <v>940</v>
      </c>
    </row>
    <row r="52" spans="1:44" x14ac:dyDescent="0.25">
      <c r="A52" s="13">
        <f>'A) Base RI'!A52</f>
        <v>5481</v>
      </c>
      <c r="B52" s="62" t="str">
        <f>'A) Base RI'!B52</f>
        <v>Dizy</v>
      </c>
      <c r="C52" s="18">
        <f>'A) Base RI'!C52+'A) Base RI'!D52</f>
        <v>546093.63</v>
      </c>
      <c r="D52" s="18">
        <f>'A) Base RI'!AO52</f>
        <v>-72.44</v>
      </c>
      <c r="E52" s="61">
        <f>'A) Base RI'!AP52</f>
        <v>0</v>
      </c>
      <c r="F52" s="61">
        <f>'A) Base RI'!AQ52</f>
        <v>-39.82</v>
      </c>
      <c r="G52" s="4">
        <f t="shared" si="0"/>
        <v>545981.37000000011</v>
      </c>
      <c r="H52" s="18">
        <f>'A) Base RI'!E52</f>
        <v>0</v>
      </c>
      <c r="I52" s="18">
        <f>'A) Base RI'!F52</f>
        <v>0</v>
      </c>
      <c r="J52" s="18">
        <f>'A) Base RI'!G52+'A) Base RI'!H52</f>
        <v>16941.349999999999</v>
      </c>
      <c r="K52" s="18">
        <f>'A) Base RI'!I52</f>
        <v>0</v>
      </c>
      <c r="L52" s="18">
        <f>'A) Base RI'!J52</f>
        <v>930.81</v>
      </c>
      <c r="M52" s="18">
        <f>'A) Base RI'!K52</f>
        <v>0</v>
      </c>
      <c r="N52" s="18">
        <f>'A) Base RI'!Q52</f>
        <v>0</v>
      </c>
      <c r="O52" s="18">
        <f t="shared" si="1"/>
        <v>33341.35</v>
      </c>
      <c r="P52" s="18">
        <f>'A) Base RI'!L52</f>
        <v>33341.35</v>
      </c>
      <c r="Q52" s="64">
        <f>'A) Base RI'!AR52</f>
        <v>1</v>
      </c>
      <c r="R52" s="4">
        <f t="shared" si="2"/>
        <v>597194.88000000012</v>
      </c>
      <c r="S52" s="63">
        <f>'A) Base RI'!AM52</f>
        <v>74</v>
      </c>
      <c r="T52" s="4">
        <f t="shared" si="3"/>
        <v>563853.53000000014</v>
      </c>
      <c r="U52" s="4">
        <f t="shared" si="4"/>
        <v>8070.2010810810825</v>
      </c>
      <c r="V52" s="18">
        <v>0</v>
      </c>
      <c r="W52" s="18">
        <f>'A) Base RI'!P52</f>
        <v>22893.200000000001</v>
      </c>
      <c r="X52" s="18">
        <f>'A) Base RI'!R52</f>
        <v>27126.1</v>
      </c>
      <c r="Y52" s="4">
        <f t="shared" si="5"/>
        <v>50019.3</v>
      </c>
      <c r="Z52" s="18">
        <v>0</v>
      </c>
      <c r="AA52" s="18">
        <f>'A) Base RI'!S52+'A) Base RI'!T52</f>
        <v>0</v>
      </c>
      <c r="AB52" s="18">
        <f>'A) Base RI'!U52</f>
        <v>650</v>
      </c>
      <c r="AC52" s="18">
        <f>'A) Base RI'!V52</f>
        <v>0</v>
      </c>
      <c r="AD52" s="18">
        <f>'A) Base RI'!W52</f>
        <v>0</v>
      </c>
      <c r="AE52" s="18">
        <f>'A) Base RI'!Y52</f>
        <v>0</v>
      </c>
      <c r="AF52" s="18">
        <f>'A) Base RI'!Z52</f>
        <v>0</v>
      </c>
      <c r="AG52" s="18">
        <f>'A) Base RI'!AA52</f>
        <v>36236</v>
      </c>
      <c r="AH52" s="18">
        <f>'A) Base RI'!AB52</f>
        <v>0</v>
      </c>
      <c r="AI52" s="18">
        <f>'A) Base RI'!AC52</f>
        <v>15532</v>
      </c>
      <c r="AJ52" s="18">
        <f>'A) Base RI'!AD52</f>
        <v>0</v>
      </c>
      <c r="AK52" s="18">
        <f>'A) Base RI'!AE52</f>
        <v>0</v>
      </c>
      <c r="AL52" s="18">
        <f>'A) Base RI'!AF52</f>
        <v>0</v>
      </c>
      <c r="AM52" s="18">
        <f>'A) Base RI'!AG52</f>
        <v>0</v>
      </c>
      <c r="AN52" s="18">
        <f>'A) Base RI'!AH52</f>
        <v>0</v>
      </c>
      <c r="AO52" s="18">
        <f>'A) Base RI'!AI52</f>
        <v>0</v>
      </c>
      <c r="AP52" s="18">
        <f>'A) Base RI'!AJ52</f>
        <v>0</v>
      </c>
      <c r="AQ52" s="18">
        <f>'A) Base RI'!AK52</f>
        <v>0</v>
      </c>
      <c r="AR52" s="18">
        <f>'A) Base RI'!AN52</f>
        <v>224</v>
      </c>
    </row>
    <row r="53" spans="1:44" x14ac:dyDescent="0.25">
      <c r="A53" s="13">
        <f>'A) Base RI'!A53</f>
        <v>5482</v>
      </c>
      <c r="B53" s="62" t="str">
        <f>'A) Base RI'!B53</f>
        <v>Eclépens</v>
      </c>
      <c r="C53" s="18">
        <f>'A) Base RI'!C53+'A) Base RI'!D53</f>
        <v>1292796.49</v>
      </c>
      <c r="D53" s="18">
        <f>'A) Base RI'!AO53</f>
        <v>-58033.67</v>
      </c>
      <c r="E53" s="61">
        <f>'A) Base RI'!AP53</f>
        <v>0</v>
      </c>
      <c r="F53" s="61">
        <f>'A) Base RI'!AQ53</f>
        <v>-6715.81</v>
      </c>
      <c r="G53" s="4">
        <f t="shared" si="0"/>
        <v>1228047.01</v>
      </c>
      <c r="H53" s="18">
        <f>'A) Base RI'!E53</f>
        <v>0</v>
      </c>
      <c r="I53" s="18">
        <f>'A) Base RI'!F53</f>
        <v>0</v>
      </c>
      <c r="J53" s="18">
        <f>'A) Base RI'!G53+'A) Base RI'!H53</f>
        <v>1454529.75</v>
      </c>
      <c r="K53" s="18">
        <f>'A) Base RI'!I53</f>
        <v>0</v>
      </c>
      <c r="L53" s="18">
        <f>'A) Base RI'!J53</f>
        <v>64514.07</v>
      </c>
      <c r="M53" s="18">
        <f>'A) Base RI'!K53</f>
        <v>38321.5</v>
      </c>
      <c r="N53" s="18">
        <f>'A) Base RI'!Q53</f>
        <v>7186.85</v>
      </c>
      <c r="O53" s="18">
        <f t="shared" si="1"/>
        <v>358364.1</v>
      </c>
      <c r="P53" s="18">
        <f>'A) Base RI'!L53</f>
        <v>358364.1</v>
      </c>
      <c r="Q53" s="64">
        <f>'A) Base RI'!AR53</f>
        <v>1</v>
      </c>
      <c r="R53" s="4">
        <f t="shared" si="2"/>
        <v>3150963.28</v>
      </c>
      <c r="S53" s="63">
        <f>'A) Base RI'!AM53</f>
        <v>46</v>
      </c>
      <c r="T53" s="4">
        <f t="shared" si="3"/>
        <v>2754277.6799999997</v>
      </c>
      <c r="U53" s="4">
        <f t="shared" si="4"/>
        <v>68499.201739130425</v>
      </c>
      <c r="V53" s="18">
        <f>'A) Base RI'!O53</f>
        <v>106050.9</v>
      </c>
      <c r="W53" s="18">
        <f>'A) Base RI'!P53</f>
        <v>36857.199999999997</v>
      </c>
      <c r="X53" s="18">
        <f>'A) Base RI'!R53</f>
        <v>83057.600000000006</v>
      </c>
      <c r="Y53" s="4">
        <f t="shared" si="5"/>
        <v>225965.69999999998</v>
      </c>
      <c r="Z53" s="18">
        <f>'A) Base RI'!N53</f>
        <v>155130.6</v>
      </c>
      <c r="AA53" s="18">
        <f>'A) Base RI'!S53+'A) Base RI'!T53</f>
        <v>112.5</v>
      </c>
      <c r="AB53" s="18">
        <f>'A) Base RI'!U53</f>
        <v>7575</v>
      </c>
      <c r="AC53" s="18">
        <f>'A) Base RI'!V53</f>
        <v>0</v>
      </c>
      <c r="AD53" s="18">
        <f>'A) Base RI'!W53</f>
        <v>0</v>
      </c>
      <c r="AE53" s="18">
        <f>'A) Base RI'!Y53</f>
        <v>0</v>
      </c>
      <c r="AF53" s="18">
        <f>'A) Base RI'!Z53</f>
        <v>0</v>
      </c>
      <c r="AG53" s="18">
        <f>'A) Base RI'!AA53</f>
        <v>151723.15</v>
      </c>
      <c r="AH53" s="18">
        <f>'A) Base RI'!AB53</f>
        <v>0</v>
      </c>
      <c r="AI53" s="18">
        <f>'A) Base RI'!AC53</f>
        <v>107596.91</v>
      </c>
      <c r="AJ53" s="18">
        <f>'A) Base RI'!AD53</f>
        <v>0</v>
      </c>
      <c r="AK53" s="18">
        <f>'A) Base RI'!AE53</f>
        <v>0</v>
      </c>
      <c r="AL53" s="18">
        <f>'A) Base RI'!AF53</f>
        <v>0</v>
      </c>
      <c r="AM53" s="18">
        <f>'A) Base RI'!AG53</f>
        <v>0</v>
      </c>
      <c r="AN53" s="18">
        <f>'A) Base RI'!AH53</f>
        <v>710000</v>
      </c>
      <c r="AO53" s="18">
        <f>'A) Base RI'!AI53</f>
        <v>0</v>
      </c>
      <c r="AP53" s="18">
        <f>'A) Base RI'!AJ53</f>
        <v>0</v>
      </c>
      <c r="AQ53" s="18">
        <f>'A) Base RI'!AK53</f>
        <v>0</v>
      </c>
      <c r="AR53" s="18">
        <f>'A) Base RI'!AN53</f>
        <v>1010</v>
      </c>
    </row>
    <row r="54" spans="1:44" x14ac:dyDescent="0.25">
      <c r="A54" s="13">
        <f>'A) Base RI'!A54</f>
        <v>5483</v>
      </c>
      <c r="B54" s="62" t="str">
        <f>'A) Base RI'!B54</f>
        <v>Ferreyres</v>
      </c>
      <c r="C54" s="18">
        <f>'A) Base RI'!C54+'A) Base RI'!D54</f>
        <v>693231.2</v>
      </c>
      <c r="D54" s="18">
        <f>'A) Base RI'!AO54</f>
        <v>-745.84</v>
      </c>
      <c r="E54" s="61">
        <f>'A) Base RI'!AP54</f>
        <v>0</v>
      </c>
      <c r="F54" s="61">
        <f>'A) Base RI'!AQ54</f>
        <v>-181.26</v>
      </c>
      <c r="G54" s="4">
        <f t="shared" si="0"/>
        <v>692304.1</v>
      </c>
      <c r="H54" s="18">
        <f>'A) Base RI'!E54</f>
        <v>0</v>
      </c>
      <c r="I54" s="18">
        <f>'A) Base RI'!F54</f>
        <v>0</v>
      </c>
      <c r="J54" s="18">
        <f>'A) Base RI'!G54+'A) Base RI'!H54</f>
        <v>24340.85</v>
      </c>
      <c r="K54" s="18">
        <f>'A) Base RI'!I54</f>
        <v>0</v>
      </c>
      <c r="L54" s="18">
        <f>'A) Base RI'!J54</f>
        <v>-1001.79</v>
      </c>
      <c r="M54" s="18">
        <f>'A) Base RI'!K54</f>
        <v>175.5</v>
      </c>
      <c r="N54" s="18">
        <f>'A) Base RI'!Q54</f>
        <v>0</v>
      </c>
      <c r="O54" s="18">
        <f t="shared" si="1"/>
        <v>47514.5</v>
      </c>
      <c r="P54" s="18">
        <f>'A) Base RI'!L54</f>
        <v>47514.5</v>
      </c>
      <c r="Q54" s="64">
        <f>'A) Base RI'!AR54</f>
        <v>1</v>
      </c>
      <c r="R54" s="4">
        <f t="shared" si="2"/>
        <v>763333.15999999992</v>
      </c>
      <c r="S54" s="63">
        <f>'A) Base RI'!AM54</f>
        <v>76</v>
      </c>
      <c r="T54" s="4">
        <f t="shared" si="3"/>
        <v>715643.15999999992</v>
      </c>
      <c r="U54" s="4">
        <f t="shared" si="4"/>
        <v>10043.857368421051</v>
      </c>
      <c r="V54" s="18">
        <v>0</v>
      </c>
      <c r="W54" s="18">
        <f>'A) Base RI'!P54</f>
        <v>10615</v>
      </c>
      <c r="X54" s="18">
        <f>'A) Base RI'!R54</f>
        <v>2958.2</v>
      </c>
      <c r="Y54" s="4">
        <f t="shared" si="5"/>
        <v>13573.2</v>
      </c>
      <c r="Z54" s="18">
        <f>'A) Base RI'!N54</f>
        <v>3461.5</v>
      </c>
      <c r="AA54" s="18">
        <f>'A) Base RI'!S54+'A) Base RI'!T54</f>
        <v>31.25</v>
      </c>
      <c r="AB54" s="18">
        <f>'A) Base RI'!U54</f>
        <v>1500</v>
      </c>
      <c r="AC54" s="18">
        <f>'A) Base RI'!V54</f>
        <v>0</v>
      </c>
      <c r="AD54" s="18">
        <f>'A) Base RI'!W54</f>
        <v>0</v>
      </c>
      <c r="AE54" s="18">
        <f>'A) Base RI'!Y54</f>
        <v>0</v>
      </c>
      <c r="AF54" s="18">
        <f>'A) Base RI'!Z54</f>
        <v>0</v>
      </c>
      <c r="AG54" s="18">
        <f>'A) Base RI'!AA54</f>
        <v>48799.4</v>
      </c>
      <c r="AH54" s="18">
        <f>'A) Base RI'!AB54</f>
        <v>0</v>
      </c>
      <c r="AI54" s="18">
        <f>'A) Base RI'!AC54</f>
        <v>28443</v>
      </c>
      <c r="AJ54" s="18">
        <f>'A) Base RI'!AD54</f>
        <v>0</v>
      </c>
      <c r="AK54" s="18">
        <f>'A) Base RI'!AE54</f>
        <v>0</v>
      </c>
      <c r="AL54" s="18">
        <f>'A) Base RI'!AF54</f>
        <v>0</v>
      </c>
      <c r="AM54" s="18">
        <f>'A) Base RI'!AG54</f>
        <v>0</v>
      </c>
      <c r="AN54" s="18">
        <f>'A) Base RI'!AH54</f>
        <v>0</v>
      </c>
      <c r="AO54" s="18">
        <f>'A) Base RI'!AI54</f>
        <v>0</v>
      </c>
      <c r="AP54" s="18">
        <f>'A) Base RI'!AJ54</f>
        <v>0</v>
      </c>
      <c r="AQ54" s="18">
        <f>'A) Base RI'!AK54</f>
        <v>0</v>
      </c>
      <c r="AR54" s="18">
        <f>'A) Base RI'!AN54</f>
        <v>302</v>
      </c>
    </row>
    <row r="55" spans="1:44" x14ac:dyDescent="0.25">
      <c r="A55" s="13">
        <f>'A) Base RI'!A55</f>
        <v>5484</v>
      </c>
      <c r="B55" s="62" t="str">
        <f>'A) Base RI'!B55</f>
        <v>Gollion</v>
      </c>
      <c r="C55" s="18">
        <f>'A) Base RI'!C55+'A) Base RI'!D55</f>
        <v>1610191.99</v>
      </c>
      <c r="D55" s="18">
        <f>'A) Base RI'!AO55</f>
        <v>-12651.4</v>
      </c>
      <c r="E55" s="61">
        <f>'A) Base RI'!AP55</f>
        <v>0</v>
      </c>
      <c r="F55" s="61">
        <f>'A) Base RI'!AQ55</f>
        <v>-13.36</v>
      </c>
      <c r="G55" s="4">
        <f t="shared" si="0"/>
        <v>1597527.23</v>
      </c>
      <c r="H55" s="18">
        <f>'A) Base RI'!E55</f>
        <v>0</v>
      </c>
      <c r="I55" s="18">
        <f>'A) Base RI'!F55</f>
        <v>0</v>
      </c>
      <c r="J55" s="18">
        <f>'A) Base RI'!G55+'A) Base RI'!H55</f>
        <v>49410</v>
      </c>
      <c r="K55" s="18">
        <f>'A) Base RI'!I55</f>
        <v>0</v>
      </c>
      <c r="L55" s="18">
        <f>'A) Base RI'!J55</f>
        <v>33131.449999999997</v>
      </c>
      <c r="M55" s="18">
        <f>'A) Base RI'!K55</f>
        <v>2368</v>
      </c>
      <c r="N55" s="18">
        <f>'A) Base RI'!Q55</f>
        <v>1721.11</v>
      </c>
      <c r="O55" s="18">
        <f t="shared" si="1"/>
        <v>125203.2</v>
      </c>
      <c r="P55" s="18">
        <f>'A) Base RI'!L55</f>
        <v>125203.2</v>
      </c>
      <c r="Q55" s="64">
        <f>'A) Base RI'!AR55</f>
        <v>1</v>
      </c>
      <c r="R55" s="4">
        <f t="shared" si="2"/>
        <v>1809360.99</v>
      </c>
      <c r="S55" s="63">
        <f>'A) Base RI'!AM55</f>
        <v>74</v>
      </c>
      <c r="T55" s="4">
        <f t="shared" si="3"/>
        <v>1681789.79</v>
      </c>
      <c r="U55" s="4">
        <f t="shared" si="4"/>
        <v>24450.824189189188</v>
      </c>
      <c r="V55" s="18">
        <f>'A) Base RI'!O55</f>
        <v>2516.5</v>
      </c>
      <c r="W55" s="18">
        <f>'A) Base RI'!P55</f>
        <v>80135.100000000006</v>
      </c>
      <c r="X55" s="18">
        <f>'A) Base RI'!R55</f>
        <v>67557.350000000006</v>
      </c>
      <c r="Y55" s="4">
        <f t="shared" si="5"/>
        <v>150208.95000000001</v>
      </c>
      <c r="Z55" s="18">
        <f>'A) Base RI'!N55</f>
        <v>48737.599999999999</v>
      </c>
      <c r="AA55" s="18">
        <f>'A) Base RI'!S55+'A) Base RI'!T55</f>
        <v>187.5</v>
      </c>
      <c r="AB55" s="18">
        <f>'A) Base RI'!U55</f>
        <v>4020</v>
      </c>
      <c r="AC55" s="18">
        <f>'A) Base RI'!V55</f>
        <v>0</v>
      </c>
      <c r="AD55" s="18">
        <f>'A) Base RI'!W55</f>
        <v>0</v>
      </c>
      <c r="AE55" s="18">
        <f>'A) Base RI'!Y55</f>
        <v>262543.5</v>
      </c>
      <c r="AF55" s="18">
        <f>'A) Base RI'!Z55</f>
        <v>0</v>
      </c>
      <c r="AG55" s="18">
        <f>'A) Base RI'!AA55</f>
        <v>105892.45</v>
      </c>
      <c r="AH55" s="18">
        <f>'A) Base RI'!AB55</f>
        <v>0</v>
      </c>
      <c r="AI55" s="18">
        <f>'A) Base RI'!AC55</f>
        <v>59100</v>
      </c>
      <c r="AJ55" s="18">
        <f>'A) Base RI'!AD55</f>
        <v>204586.2</v>
      </c>
      <c r="AK55" s="18">
        <f>'A) Base RI'!AE55</f>
        <v>0</v>
      </c>
      <c r="AL55" s="18">
        <f>'A) Base RI'!AF55</f>
        <v>0</v>
      </c>
      <c r="AM55" s="18">
        <f>'A) Base RI'!AG55</f>
        <v>0</v>
      </c>
      <c r="AN55" s="18">
        <f>'A) Base RI'!AH55</f>
        <v>0</v>
      </c>
      <c r="AO55" s="18">
        <f>'A) Base RI'!AI55</f>
        <v>0</v>
      </c>
      <c r="AP55" s="18">
        <f>'A) Base RI'!AJ55</f>
        <v>0</v>
      </c>
      <c r="AQ55" s="18">
        <f>'A) Base RI'!AK55</f>
        <v>0</v>
      </c>
      <c r="AR55" s="18">
        <f>'A) Base RI'!AN55</f>
        <v>813</v>
      </c>
    </row>
    <row r="56" spans="1:44" x14ac:dyDescent="0.25">
      <c r="A56" s="13">
        <f>'A) Base RI'!A56</f>
        <v>5485</v>
      </c>
      <c r="B56" s="62" t="str">
        <f>'A) Base RI'!B56</f>
        <v>Grancy</v>
      </c>
      <c r="C56" s="18">
        <f>'A) Base RI'!C56+'A) Base RI'!D56</f>
        <v>1181597.6500000001</v>
      </c>
      <c r="D56" s="18">
        <f>'A) Base RI'!AO56</f>
        <v>-7927.32</v>
      </c>
      <c r="E56" s="61">
        <f>'A) Base RI'!AP56</f>
        <v>0</v>
      </c>
      <c r="F56" s="61">
        <f>'A) Base RI'!AQ56</f>
        <v>-157.94</v>
      </c>
      <c r="G56" s="4">
        <f t="shared" si="0"/>
        <v>1173512.3900000001</v>
      </c>
      <c r="H56" s="18">
        <f>'A) Base RI'!E56</f>
        <v>0</v>
      </c>
      <c r="I56" s="18">
        <f>'A) Base RI'!F56</f>
        <v>0</v>
      </c>
      <c r="J56" s="18">
        <f>'A) Base RI'!G56+'A) Base RI'!H56</f>
        <v>9171.6</v>
      </c>
      <c r="K56" s="18">
        <f>'A) Base RI'!I56</f>
        <v>0</v>
      </c>
      <c r="L56" s="18">
        <f>'A) Base RI'!J56</f>
        <v>11640.16</v>
      </c>
      <c r="M56" s="18">
        <f>'A) Base RI'!K56</f>
        <v>225</v>
      </c>
      <c r="N56" s="18">
        <f>'A) Base RI'!Q56</f>
        <v>0</v>
      </c>
      <c r="O56" s="18">
        <f t="shared" si="1"/>
        <v>66290.649999999994</v>
      </c>
      <c r="P56" s="18">
        <f>'A) Base RI'!L56</f>
        <v>66290.649999999994</v>
      </c>
      <c r="Q56" s="64">
        <f>'A) Base RI'!AR56</f>
        <v>1</v>
      </c>
      <c r="R56" s="4">
        <f t="shared" si="2"/>
        <v>1260839.8</v>
      </c>
      <c r="S56" s="63">
        <f>'A) Base RI'!AM56</f>
        <v>70</v>
      </c>
      <c r="T56" s="4">
        <f t="shared" si="3"/>
        <v>1194324.1500000001</v>
      </c>
      <c r="U56" s="4">
        <f t="shared" si="4"/>
        <v>18011.997142857144</v>
      </c>
      <c r="V56" s="18">
        <f>'A) Base RI'!O56</f>
        <v>3929.6</v>
      </c>
      <c r="W56" s="18">
        <f>'A) Base RI'!P56</f>
        <v>41459</v>
      </c>
      <c r="X56" s="18">
        <f>'A) Base RI'!R56</f>
        <v>45587.55</v>
      </c>
      <c r="Y56" s="4">
        <f t="shared" si="5"/>
        <v>90976.15</v>
      </c>
      <c r="Z56" s="18">
        <f>'A) Base RI'!N56</f>
        <v>3931.6</v>
      </c>
      <c r="AA56" s="18">
        <f>'A) Base RI'!S56+'A) Base RI'!T56</f>
        <v>0</v>
      </c>
      <c r="AB56" s="18">
        <f>'A) Base RI'!U56</f>
        <v>1080</v>
      </c>
      <c r="AC56" s="18">
        <f>'A) Base RI'!V56</f>
        <v>0</v>
      </c>
      <c r="AD56" s="18">
        <f>'A) Base RI'!W56</f>
        <v>0</v>
      </c>
      <c r="AE56" s="18">
        <f>'A) Base RI'!Y56</f>
        <v>350</v>
      </c>
      <c r="AF56" s="18">
        <f>'A) Base RI'!Z56</f>
        <v>0</v>
      </c>
      <c r="AG56" s="18">
        <f>'A) Base RI'!AA56</f>
        <v>75612</v>
      </c>
      <c r="AH56" s="18">
        <f>'A) Base RI'!AB56</f>
        <v>0</v>
      </c>
      <c r="AI56" s="18">
        <f>'A) Base RI'!AC56</f>
        <v>27070</v>
      </c>
      <c r="AJ56" s="18">
        <f>'A) Base RI'!AD56</f>
        <v>210</v>
      </c>
      <c r="AK56" s="18">
        <f>'A) Base RI'!AE56</f>
        <v>0</v>
      </c>
      <c r="AL56" s="18">
        <f>'A) Base RI'!AF56</f>
        <v>0</v>
      </c>
      <c r="AM56" s="18">
        <f>'A) Base RI'!AG56</f>
        <v>0</v>
      </c>
      <c r="AN56" s="18">
        <f>'A) Base RI'!AH56</f>
        <v>0</v>
      </c>
      <c r="AO56" s="18">
        <f>'A) Base RI'!AI56</f>
        <v>0</v>
      </c>
      <c r="AP56" s="18">
        <f>'A) Base RI'!AJ56</f>
        <v>0</v>
      </c>
      <c r="AQ56" s="18">
        <f>'A) Base RI'!AK56</f>
        <v>0</v>
      </c>
      <c r="AR56" s="18">
        <f>'A) Base RI'!AN56</f>
        <v>388</v>
      </c>
    </row>
    <row r="57" spans="1:44" x14ac:dyDescent="0.25">
      <c r="A57" s="13">
        <f>'A) Base RI'!A57</f>
        <v>5486</v>
      </c>
      <c r="B57" s="62" t="str">
        <f>'A) Base RI'!B57</f>
        <v>L'Isle</v>
      </c>
      <c r="C57" s="18">
        <f>'A) Base RI'!C57+'A) Base RI'!D57</f>
        <v>1706621.26</v>
      </c>
      <c r="D57" s="18">
        <f>'A) Base RI'!AO57</f>
        <v>-96205.88</v>
      </c>
      <c r="E57" s="61">
        <f>'A) Base RI'!AP57</f>
        <v>0</v>
      </c>
      <c r="F57" s="61">
        <f>'A) Base RI'!AQ57</f>
        <v>-12.08</v>
      </c>
      <c r="G57" s="4">
        <f t="shared" si="0"/>
        <v>1610403.2999999998</v>
      </c>
      <c r="H57" s="18">
        <f>'A) Base RI'!E57</f>
        <v>0</v>
      </c>
      <c r="I57" s="18">
        <f>'A) Base RI'!F57</f>
        <v>0</v>
      </c>
      <c r="J57" s="18">
        <f>'A) Base RI'!G57+'A) Base RI'!H57</f>
        <v>69499.100000000006</v>
      </c>
      <c r="K57" s="18">
        <f>'A) Base RI'!I57</f>
        <v>44072.9</v>
      </c>
      <c r="L57" s="18">
        <f>'A) Base RI'!J57</f>
        <v>19665.59</v>
      </c>
      <c r="M57" s="18">
        <f>'A) Base RI'!K57</f>
        <v>3170</v>
      </c>
      <c r="N57" s="18">
        <f>'A) Base RI'!Q57</f>
        <v>3464.95</v>
      </c>
      <c r="O57" s="18">
        <f t="shared" si="1"/>
        <v>166925.04999999999</v>
      </c>
      <c r="P57" s="18">
        <f>'A) Base RI'!L57</f>
        <v>166925.04999999999</v>
      </c>
      <c r="Q57" s="64">
        <f>'A) Base RI'!AR57</f>
        <v>1</v>
      </c>
      <c r="R57" s="4">
        <f t="shared" si="2"/>
        <v>1917200.89</v>
      </c>
      <c r="S57" s="63">
        <f>'A) Base RI'!AM57</f>
        <v>72</v>
      </c>
      <c r="T57" s="4">
        <f t="shared" si="3"/>
        <v>1747105.8399999999</v>
      </c>
      <c r="U57" s="4">
        <f t="shared" si="4"/>
        <v>26627.790138888886</v>
      </c>
      <c r="V57" s="18">
        <f>'A) Base RI'!O57</f>
        <v>23382.1</v>
      </c>
      <c r="W57" s="18">
        <f>'A) Base RI'!P57</f>
        <v>126820</v>
      </c>
      <c r="X57" s="18">
        <f>'A) Base RI'!R57</f>
        <v>95823.35</v>
      </c>
      <c r="Y57" s="4">
        <f t="shared" si="5"/>
        <v>246025.45</v>
      </c>
      <c r="Z57" s="18">
        <f>'A) Base RI'!N57</f>
        <v>114698.1</v>
      </c>
      <c r="AA57" s="18">
        <f>'A) Base RI'!S57+'A) Base RI'!T57</f>
        <v>1075</v>
      </c>
      <c r="AB57" s="18">
        <f>'A) Base RI'!U57</f>
        <v>9450</v>
      </c>
      <c r="AC57" s="18">
        <f>'A) Base RI'!V57</f>
        <v>0</v>
      </c>
      <c r="AD57" s="18">
        <f>'A) Base RI'!W57</f>
        <v>0</v>
      </c>
      <c r="AE57" s="18">
        <f>'A) Base RI'!Y57</f>
        <v>0</v>
      </c>
      <c r="AF57" s="18">
        <f>'A) Base RI'!Z57</f>
        <v>9041.6</v>
      </c>
      <c r="AG57" s="18">
        <f>'A) Base RI'!AA57</f>
        <v>169162</v>
      </c>
      <c r="AH57" s="18">
        <f>'A) Base RI'!AB57</f>
        <v>0</v>
      </c>
      <c r="AI57" s="18">
        <f>'A) Base RI'!AC57</f>
        <v>89830.3</v>
      </c>
      <c r="AJ57" s="18">
        <f>'A) Base RI'!AD57</f>
        <v>0</v>
      </c>
      <c r="AK57" s="18">
        <f>'A) Base RI'!AE57</f>
        <v>9683.2999999999993</v>
      </c>
      <c r="AL57" s="18">
        <f>'A) Base RI'!AF57</f>
        <v>0</v>
      </c>
      <c r="AM57" s="18">
        <f>'A) Base RI'!AG57</f>
        <v>0</v>
      </c>
      <c r="AN57" s="18">
        <f>'A) Base RI'!AH57</f>
        <v>38657.550000000003</v>
      </c>
      <c r="AO57" s="18">
        <f>'A) Base RI'!AI57</f>
        <v>0</v>
      </c>
      <c r="AP57" s="18">
        <f>'A) Base RI'!AJ57</f>
        <v>0</v>
      </c>
      <c r="AQ57" s="18">
        <f>'A) Base RI'!AK57</f>
        <v>0</v>
      </c>
      <c r="AR57" s="18">
        <f>'A) Base RI'!AN57</f>
        <v>1004</v>
      </c>
    </row>
    <row r="58" spans="1:44" x14ac:dyDescent="0.25">
      <c r="A58" s="13">
        <f>'A) Base RI'!A58</f>
        <v>5487</v>
      </c>
      <c r="B58" s="62" t="str">
        <f>'A) Base RI'!B58</f>
        <v>Lussery-Villars</v>
      </c>
      <c r="C58" s="18">
        <f>'A) Base RI'!C58+'A) Base RI'!D58</f>
        <v>743778.34</v>
      </c>
      <c r="D58" s="18">
        <f>'A) Base RI'!AO58</f>
        <v>-12997.74</v>
      </c>
      <c r="E58" s="61">
        <f>'A) Base RI'!AP58</f>
        <v>0</v>
      </c>
      <c r="F58" s="61">
        <f>'A) Base RI'!AQ58</f>
        <v>0</v>
      </c>
      <c r="G58" s="4">
        <f t="shared" si="0"/>
        <v>730780.6</v>
      </c>
      <c r="H58" s="18">
        <f>'A) Base RI'!E58</f>
        <v>0</v>
      </c>
      <c r="I58" s="18">
        <f>'A) Base RI'!F58</f>
        <v>0</v>
      </c>
      <c r="J58" s="18">
        <f>'A) Base RI'!G58+'A) Base RI'!H58</f>
        <v>111395.8</v>
      </c>
      <c r="K58" s="18">
        <f>'A) Base RI'!I58</f>
        <v>0</v>
      </c>
      <c r="L58" s="18">
        <f>'A) Base RI'!J58</f>
        <v>8347.1299999999992</v>
      </c>
      <c r="M58" s="18">
        <f>'A) Base RI'!K58</f>
        <v>466</v>
      </c>
      <c r="N58" s="18">
        <f>'A) Base RI'!Q58</f>
        <v>9964.6299999999992</v>
      </c>
      <c r="O58" s="18">
        <f t="shared" si="1"/>
        <v>59547.5</v>
      </c>
      <c r="P58" s="18">
        <f>'A) Base RI'!L58</f>
        <v>59547.5</v>
      </c>
      <c r="Q58" s="64">
        <f>'A) Base RI'!AR58</f>
        <v>1</v>
      </c>
      <c r="R58" s="4">
        <f t="shared" si="2"/>
        <v>920501.66</v>
      </c>
      <c r="S58" s="63">
        <f>'A) Base RI'!AM58</f>
        <v>65</v>
      </c>
      <c r="T58" s="4">
        <f t="shared" si="3"/>
        <v>860488.16</v>
      </c>
      <c r="U58" s="4">
        <f t="shared" si="4"/>
        <v>14161.564</v>
      </c>
      <c r="V58" s="18">
        <f>'A) Base RI'!O58</f>
        <v>238.5</v>
      </c>
      <c r="W58" s="18">
        <f>'A) Base RI'!P58</f>
        <v>74013.149999999994</v>
      </c>
      <c r="X58" s="18">
        <f>'A) Base RI'!R58</f>
        <v>40802.15</v>
      </c>
      <c r="Y58" s="4">
        <f t="shared" si="5"/>
        <v>115053.79999999999</v>
      </c>
      <c r="Z58" s="18">
        <v>0</v>
      </c>
      <c r="AA58" s="18">
        <f>'A) Base RI'!S58+'A) Base RI'!T58</f>
        <v>7.5</v>
      </c>
      <c r="AB58" s="18">
        <f>'A) Base RI'!U58</f>
        <v>1770</v>
      </c>
      <c r="AC58" s="18">
        <f>'A) Base RI'!V58</f>
        <v>0</v>
      </c>
      <c r="AD58" s="18">
        <f>'A) Base RI'!W58</f>
        <v>0</v>
      </c>
      <c r="AE58" s="18">
        <f>'A) Base RI'!Y58</f>
        <v>0</v>
      </c>
      <c r="AF58" s="18">
        <f>'A) Base RI'!Z58</f>
        <v>0</v>
      </c>
      <c r="AG58" s="18">
        <f>'A) Base RI'!AA58</f>
        <v>36133</v>
      </c>
      <c r="AH58" s="18">
        <f>'A) Base RI'!AB58</f>
        <v>0</v>
      </c>
      <c r="AI58" s="18">
        <f>'A) Base RI'!AC58</f>
        <v>34750</v>
      </c>
      <c r="AJ58" s="18">
        <f>'A) Base RI'!AD58</f>
        <v>2425</v>
      </c>
      <c r="AK58" s="18">
        <f>'A) Base RI'!AE58</f>
        <v>0</v>
      </c>
      <c r="AL58" s="18">
        <f>'A) Base RI'!AF58</f>
        <v>0</v>
      </c>
      <c r="AM58" s="18">
        <f>'A) Base RI'!AG58</f>
        <v>548</v>
      </c>
      <c r="AN58" s="18">
        <f>'A) Base RI'!AH58</f>
        <v>8660.0499999999993</v>
      </c>
      <c r="AO58" s="18">
        <f>'A) Base RI'!AI58</f>
        <v>0</v>
      </c>
      <c r="AP58" s="18">
        <f>'A) Base RI'!AJ58</f>
        <v>0</v>
      </c>
      <c r="AQ58" s="18">
        <f>'A) Base RI'!AK58</f>
        <v>0</v>
      </c>
      <c r="AR58" s="18">
        <f>'A) Base RI'!AN58</f>
        <v>404</v>
      </c>
    </row>
    <row r="59" spans="1:44" x14ac:dyDescent="0.25">
      <c r="A59" s="13">
        <f>'A) Base RI'!A59</f>
        <v>5488</v>
      </c>
      <c r="B59" s="62" t="str">
        <f>'A) Base RI'!B59</f>
        <v>Mauraz</v>
      </c>
      <c r="C59" s="18">
        <f>'A) Base RI'!C59+'A) Base RI'!D59</f>
        <v>111032.57</v>
      </c>
      <c r="D59" s="18">
        <f>'A) Base RI'!AO59</f>
        <v>-43.14</v>
      </c>
      <c r="E59" s="61">
        <f>'A) Base RI'!AP59</f>
        <v>0</v>
      </c>
      <c r="F59" s="61">
        <f>'A) Base RI'!AQ59</f>
        <v>0</v>
      </c>
      <c r="G59" s="4">
        <f t="shared" si="0"/>
        <v>110989.43000000001</v>
      </c>
      <c r="H59" s="18">
        <f>'A) Base RI'!E59</f>
        <v>0</v>
      </c>
      <c r="I59" s="18">
        <f>'A) Base RI'!F59</f>
        <v>0</v>
      </c>
      <c r="J59" s="18">
        <f>'A) Base RI'!G59+'A) Base RI'!H59</f>
        <v>2518.35</v>
      </c>
      <c r="K59" s="18">
        <f>'A) Base RI'!I59</f>
        <v>0</v>
      </c>
      <c r="L59" s="18">
        <f>'A) Base RI'!J59</f>
        <v>0</v>
      </c>
      <c r="M59" s="18">
        <f>'A) Base RI'!K59</f>
        <v>0</v>
      </c>
      <c r="N59" s="18">
        <f>'A) Base RI'!Q59</f>
        <v>0</v>
      </c>
      <c r="O59" s="18">
        <f t="shared" si="1"/>
        <v>8474</v>
      </c>
      <c r="P59" s="18">
        <f>'A) Base RI'!L59</f>
        <v>8474</v>
      </c>
      <c r="Q59" s="64">
        <f>'A) Base RI'!AR59</f>
        <v>1</v>
      </c>
      <c r="R59" s="4">
        <f t="shared" si="2"/>
        <v>121981.78000000001</v>
      </c>
      <c r="S59" s="63">
        <f>'A) Base RI'!AM59</f>
        <v>74</v>
      </c>
      <c r="T59" s="4">
        <f t="shared" si="3"/>
        <v>113507.78000000001</v>
      </c>
      <c r="U59" s="4">
        <f t="shared" si="4"/>
        <v>1648.4024324324325</v>
      </c>
      <c r="V59" s="18">
        <f>'A) Base RI'!O59</f>
        <v>0</v>
      </c>
      <c r="W59" s="18">
        <f>'A) Base RI'!P59</f>
        <v>0</v>
      </c>
      <c r="X59" s="18">
        <f>'A) Base RI'!R59</f>
        <v>0</v>
      </c>
      <c r="Y59" s="4">
        <f t="shared" si="5"/>
        <v>0</v>
      </c>
      <c r="Z59" s="18">
        <f>'A) Base RI'!N59</f>
        <v>0</v>
      </c>
      <c r="AA59" s="18">
        <f>'A) Base RI'!S59+'A) Base RI'!T59</f>
        <v>0</v>
      </c>
      <c r="AB59" s="18">
        <f>'A) Base RI'!U59</f>
        <v>0</v>
      </c>
      <c r="AC59" s="18">
        <f>'A) Base RI'!V59</f>
        <v>100</v>
      </c>
      <c r="AD59" s="18">
        <f>'A) Base RI'!W59</f>
        <v>0</v>
      </c>
      <c r="AE59" s="18">
        <f>'A) Base RI'!Y59</f>
        <v>0</v>
      </c>
      <c r="AF59" s="18">
        <f>'A) Base RI'!Z59</f>
        <v>0</v>
      </c>
      <c r="AG59" s="18">
        <f>'A) Base RI'!AA59</f>
        <v>6450</v>
      </c>
      <c r="AH59" s="18">
        <f>'A) Base RI'!AB59</f>
        <v>0</v>
      </c>
      <c r="AI59" s="18">
        <f>'A) Base RI'!AC59</f>
        <v>5010</v>
      </c>
      <c r="AJ59" s="18">
        <f>'A) Base RI'!AD59</f>
        <v>0</v>
      </c>
      <c r="AK59" s="18">
        <f>'A) Base RI'!AE59</f>
        <v>0</v>
      </c>
      <c r="AL59" s="18">
        <f>'A) Base RI'!AF59</f>
        <v>0</v>
      </c>
      <c r="AM59" s="18">
        <f>'A) Base RI'!AG59</f>
        <v>0</v>
      </c>
      <c r="AN59" s="18">
        <f>'A) Base RI'!AH59</f>
        <v>0</v>
      </c>
      <c r="AO59" s="18">
        <f>'A) Base RI'!AI59</f>
        <v>0</v>
      </c>
      <c r="AP59" s="18">
        <f>'A) Base RI'!AJ59</f>
        <v>0</v>
      </c>
      <c r="AQ59" s="18">
        <f>'A) Base RI'!AK59</f>
        <v>0</v>
      </c>
      <c r="AR59" s="18">
        <f>'A) Base RI'!AN59</f>
        <v>49</v>
      </c>
    </row>
    <row r="60" spans="1:44" x14ac:dyDescent="0.25">
      <c r="A60" s="13">
        <f>'A) Base RI'!A60</f>
        <v>5489</v>
      </c>
      <c r="B60" s="62" t="str">
        <f>'A) Base RI'!B60</f>
        <v>Mex</v>
      </c>
      <c r="C60" s="18">
        <f>'A) Base RI'!C60+'A) Base RI'!D60</f>
        <v>3034193.83</v>
      </c>
      <c r="D60" s="18">
        <f>'A) Base RI'!AO60</f>
        <v>-70905.38</v>
      </c>
      <c r="E60" s="61">
        <f>'A) Base RI'!AP60</f>
        <v>0</v>
      </c>
      <c r="F60" s="61">
        <f>'A) Base RI'!AQ60</f>
        <v>-3.73</v>
      </c>
      <c r="G60" s="4">
        <f t="shared" si="0"/>
        <v>2963284.72</v>
      </c>
      <c r="H60" s="18">
        <f>'A) Base RI'!E60</f>
        <v>0</v>
      </c>
      <c r="I60" s="18">
        <f>'A) Base RI'!F60</f>
        <v>0</v>
      </c>
      <c r="J60" s="18">
        <f>'A) Base RI'!G60+'A) Base RI'!H60</f>
        <v>88515.8</v>
      </c>
      <c r="K60" s="18">
        <f>'A) Base RI'!I60</f>
        <v>0</v>
      </c>
      <c r="L60" s="18">
        <f>'A) Base RI'!J60</f>
        <v>-7317.58</v>
      </c>
      <c r="M60" s="18">
        <f>'A) Base RI'!K60</f>
        <v>4580</v>
      </c>
      <c r="N60" s="18">
        <f>'A) Base RI'!Q60</f>
        <v>7609.09</v>
      </c>
      <c r="O60" s="18">
        <f t="shared" si="1"/>
        <v>233217.55</v>
      </c>
      <c r="P60" s="18">
        <f>'A) Base RI'!L60</f>
        <v>233217.55</v>
      </c>
      <c r="Q60" s="64">
        <f>'A) Base RI'!AR60</f>
        <v>1</v>
      </c>
      <c r="R60" s="4">
        <f t="shared" si="2"/>
        <v>3289889.5799999996</v>
      </c>
      <c r="S60" s="63">
        <f>'A) Base RI'!AM60</f>
        <v>61</v>
      </c>
      <c r="T60" s="4">
        <f t="shared" si="3"/>
        <v>3052092.03</v>
      </c>
      <c r="U60" s="4">
        <f t="shared" si="4"/>
        <v>53932.616065573762</v>
      </c>
      <c r="V60" s="18">
        <v>0</v>
      </c>
      <c r="W60" s="18">
        <f>'A) Base RI'!P60</f>
        <v>23952.5</v>
      </c>
      <c r="X60" s="18">
        <f>'A) Base RI'!R60</f>
        <v>77273.25</v>
      </c>
      <c r="Y60" s="4">
        <f t="shared" si="5"/>
        <v>101225.75</v>
      </c>
      <c r="Z60" s="18">
        <f>'A) Base RI'!N60</f>
        <v>134667.9</v>
      </c>
      <c r="AA60" s="18">
        <f>'A) Base RI'!S60+'A) Base RI'!T60</f>
        <v>125</v>
      </c>
      <c r="AB60" s="18">
        <f>'A) Base RI'!U60</f>
        <v>2610</v>
      </c>
      <c r="AC60" s="18">
        <f>'A) Base RI'!V60</f>
        <v>0</v>
      </c>
      <c r="AD60" s="18">
        <f>'A) Base RI'!W60</f>
        <v>0</v>
      </c>
      <c r="AE60" s="18">
        <f>'A) Base RI'!Y60</f>
        <v>24277.05</v>
      </c>
      <c r="AF60" s="18">
        <f>'A) Base RI'!Z60</f>
        <v>0</v>
      </c>
      <c r="AG60" s="18">
        <f>'A) Base RI'!AA60</f>
        <v>140181.6</v>
      </c>
      <c r="AH60" s="18">
        <f>'A) Base RI'!AB60</f>
        <v>0</v>
      </c>
      <c r="AI60" s="18">
        <f>'A) Base RI'!AC60</f>
        <v>43720</v>
      </c>
      <c r="AJ60" s="18">
        <f>'A) Base RI'!AD60</f>
        <v>68555.55</v>
      </c>
      <c r="AK60" s="18">
        <f>'A) Base RI'!AE60</f>
        <v>0</v>
      </c>
      <c r="AL60" s="18">
        <f>'A) Base RI'!AF60</f>
        <v>0</v>
      </c>
      <c r="AM60" s="18">
        <f>'A) Base RI'!AG60</f>
        <v>0</v>
      </c>
      <c r="AN60" s="18">
        <f>'A) Base RI'!AH60</f>
        <v>0</v>
      </c>
      <c r="AO60" s="18">
        <f>'A) Base RI'!AI60</f>
        <v>0</v>
      </c>
      <c r="AP60" s="18">
        <f>'A) Base RI'!AJ60</f>
        <v>0</v>
      </c>
      <c r="AQ60" s="18">
        <f>'A) Base RI'!AK60</f>
        <v>0</v>
      </c>
      <c r="AR60" s="18">
        <f>'A) Base RI'!AN60</f>
        <v>670</v>
      </c>
    </row>
    <row r="61" spans="1:44" x14ac:dyDescent="0.25">
      <c r="A61" s="13">
        <f>'A) Base RI'!A61</f>
        <v>5490</v>
      </c>
      <c r="B61" s="62" t="str">
        <f>'A) Base RI'!B61</f>
        <v>Moiry</v>
      </c>
      <c r="C61" s="18">
        <f>'A) Base RI'!C61+'A) Base RI'!D61</f>
        <v>545996.15</v>
      </c>
      <c r="D61" s="18">
        <f>'A) Base RI'!AO61</f>
        <v>-11297.17</v>
      </c>
      <c r="E61" s="61">
        <f>'A) Base RI'!AP61</f>
        <v>0</v>
      </c>
      <c r="F61" s="61">
        <f>'A) Base RI'!AQ61</f>
        <v>-148.41</v>
      </c>
      <c r="G61" s="4">
        <f t="shared" si="0"/>
        <v>534550.56999999995</v>
      </c>
      <c r="H61" s="18">
        <f>'A) Base RI'!E61</f>
        <v>0</v>
      </c>
      <c r="I61" s="18">
        <f>'A) Base RI'!F61</f>
        <v>0</v>
      </c>
      <c r="J61" s="18">
        <f>'A) Base RI'!G61+'A) Base RI'!H61</f>
        <v>1519.55</v>
      </c>
      <c r="K61" s="18">
        <f>'A) Base RI'!I61</f>
        <v>0</v>
      </c>
      <c r="L61" s="18">
        <f>'A) Base RI'!J61</f>
        <v>5854.62</v>
      </c>
      <c r="M61" s="18">
        <f>'A) Base RI'!K61</f>
        <v>0</v>
      </c>
      <c r="N61" s="18">
        <f>'A) Base RI'!Q61</f>
        <v>1670.26</v>
      </c>
      <c r="O61" s="18">
        <f t="shared" si="1"/>
        <v>35573.300000000003</v>
      </c>
      <c r="P61" s="18">
        <f>'A) Base RI'!L61</f>
        <v>35573.300000000003</v>
      </c>
      <c r="Q61" s="64">
        <f>'A) Base RI'!AR61</f>
        <v>1</v>
      </c>
      <c r="R61" s="4">
        <f t="shared" si="2"/>
        <v>579168.30000000005</v>
      </c>
      <c r="S61" s="63">
        <f>'A) Base RI'!AM61</f>
        <v>81</v>
      </c>
      <c r="T61" s="4">
        <f t="shared" si="3"/>
        <v>543595</v>
      </c>
      <c r="U61" s="4">
        <f t="shared" si="4"/>
        <v>7150.2259259259263</v>
      </c>
      <c r="V61" s="18">
        <f>'A) Base RI'!O61</f>
        <v>9.6</v>
      </c>
      <c r="W61" s="18">
        <f>'A) Base RI'!P61</f>
        <v>26558.7</v>
      </c>
      <c r="X61" s="18">
        <f>'A) Base RI'!R61</f>
        <v>44603.8</v>
      </c>
      <c r="Y61" s="4">
        <f t="shared" si="5"/>
        <v>71172.100000000006</v>
      </c>
      <c r="Z61" s="18">
        <f>'A) Base RI'!N61</f>
        <v>0</v>
      </c>
      <c r="AA61" s="18">
        <f>'A) Base RI'!S61+'A) Base RI'!T61</f>
        <v>62.5</v>
      </c>
      <c r="AB61" s="18">
        <f>'A) Base RI'!U61</f>
        <v>1080</v>
      </c>
      <c r="AC61" s="18">
        <f>'A) Base RI'!V61</f>
        <v>0</v>
      </c>
      <c r="AD61" s="18">
        <f>'A) Base RI'!W61</f>
        <v>0</v>
      </c>
      <c r="AE61" s="18">
        <f>'A) Base RI'!Y61</f>
        <v>590</v>
      </c>
      <c r="AF61" s="18">
        <f>'A) Base RI'!Z61</f>
        <v>0</v>
      </c>
      <c r="AG61" s="18">
        <f>'A) Base RI'!AA61</f>
        <v>8939</v>
      </c>
      <c r="AH61" s="18">
        <f>'A) Base RI'!AB61</f>
        <v>0</v>
      </c>
      <c r="AI61" s="18">
        <f>'A) Base RI'!AC61</f>
        <v>24102</v>
      </c>
      <c r="AJ61" s="18">
        <f>'A) Base RI'!AD61</f>
        <v>2100</v>
      </c>
      <c r="AK61" s="18">
        <f>'A) Base RI'!AE61</f>
        <v>0</v>
      </c>
      <c r="AL61" s="18">
        <f>'A) Base RI'!AF61</f>
        <v>0</v>
      </c>
      <c r="AM61" s="18">
        <f>'A) Base RI'!AG61</f>
        <v>0</v>
      </c>
      <c r="AN61" s="18">
        <f>'A) Base RI'!AH61</f>
        <v>6614</v>
      </c>
      <c r="AO61" s="18">
        <f>'A) Base RI'!AI61</f>
        <v>0</v>
      </c>
      <c r="AP61" s="18">
        <f>'A) Base RI'!AJ61</f>
        <v>0</v>
      </c>
      <c r="AQ61" s="18">
        <f>'A) Base RI'!AK61</f>
        <v>0</v>
      </c>
      <c r="AR61" s="18">
        <f>'A) Base RI'!AN61</f>
        <v>263</v>
      </c>
    </row>
    <row r="62" spans="1:44" x14ac:dyDescent="0.25">
      <c r="A62" s="13">
        <f>'A) Base RI'!A62</f>
        <v>5491</v>
      </c>
      <c r="B62" s="62" t="str">
        <f>'A) Base RI'!B62</f>
        <v>Mont-la-Ville</v>
      </c>
      <c r="C62" s="18">
        <f>'A) Base RI'!C62+'A) Base RI'!D62</f>
        <v>619052.04999999993</v>
      </c>
      <c r="D62" s="18">
        <f>'A) Base RI'!AO62</f>
        <v>-38471.230000000003</v>
      </c>
      <c r="E62" s="61">
        <f>'A) Base RI'!AP62</f>
        <v>0</v>
      </c>
      <c r="F62" s="61">
        <f>'A) Base RI'!AQ62</f>
        <v>0</v>
      </c>
      <c r="G62" s="4">
        <f t="shared" si="0"/>
        <v>580580.81999999995</v>
      </c>
      <c r="H62" s="18">
        <f>'A) Base RI'!E62</f>
        <v>0</v>
      </c>
      <c r="I62" s="18">
        <f>'A) Base RI'!F62</f>
        <v>1900</v>
      </c>
      <c r="J62" s="18">
        <f>'A) Base RI'!G62+'A) Base RI'!H62</f>
        <v>2626.15</v>
      </c>
      <c r="K62" s="18">
        <f>'A) Base RI'!I62</f>
        <v>0</v>
      </c>
      <c r="L62" s="18">
        <f>'A) Base RI'!J62</f>
        <v>12793.94</v>
      </c>
      <c r="M62" s="18">
        <f>'A) Base RI'!K62</f>
        <v>425</v>
      </c>
      <c r="N62" s="18">
        <f>'A) Base RI'!Q62</f>
        <v>40288.54</v>
      </c>
      <c r="O62" s="18">
        <f t="shared" si="1"/>
        <v>57397.45</v>
      </c>
      <c r="P62" s="18">
        <f>'A) Base RI'!L62</f>
        <v>57397.45</v>
      </c>
      <c r="Q62" s="64">
        <f>'A) Base RI'!AR62</f>
        <v>1</v>
      </c>
      <c r="R62" s="4">
        <f t="shared" si="2"/>
        <v>696011.89999999991</v>
      </c>
      <c r="S62" s="63">
        <f>'A) Base RI'!AM62</f>
        <v>76</v>
      </c>
      <c r="T62" s="4">
        <f t="shared" si="3"/>
        <v>636289.44999999995</v>
      </c>
      <c r="U62" s="4">
        <f t="shared" si="4"/>
        <v>9158.0513157894729</v>
      </c>
      <c r="V62" s="18">
        <v>0</v>
      </c>
      <c r="W62" s="18">
        <f>'A) Base RI'!P62</f>
        <v>83982.15</v>
      </c>
      <c r="X62" s="18">
        <f>'A) Base RI'!R62</f>
        <v>76659.95</v>
      </c>
      <c r="Y62" s="4">
        <f t="shared" si="5"/>
        <v>160642.09999999998</v>
      </c>
      <c r="Z62" s="18">
        <v>0</v>
      </c>
      <c r="AA62" s="18">
        <f>'A) Base RI'!S62+'A) Base RI'!T62</f>
        <v>25</v>
      </c>
      <c r="AB62" s="18">
        <f>'A) Base RI'!U62</f>
        <v>4110</v>
      </c>
      <c r="AC62" s="18">
        <f>'A) Base RI'!V62</f>
        <v>0</v>
      </c>
      <c r="AD62" s="18">
        <f>'A) Base RI'!W62</f>
        <v>0</v>
      </c>
      <c r="AE62" s="18">
        <f>'A) Base RI'!Y62</f>
        <v>0</v>
      </c>
      <c r="AF62" s="18">
        <f>'A) Base RI'!Z62</f>
        <v>0</v>
      </c>
      <c r="AG62" s="18">
        <f>'A) Base RI'!AA62</f>
        <v>44113</v>
      </c>
      <c r="AH62" s="18">
        <f>'A) Base RI'!AB62</f>
        <v>0</v>
      </c>
      <c r="AI62" s="18">
        <f>'A) Base RI'!AC62</f>
        <v>31600</v>
      </c>
      <c r="AJ62" s="18">
        <f>'A) Base RI'!AD62</f>
        <v>0</v>
      </c>
      <c r="AK62" s="18">
        <f>'A) Base RI'!AE62</f>
        <v>0</v>
      </c>
      <c r="AL62" s="18">
        <f>'A) Base RI'!AF62</f>
        <v>0</v>
      </c>
      <c r="AM62" s="18">
        <f>'A) Base RI'!AG62</f>
        <v>0</v>
      </c>
      <c r="AN62" s="18">
        <f>'A) Base RI'!AH62</f>
        <v>10935.65</v>
      </c>
      <c r="AO62" s="18">
        <f>'A) Base RI'!AI62</f>
        <v>0</v>
      </c>
      <c r="AP62" s="18">
        <f>'A) Base RI'!AJ62</f>
        <v>0</v>
      </c>
      <c r="AQ62" s="18">
        <f>'A) Base RI'!AK62</f>
        <v>0</v>
      </c>
      <c r="AR62" s="18">
        <f>'A) Base RI'!AN62</f>
        <v>372</v>
      </c>
    </row>
    <row r="63" spans="1:44" x14ac:dyDescent="0.25">
      <c r="A63" s="13">
        <f>'A) Base RI'!A63</f>
        <v>5492</v>
      </c>
      <c r="B63" s="62" t="str">
        <f>'A) Base RI'!B63</f>
        <v>Montricher</v>
      </c>
      <c r="C63" s="18">
        <f>'A) Base RI'!C63+'A) Base RI'!D63</f>
        <v>9349443.1799999997</v>
      </c>
      <c r="D63" s="18">
        <f>'A) Base RI'!AO63</f>
        <v>-34272.400000000001</v>
      </c>
      <c r="E63" s="61">
        <f>'A) Base RI'!AP63</f>
        <v>0</v>
      </c>
      <c r="F63" s="61">
        <f>'A) Base RI'!AQ63</f>
        <v>-2597.91</v>
      </c>
      <c r="G63" s="4">
        <f t="shared" si="0"/>
        <v>9312572.8699999992</v>
      </c>
      <c r="H63" s="18">
        <f>'A) Base RI'!E63</f>
        <v>0</v>
      </c>
      <c r="I63" s="18">
        <f>'A) Base RI'!F63</f>
        <v>0</v>
      </c>
      <c r="J63" s="18">
        <f>'A) Base RI'!G63+'A) Base RI'!H63</f>
        <v>87800.849999999991</v>
      </c>
      <c r="K63" s="18">
        <f>'A) Base RI'!I63</f>
        <v>37230.75</v>
      </c>
      <c r="L63" s="18">
        <f>'A) Base RI'!J63</f>
        <v>50716.66</v>
      </c>
      <c r="M63" s="18">
        <f>'A) Base RI'!K63</f>
        <v>1221</v>
      </c>
      <c r="N63" s="18">
        <f>'A) Base RI'!Q63</f>
        <v>-1510.54</v>
      </c>
      <c r="O63" s="18">
        <f t="shared" si="1"/>
        <v>142329.5</v>
      </c>
      <c r="P63" s="18">
        <f>'A) Base RI'!L63</f>
        <v>42698.85</v>
      </c>
      <c r="Q63" s="64">
        <f>'A) Base RI'!AR63</f>
        <v>0.3</v>
      </c>
      <c r="R63" s="4">
        <f t="shared" si="2"/>
        <v>9630361.0899999999</v>
      </c>
      <c r="S63" s="63">
        <f>'A) Base RI'!AM63</f>
        <v>64</v>
      </c>
      <c r="T63" s="4">
        <f t="shared" si="3"/>
        <v>9486810.5899999999</v>
      </c>
      <c r="U63" s="4">
        <f t="shared" si="4"/>
        <v>150474.39203125</v>
      </c>
      <c r="V63" s="18">
        <f>'A) Base RI'!O63</f>
        <v>216870.5</v>
      </c>
      <c r="W63" s="18">
        <f>'A) Base RI'!P63</f>
        <v>129309.35</v>
      </c>
      <c r="X63" s="18">
        <f>'A) Base RI'!R63</f>
        <v>79024.45</v>
      </c>
      <c r="Y63" s="4">
        <f t="shared" si="5"/>
        <v>425204.3</v>
      </c>
      <c r="Z63" s="18">
        <f>'A) Base RI'!N63</f>
        <v>3795.9</v>
      </c>
      <c r="AA63" s="18">
        <f>'A) Base RI'!S63+'A) Base RI'!T63</f>
        <v>0</v>
      </c>
      <c r="AB63" s="18">
        <f>'A) Base RI'!U63</f>
        <v>4710</v>
      </c>
      <c r="AC63" s="18">
        <f>'A) Base RI'!V63</f>
        <v>0</v>
      </c>
      <c r="AD63" s="18">
        <f>'A) Base RI'!W63</f>
        <v>0</v>
      </c>
      <c r="AE63" s="18">
        <f>'A) Base RI'!Y63</f>
        <v>2614.9499999999998</v>
      </c>
      <c r="AF63" s="18">
        <f>'A) Base RI'!Z63</f>
        <v>0</v>
      </c>
      <c r="AG63" s="18">
        <f>'A) Base RI'!AA63</f>
        <v>19320</v>
      </c>
      <c r="AH63" s="18">
        <f>'A) Base RI'!AB63</f>
        <v>0</v>
      </c>
      <c r="AI63" s="18">
        <f>'A) Base RI'!AC63</f>
        <v>29990</v>
      </c>
      <c r="AJ63" s="18">
        <f>'A) Base RI'!AD63</f>
        <v>2614.9499999999998</v>
      </c>
      <c r="AK63" s="18">
        <f>'A) Base RI'!AE63</f>
        <v>0</v>
      </c>
      <c r="AL63" s="18">
        <f>'A) Base RI'!AF63</f>
        <v>0</v>
      </c>
      <c r="AM63" s="18">
        <f>'A) Base RI'!AG63</f>
        <v>0</v>
      </c>
      <c r="AN63" s="18">
        <f>'A) Base RI'!AH63</f>
        <v>0</v>
      </c>
      <c r="AO63" s="18">
        <f>'A) Base RI'!AI63</f>
        <v>0</v>
      </c>
      <c r="AP63" s="18">
        <f>'A) Base RI'!AJ63</f>
        <v>0</v>
      </c>
      <c r="AQ63" s="18">
        <f>'A) Base RI'!AK63</f>
        <v>0</v>
      </c>
      <c r="AR63" s="18">
        <f>'A) Base RI'!AN63</f>
        <v>930</v>
      </c>
    </row>
    <row r="64" spans="1:44" x14ac:dyDescent="0.25">
      <c r="A64" s="13">
        <f>'A) Base RI'!A64</f>
        <v>5493</v>
      </c>
      <c r="B64" s="62" t="str">
        <f>'A) Base RI'!B64</f>
        <v>Orny</v>
      </c>
      <c r="C64" s="18">
        <f>'A) Base RI'!C64+'A) Base RI'!D64</f>
        <v>617557.78</v>
      </c>
      <c r="D64" s="18">
        <f>'A) Base RI'!AO64</f>
        <v>-14096.02</v>
      </c>
      <c r="E64" s="61">
        <f>'A) Base RI'!AP64</f>
        <v>0</v>
      </c>
      <c r="F64" s="61">
        <f>'A) Base RI'!AQ64</f>
        <v>-0.7</v>
      </c>
      <c r="G64" s="4">
        <f t="shared" si="0"/>
        <v>603461.06000000006</v>
      </c>
      <c r="H64" s="18">
        <f>'A) Base RI'!E64</f>
        <v>0</v>
      </c>
      <c r="I64" s="18">
        <f>'A) Base RI'!F64</f>
        <v>0</v>
      </c>
      <c r="J64" s="18">
        <f>'A) Base RI'!G64+'A) Base RI'!H64</f>
        <v>6591.95</v>
      </c>
      <c r="K64" s="18">
        <f>'A) Base RI'!I64</f>
        <v>0</v>
      </c>
      <c r="L64" s="18">
        <f>'A) Base RI'!J64</f>
        <v>28584.25</v>
      </c>
      <c r="M64" s="18">
        <f>'A) Base RI'!K64</f>
        <v>134.5</v>
      </c>
      <c r="N64" s="18">
        <f>'A) Base RI'!Q64</f>
        <v>4422.8500000000004</v>
      </c>
      <c r="O64" s="18">
        <f t="shared" si="1"/>
        <v>48478.538461538461</v>
      </c>
      <c r="P64" s="18">
        <f>'A) Base RI'!L64</f>
        <v>31511.05</v>
      </c>
      <c r="Q64" s="64">
        <f>'A) Base RI'!AR64</f>
        <v>0.65</v>
      </c>
      <c r="R64" s="4">
        <f t="shared" si="2"/>
        <v>691673.14846153848</v>
      </c>
      <c r="S64" s="63">
        <f>'A) Base RI'!AM64</f>
        <v>73</v>
      </c>
      <c r="T64" s="4">
        <f t="shared" si="3"/>
        <v>643060.11</v>
      </c>
      <c r="U64" s="4">
        <f t="shared" si="4"/>
        <v>9474.9746364594321</v>
      </c>
      <c r="V64" s="18">
        <f>'A) Base RI'!O64</f>
        <v>31250</v>
      </c>
      <c r="W64" s="18">
        <f>'A) Base RI'!P64</f>
        <v>14145.15</v>
      </c>
      <c r="X64" s="18">
        <f>'A) Base RI'!R64</f>
        <v>10118.65</v>
      </c>
      <c r="Y64" s="4">
        <f t="shared" si="5"/>
        <v>55513.8</v>
      </c>
      <c r="Z64" s="18">
        <f>'A) Base RI'!N64</f>
        <v>59463</v>
      </c>
      <c r="AA64" s="18">
        <f>'A) Base RI'!S64+'A) Base RI'!T64</f>
        <v>0</v>
      </c>
      <c r="AB64" s="18">
        <f>'A) Base RI'!U64</f>
        <v>1625</v>
      </c>
      <c r="AC64" s="18">
        <f>'A) Base RI'!V64</f>
        <v>0</v>
      </c>
      <c r="AD64" s="18">
        <f>'A) Base RI'!W64</f>
        <v>0</v>
      </c>
      <c r="AE64" s="18">
        <f>'A) Base RI'!Y64</f>
        <v>0</v>
      </c>
      <c r="AF64" s="18">
        <f>'A) Base RI'!Z64</f>
        <v>920</v>
      </c>
      <c r="AG64" s="18">
        <f>'A) Base RI'!AA64</f>
        <v>53827</v>
      </c>
      <c r="AH64" s="18">
        <f>'A) Base RI'!AB64</f>
        <v>0</v>
      </c>
      <c r="AI64" s="18">
        <f>'A) Base RI'!AC64</f>
        <v>16504</v>
      </c>
      <c r="AJ64" s="18">
        <f>'A) Base RI'!AD64</f>
        <v>0</v>
      </c>
      <c r="AK64" s="18">
        <f>'A) Base RI'!AE64</f>
        <v>0</v>
      </c>
      <c r="AL64" s="18">
        <f>'A) Base RI'!AF64</f>
        <v>0</v>
      </c>
      <c r="AM64" s="18">
        <f>'A) Base RI'!AG64</f>
        <v>0</v>
      </c>
      <c r="AN64" s="18">
        <f>'A) Base RI'!AH64</f>
        <v>0</v>
      </c>
      <c r="AO64" s="18">
        <f>'A) Base RI'!AI64</f>
        <v>0</v>
      </c>
      <c r="AP64" s="18">
        <f>'A) Base RI'!AJ64</f>
        <v>0</v>
      </c>
      <c r="AQ64" s="18">
        <f>'A) Base RI'!AK64</f>
        <v>0</v>
      </c>
      <c r="AR64" s="18">
        <f>'A) Base RI'!AN64</f>
        <v>364</v>
      </c>
    </row>
    <row r="65" spans="1:44" x14ac:dyDescent="0.25">
      <c r="A65" s="13">
        <f>'A) Base RI'!A65</f>
        <v>5494</v>
      </c>
      <c r="B65" s="62" t="str">
        <f>'A) Base RI'!B65</f>
        <v>Pampigny</v>
      </c>
      <c r="C65" s="18">
        <f>'A) Base RI'!C65+'A) Base RI'!D65</f>
        <v>2327249.84</v>
      </c>
      <c r="D65" s="18">
        <f>'A) Base RI'!AO65</f>
        <v>-34173.910000000003</v>
      </c>
      <c r="E65" s="61">
        <f>'A) Base RI'!AP65</f>
        <v>0</v>
      </c>
      <c r="F65" s="61">
        <f>'A) Base RI'!AQ65</f>
        <v>-48.58</v>
      </c>
      <c r="G65" s="4">
        <f t="shared" si="0"/>
        <v>2293027.3499999996</v>
      </c>
      <c r="H65" s="18">
        <f>'A) Base RI'!E65</f>
        <v>0</v>
      </c>
      <c r="I65" s="18">
        <f>'A) Base RI'!F65</f>
        <v>0</v>
      </c>
      <c r="J65" s="18">
        <f>'A) Base RI'!G65+'A) Base RI'!H65</f>
        <v>22590.9</v>
      </c>
      <c r="K65" s="18">
        <f>'A) Base RI'!I65</f>
        <v>0</v>
      </c>
      <c r="L65" s="18">
        <f>'A) Base RI'!J65</f>
        <v>90971.64</v>
      </c>
      <c r="M65" s="18">
        <f>'A) Base RI'!K65</f>
        <v>1478.7</v>
      </c>
      <c r="N65" s="18">
        <f>'A) Base RI'!Q65</f>
        <v>19903.29</v>
      </c>
      <c r="O65" s="18">
        <f t="shared" si="1"/>
        <v>190939.76190476189</v>
      </c>
      <c r="P65" s="18">
        <f>'A) Base RI'!L65</f>
        <v>200486.75</v>
      </c>
      <c r="Q65" s="64">
        <f>'A) Base RI'!AR65</f>
        <v>1.05</v>
      </c>
      <c r="R65" s="4">
        <f t="shared" si="2"/>
        <v>2618911.641904762</v>
      </c>
      <c r="S65" s="63">
        <f>'A) Base RI'!AM65</f>
        <v>75</v>
      </c>
      <c r="T65" s="4">
        <f t="shared" si="3"/>
        <v>2426493.1799999997</v>
      </c>
      <c r="U65" s="4">
        <f t="shared" si="4"/>
        <v>34918.82189206349</v>
      </c>
      <c r="V65" s="18">
        <f>'A) Base RI'!O65</f>
        <v>8104.4</v>
      </c>
      <c r="W65" s="18">
        <f>'A) Base RI'!P65</f>
        <v>56431.8</v>
      </c>
      <c r="X65" s="18">
        <f>'A) Base RI'!R65</f>
        <v>53709.2</v>
      </c>
      <c r="Y65" s="4">
        <f t="shared" si="5"/>
        <v>118245.4</v>
      </c>
      <c r="Z65" s="18">
        <f>'A) Base RI'!N65</f>
        <v>13159.65</v>
      </c>
      <c r="AA65" s="18">
        <f>'A) Base RI'!S65+'A) Base RI'!T65</f>
        <v>100</v>
      </c>
      <c r="AB65" s="18">
        <f>'A) Base RI'!U65</f>
        <v>5640</v>
      </c>
      <c r="AC65" s="18">
        <f>'A) Base RI'!V65</f>
        <v>10</v>
      </c>
      <c r="AD65" s="18">
        <f>'A) Base RI'!W65</f>
        <v>0</v>
      </c>
      <c r="AE65" s="18">
        <f>'A) Base RI'!Y65</f>
        <v>0</v>
      </c>
      <c r="AF65" s="18">
        <f>'A) Base RI'!Z65</f>
        <v>41462.04</v>
      </c>
      <c r="AG65" s="18">
        <f>'A) Base RI'!AA65</f>
        <v>4338</v>
      </c>
      <c r="AH65" s="18">
        <f>'A) Base RI'!AB65</f>
        <v>143140.57</v>
      </c>
      <c r="AI65" s="18">
        <f>'A) Base RI'!AC65</f>
        <v>68229.3</v>
      </c>
      <c r="AJ65" s="18">
        <f>'A) Base RI'!AD65</f>
        <v>49992</v>
      </c>
      <c r="AK65" s="18">
        <f>'A) Base RI'!AE65</f>
        <v>3040</v>
      </c>
      <c r="AL65" s="18">
        <f>'A) Base RI'!AF65</f>
        <v>0</v>
      </c>
      <c r="AM65" s="18">
        <f>'A) Base RI'!AG65</f>
        <v>0</v>
      </c>
      <c r="AN65" s="18">
        <f>'A) Base RI'!AH65</f>
        <v>0</v>
      </c>
      <c r="AO65" s="18">
        <f>'A) Base RI'!AI65</f>
        <v>0</v>
      </c>
      <c r="AP65" s="18">
        <f>'A) Base RI'!AJ65</f>
        <v>0</v>
      </c>
      <c r="AQ65" s="18">
        <f>'A) Base RI'!AK65</f>
        <v>0</v>
      </c>
      <c r="AR65" s="18">
        <f>'A) Base RI'!AN65</f>
        <v>1104</v>
      </c>
    </row>
    <row r="66" spans="1:44" x14ac:dyDescent="0.25">
      <c r="A66" s="13">
        <f>'A) Base RI'!A66</f>
        <v>5495</v>
      </c>
      <c r="B66" s="62" t="str">
        <f>'A) Base RI'!B66</f>
        <v>Penthalaz</v>
      </c>
      <c r="C66" s="18">
        <f>'A) Base RI'!C66+'A) Base RI'!D66</f>
        <v>5553969.3599999994</v>
      </c>
      <c r="D66" s="18">
        <f>'A) Base RI'!AO66</f>
        <v>-205586.96</v>
      </c>
      <c r="E66" s="61">
        <f>'A) Base RI'!AP66</f>
        <v>0</v>
      </c>
      <c r="F66" s="61">
        <f>'A) Base RI'!AQ66</f>
        <v>-58.18</v>
      </c>
      <c r="G66" s="4">
        <f t="shared" si="0"/>
        <v>5348324.22</v>
      </c>
      <c r="H66" s="18">
        <f>'A) Base RI'!E66</f>
        <v>0</v>
      </c>
      <c r="I66" s="18">
        <f>'A) Base RI'!F66</f>
        <v>0</v>
      </c>
      <c r="J66" s="18">
        <f>'A) Base RI'!G66+'A) Base RI'!H66</f>
        <v>321211.95</v>
      </c>
      <c r="K66" s="18">
        <f>'A) Base RI'!I66</f>
        <v>49923.9</v>
      </c>
      <c r="L66" s="18">
        <f>'A) Base RI'!J66</f>
        <v>189821.41</v>
      </c>
      <c r="M66" s="18">
        <f>'A) Base RI'!K66</f>
        <v>73261</v>
      </c>
      <c r="N66" s="18">
        <f>'A) Base RI'!Q66</f>
        <v>18927.12</v>
      </c>
      <c r="O66" s="18">
        <f t="shared" si="1"/>
        <v>489518.5</v>
      </c>
      <c r="P66" s="18">
        <f>'A) Base RI'!L66</f>
        <v>489518.5</v>
      </c>
      <c r="Q66" s="64">
        <f>'A) Base RI'!AR66</f>
        <v>1</v>
      </c>
      <c r="R66" s="4">
        <f t="shared" si="2"/>
        <v>6490988.1000000006</v>
      </c>
      <c r="S66" s="63">
        <f>'A) Base RI'!AM66</f>
        <v>74</v>
      </c>
      <c r="T66" s="4">
        <f t="shared" si="3"/>
        <v>5928208.6000000006</v>
      </c>
      <c r="U66" s="4">
        <f t="shared" si="4"/>
        <v>87716.055405405408</v>
      </c>
      <c r="V66" s="18">
        <f>'A) Base RI'!O66</f>
        <v>27815.7</v>
      </c>
      <c r="W66" s="18">
        <f>'A) Base RI'!P66</f>
        <v>190187.7</v>
      </c>
      <c r="X66" s="18">
        <f>'A) Base RI'!R66</f>
        <v>153727.15</v>
      </c>
      <c r="Y66" s="4">
        <f t="shared" si="5"/>
        <v>371730.55000000005</v>
      </c>
      <c r="Z66" s="18">
        <f>'A) Base RI'!N66</f>
        <v>163740.04999999999</v>
      </c>
      <c r="AA66" s="18">
        <f>'A) Base RI'!S66+'A) Base RI'!T66</f>
        <v>730</v>
      </c>
      <c r="AB66" s="18">
        <f>'A) Base RI'!U66</f>
        <v>11700</v>
      </c>
      <c r="AC66" s="18">
        <f>'A) Base RI'!V66</f>
        <v>0</v>
      </c>
      <c r="AD66" s="18">
        <f>'A) Base RI'!W66</f>
        <v>0</v>
      </c>
      <c r="AE66" s="18">
        <f>'A) Base RI'!Y66</f>
        <v>41289.35</v>
      </c>
      <c r="AF66" s="18">
        <f>'A) Base RI'!Z66</f>
        <v>0</v>
      </c>
      <c r="AG66" s="18">
        <f>'A) Base RI'!AA66</f>
        <v>79199</v>
      </c>
      <c r="AH66" s="18">
        <f>'A) Base RI'!AB66</f>
        <v>291804.40000000002</v>
      </c>
      <c r="AI66" s="18">
        <f>'A) Base RI'!AC66</f>
        <v>238841.88</v>
      </c>
      <c r="AJ66" s="18">
        <f>'A) Base RI'!AD66</f>
        <v>41289.35</v>
      </c>
      <c r="AK66" s="18">
        <f>'A) Base RI'!AE66</f>
        <v>0</v>
      </c>
      <c r="AL66" s="18">
        <f>'A) Base RI'!AF66</f>
        <v>0</v>
      </c>
      <c r="AM66" s="18">
        <f>'A) Base RI'!AG66</f>
        <v>21515.5</v>
      </c>
      <c r="AN66" s="18">
        <f>'A) Base RI'!AH66</f>
        <v>122450.85</v>
      </c>
      <c r="AO66" s="18">
        <f>'A) Base RI'!AI66</f>
        <v>0</v>
      </c>
      <c r="AP66" s="18">
        <f>'A) Base RI'!AJ66</f>
        <v>0</v>
      </c>
      <c r="AQ66" s="18">
        <f>'A) Base RI'!AK66</f>
        <v>0</v>
      </c>
      <c r="AR66" s="18">
        <f>'A) Base RI'!AN66</f>
        <v>3150</v>
      </c>
    </row>
    <row r="67" spans="1:44" x14ac:dyDescent="0.25">
      <c r="A67" s="13">
        <f>'A) Base RI'!A67</f>
        <v>5496</v>
      </c>
      <c r="B67" s="62" t="str">
        <f>'A) Base RI'!B67</f>
        <v>Penthaz</v>
      </c>
      <c r="C67" s="18">
        <f>'A) Base RI'!C67+'A) Base RI'!D67</f>
        <v>3209577.34</v>
      </c>
      <c r="D67" s="18">
        <f>'A) Base RI'!AO67</f>
        <v>-90244.6</v>
      </c>
      <c r="E67" s="61">
        <f>'A) Base RI'!AP67</f>
        <v>0</v>
      </c>
      <c r="F67" s="61">
        <f>'A) Base RI'!AQ67</f>
        <v>-47.78</v>
      </c>
      <c r="G67" s="4">
        <f t="shared" si="0"/>
        <v>3119284.96</v>
      </c>
      <c r="H67" s="18">
        <f>'A) Base RI'!E67</f>
        <v>0</v>
      </c>
      <c r="I67" s="18">
        <f>'A) Base RI'!F67</f>
        <v>0</v>
      </c>
      <c r="J67" s="18">
        <f>'A) Base RI'!G67+'A) Base RI'!H67</f>
        <v>149402.19999999998</v>
      </c>
      <c r="K67" s="18">
        <f>'A) Base RI'!I67</f>
        <v>0</v>
      </c>
      <c r="L67" s="18">
        <f>'A) Base RI'!J67</f>
        <v>76258.710000000006</v>
      </c>
      <c r="M67" s="18">
        <f>'A) Base RI'!K67</f>
        <v>14793</v>
      </c>
      <c r="N67" s="18">
        <f>'A) Base RI'!Q67</f>
        <v>17565.080000000002</v>
      </c>
      <c r="O67" s="18">
        <f t="shared" si="1"/>
        <v>283908.09999999998</v>
      </c>
      <c r="P67" s="18">
        <f>'A) Base RI'!L67</f>
        <v>283908.09999999998</v>
      </c>
      <c r="Q67" s="64">
        <f>'A) Base RI'!AR67</f>
        <v>1</v>
      </c>
      <c r="R67" s="4">
        <f t="shared" si="2"/>
        <v>3661212.0500000003</v>
      </c>
      <c r="S67" s="63">
        <f>'A) Base RI'!AM67</f>
        <v>71</v>
      </c>
      <c r="T67" s="4">
        <f t="shared" si="3"/>
        <v>3362510.95</v>
      </c>
      <c r="U67" s="4">
        <f t="shared" si="4"/>
        <v>51566.366901408452</v>
      </c>
      <c r="V67" s="18">
        <f>'A) Base RI'!O67</f>
        <v>3987.5</v>
      </c>
      <c r="W67" s="18">
        <f>'A) Base RI'!P67</f>
        <v>135281.9</v>
      </c>
      <c r="X67" s="18">
        <f>'A) Base RI'!R67</f>
        <v>35484.400000000001</v>
      </c>
      <c r="Y67" s="4">
        <f t="shared" si="5"/>
        <v>174753.8</v>
      </c>
      <c r="Z67" s="18">
        <f>'A) Base RI'!N67</f>
        <v>83371.55</v>
      </c>
      <c r="AA67" s="18">
        <f>'A) Base RI'!S67+'A) Base RI'!T67</f>
        <v>150</v>
      </c>
      <c r="AB67" s="18">
        <f>'A) Base RI'!U67</f>
        <v>9850</v>
      </c>
      <c r="AC67" s="18">
        <f>'A) Base RI'!V67</f>
        <v>0</v>
      </c>
      <c r="AD67" s="18">
        <f>'A) Base RI'!W67</f>
        <v>0</v>
      </c>
      <c r="AE67" s="18">
        <f>'A) Base RI'!Y67</f>
        <v>78599.75</v>
      </c>
      <c r="AF67" s="18">
        <f>'A) Base RI'!Z67</f>
        <v>0</v>
      </c>
      <c r="AG67" s="18">
        <f>'A) Base RI'!AA67</f>
        <v>147406.5</v>
      </c>
      <c r="AH67" s="18">
        <f>'A) Base RI'!AB67</f>
        <v>0</v>
      </c>
      <c r="AI67" s="18">
        <f>'A) Base RI'!AC67</f>
        <v>116640</v>
      </c>
      <c r="AJ67" s="18">
        <f>'A) Base RI'!AD67</f>
        <v>78696.05</v>
      </c>
      <c r="AK67" s="18">
        <f>'A) Base RI'!AE67</f>
        <v>0</v>
      </c>
      <c r="AL67" s="18">
        <f>'A) Base RI'!AF67</f>
        <v>0</v>
      </c>
      <c r="AM67" s="18">
        <f>'A) Base RI'!AG67</f>
        <v>3817.55</v>
      </c>
      <c r="AN67" s="18">
        <f>'A) Base RI'!AH67</f>
        <v>54297.95</v>
      </c>
      <c r="AO67" s="18">
        <f>'A) Base RI'!AI67</f>
        <v>0</v>
      </c>
      <c r="AP67" s="18">
        <f>'A) Base RI'!AJ67</f>
        <v>0</v>
      </c>
      <c r="AQ67" s="18">
        <f>'A) Base RI'!AK67</f>
        <v>0</v>
      </c>
      <c r="AR67" s="18">
        <f>'A) Base RI'!AN67</f>
        <v>1666</v>
      </c>
    </row>
    <row r="68" spans="1:44" x14ac:dyDescent="0.25">
      <c r="A68" s="13">
        <f>'A) Base RI'!A68</f>
        <v>5497</v>
      </c>
      <c r="B68" s="62" t="str">
        <f>'A) Base RI'!B68</f>
        <v>Pompaples</v>
      </c>
      <c r="C68" s="18">
        <f>'A) Base RI'!C68+'A) Base RI'!D68</f>
        <v>1148014.81</v>
      </c>
      <c r="D68" s="18">
        <f>'A) Base RI'!AO68</f>
        <v>-27765.24</v>
      </c>
      <c r="E68" s="61">
        <f>'A) Base RI'!AP68</f>
        <v>0</v>
      </c>
      <c r="F68" s="61">
        <f>'A) Base RI'!AQ68</f>
        <v>0</v>
      </c>
      <c r="G68" s="4">
        <f t="shared" si="0"/>
        <v>1120249.57</v>
      </c>
      <c r="H68" s="18">
        <f>'A) Base RI'!E68</f>
        <v>0</v>
      </c>
      <c r="I68" s="18">
        <f>'A) Base RI'!F68</f>
        <v>0</v>
      </c>
      <c r="J68" s="18">
        <f>'A) Base RI'!G68+'A) Base RI'!H68</f>
        <v>11764.199999999999</v>
      </c>
      <c r="K68" s="18">
        <f>'A) Base RI'!I68</f>
        <v>0</v>
      </c>
      <c r="L68" s="18">
        <f>'A) Base RI'!J68</f>
        <v>84794.49</v>
      </c>
      <c r="M68" s="18">
        <f>'A) Base RI'!K68</f>
        <v>5872</v>
      </c>
      <c r="N68" s="18">
        <f>'A) Base RI'!Q68</f>
        <v>3233.76</v>
      </c>
      <c r="O68" s="18">
        <f t="shared" si="1"/>
        <v>113840.7</v>
      </c>
      <c r="P68" s="18">
        <f>'A) Base RI'!L68</f>
        <v>113840.7</v>
      </c>
      <c r="Q68" s="64">
        <f>'A) Base RI'!AR68</f>
        <v>1</v>
      </c>
      <c r="R68" s="4">
        <f t="shared" si="2"/>
        <v>1339754.72</v>
      </c>
      <c r="S68" s="63">
        <f>'A) Base RI'!AM68</f>
        <v>66</v>
      </c>
      <c r="T68" s="4">
        <f t="shared" si="3"/>
        <v>1220042.02</v>
      </c>
      <c r="U68" s="4">
        <f t="shared" si="4"/>
        <v>20299.313939393938</v>
      </c>
      <c r="V68" s="18">
        <f>'A) Base RI'!O68</f>
        <v>0.2</v>
      </c>
      <c r="W68" s="18">
        <f>'A) Base RI'!P68</f>
        <v>18095</v>
      </c>
      <c r="X68" s="18">
        <f>'A) Base RI'!R68</f>
        <v>6275.55</v>
      </c>
      <c r="Y68" s="4">
        <f t="shared" si="5"/>
        <v>24370.75</v>
      </c>
      <c r="Z68" s="18">
        <f>'A) Base RI'!N68</f>
        <v>228059.3</v>
      </c>
      <c r="AA68" s="18">
        <f>'A) Base RI'!S68+'A) Base RI'!T68</f>
        <v>62.5</v>
      </c>
      <c r="AB68" s="18">
        <f>'A) Base RI'!U68</f>
        <v>2450</v>
      </c>
      <c r="AC68" s="18">
        <f>'A) Base RI'!V68</f>
        <v>0</v>
      </c>
      <c r="AD68" s="18">
        <f>'A) Base RI'!W68</f>
        <v>0</v>
      </c>
      <c r="AE68" s="18">
        <f>'A) Base RI'!Y68</f>
        <v>0</v>
      </c>
      <c r="AF68" s="18">
        <f>'A) Base RI'!Z68</f>
        <v>0</v>
      </c>
      <c r="AG68" s="18">
        <f>'A) Base RI'!AA68</f>
        <v>99332.7</v>
      </c>
      <c r="AH68" s="18">
        <f>'A) Base RI'!AB68</f>
        <v>0</v>
      </c>
      <c r="AI68" s="18">
        <f>'A) Base RI'!AC68</f>
        <v>89221.6</v>
      </c>
      <c r="AJ68" s="18">
        <f>'A) Base RI'!AD68</f>
        <v>0</v>
      </c>
      <c r="AK68" s="18">
        <f>'A) Base RI'!AE68</f>
        <v>0</v>
      </c>
      <c r="AL68" s="18">
        <f>'A) Base RI'!AF68</f>
        <v>0</v>
      </c>
      <c r="AM68" s="18">
        <f>'A) Base RI'!AG68</f>
        <v>200</v>
      </c>
      <c r="AN68" s="18">
        <f>'A) Base RI'!AH68</f>
        <v>31906.25</v>
      </c>
      <c r="AO68" s="18">
        <f>'A) Base RI'!AI68</f>
        <v>0</v>
      </c>
      <c r="AP68" s="18">
        <f>'A) Base RI'!AJ68</f>
        <v>0</v>
      </c>
      <c r="AQ68" s="18">
        <f>'A) Base RI'!AK68</f>
        <v>0</v>
      </c>
      <c r="AR68" s="18">
        <f>'A) Base RI'!AN68</f>
        <v>839</v>
      </c>
    </row>
    <row r="69" spans="1:44" x14ac:dyDescent="0.25">
      <c r="A69" s="13">
        <f>'A) Base RI'!A69</f>
        <v>5498</v>
      </c>
      <c r="B69" s="62" t="str">
        <f>'A) Base RI'!B69</f>
        <v>La Sarraz</v>
      </c>
      <c r="C69" s="18">
        <f>'A) Base RI'!C69+'A) Base RI'!D69</f>
        <v>3951926.5</v>
      </c>
      <c r="D69" s="18">
        <f>'A) Base RI'!AO69</f>
        <v>-72176.23</v>
      </c>
      <c r="E69" s="61">
        <f>'A) Base RI'!AP69</f>
        <v>0</v>
      </c>
      <c r="F69" s="61">
        <f>'A) Base RI'!AQ69</f>
        <v>-14.68</v>
      </c>
      <c r="G69" s="4">
        <f t="shared" si="0"/>
        <v>3879735.59</v>
      </c>
      <c r="H69" s="18">
        <f>'A) Base RI'!E69</f>
        <v>0</v>
      </c>
      <c r="I69" s="18">
        <f>'A) Base RI'!F69</f>
        <v>0</v>
      </c>
      <c r="J69" s="18">
        <f>'A) Base RI'!G69+'A) Base RI'!H69</f>
        <v>187123.1</v>
      </c>
      <c r="K69" s="18">
        <f>'A) Base RI'!I69</f>
        <v>0</v>
      </c>
      <c r="L69" s="18">
        <f>'A) Base RI'!J69</f>
        <v>187158.02</v>
      </c>
      <c r="M69" s="18">
        <f>'A) Base RI'!K69</f>
        <v>18270</v>
      </c>
      <c r="N69" s="18">
        <f>'A) Base RI'!Q69</f>
        <v>8022.55</v>
      </c>
      <c r="O69" s="18">
        <f t="shared" si="1"/>
        <v>346674.65</v>
      </c>
      <c r="P69" s="18">
        <f>'A) Base RI'!L69</f>
        <v>346674.65</v>
      </c>
      <c r="Q69" s="64">
        <f>'A) Base RI'!AR69</f>
        <v>1</v>
      </c>
      <c r="R69" s="4">
        <f t="shared" si="2"/>
        <v>4626983.91</v>
      </c>
      <c r="S69" s="63">
        <f>'A) Base RI'!AM69</f>
        <v>64</v>
      </c>
      <c r="T69" s="4">
        <f t="shared" si="3"/>
        <v>4262039.26</v>
      </c>
      <c r="U69" s="4">
        <f t="shared" si="4"/>
        <v>72296.623593750002</v>
      </c>
      <c r="V69" s="18">
        <f>'A) Base RI'!O69</f>
        <v>96580.1</v>
      </c>
      <c r="W69" s="18">
        <f>'A) Base RI'!P69</f>
        <v>82984.100000000006</v>
      </c>
      <c r="X69" s="18">
        <f>'A) Base RI'!R69</f>
        <v>45468.9</v>
      </c>
      <c r="Y69" s="4">
        <f t="shared" si="5"/>
        <v>225033.1</v>
      </c>
      <c r="Z69" s="18">
        <f>'A) Base RI'!N69</f>
        <v>63242.7</v>
      </c>
      <c r="AA69" s="18">
        <f>'A) Base RI'!S69+'A) Base RI'!T69</f>
        <v>512.5</v>
      </c>
      <c r="AB69" s="18">
        <f>'A) Base RI'!U69</f>
        <v>13800</v>
      </c>
      <c r="AC69" s="18">
        <f>'A) Base RI'!V69</f>
        <v>0</v>
      </c>
      <c r="AD69" s="18">
        <f>'A) Base RI'!W69</f>
        <v>0</v>
      </c>
      <c r="AE69" s="18">
        <f>'A) Base RI'!Y69</f>
        <v>6958.05</v>
      </c>
      <c r="AF69" s="18">
        <f>'A) Base RI'!Z69</f>
        <v>0</v>
      </c>
      <c r="AG69" s="18">
        <f>'A) Base RI'!AA69</f>
        <v>187060.55</v>
      </c>
      <c r="AH69" s="18">
        <f>'A) Base RI'!AB69</f>
        <v>0</v>
      </c>
      <c r="AI69" s="18">
        <f>'A) Base RI'!AC69</f>
        <v>183108.3</v>
      </c>
      <c r="AJ69" s="18">
        <f>'A) Base RI'!AD69</f>
        <v>0</v>
      </c>
      <c r="AK69" s="18">
        <f>'A) Base RI'!AE69</f>
        <v>0</v>
      </c>
      <c r="AL69" s="18">
        <f>'A) Base RI'!AF69</f>
        <v>0</v>
      </c>
      <c r="AM69" s="18">
        <f>'A) Base RI'!AG69</f>
        <v>0</v>
      </c>
      <c r="AN69" s="18">
        <f>'A) Base RI'!AH69</f>
        <v>0</v>
      </c>
      <c r="AO69" s="18">
        <f>'A) Base RI'!AI69</f>
        <v>0</v>
      </c>
      <c r="AP69" s="18">
        <f>'A) Base RI'!AJ69</f>
        <v>0</v>
      </c>
      <c r="AQ69" s="18">
        <f>'A) Base RI'!AK69</f>
        <v>0</v>
      </c>
      <c r="AR69" s="18">
        <f>'A) Base RI'!AN69</f>
        <v>2510</v>
      </c>
    </row>
    <row r="70" spans="1:44" x14ac:dyDescent="0.25">
      <c r="A70" s="13">
        <f>'A) Base RI'!A70</f>
        <v>5499</v>
      </c>
      <c r="B70" s="62" t="str">
        <f>'A) Base RI'!B70</f>
        <v>Senarclens</v>
      </c>
      <c r="C70" s="18">
        <f>'A) Base RI'!C70+'A) Base RI'!D70</f>
        <v>1097393.68</v>
      </c>
      <c r="D70" s="18">
        <f>'A) Base RI'!AO70</f>
        <v>-3005.26</v>
      </c>
      <c r="E70" s="61">
        <f>'A) Base RI'!AP70</f>
        <v>0</v>
      </c>
      <c r="F70" s="61">
        <f>'A) Base RI'!AQ70</f>
        <v>-471.45</v>
      </c>
      <c r="G70" s="4">
        <f t="shared" si="0"/>
        <v>1093916.97</v>
      </c>
      <c r="H70" s="18">
        <f>'A) Base RI'!E70</f>
        <v>0</v>
      </c>
      <c r="I70" s="18">
        <f>'A) Base RI'!F70</f>
        <v>0</v>
      </c>
      <c r="J70" s="18">
        <f>'A) Base RI'!G70+'A) Base RI'!H70</f>
        <v>-3186</v>
      </c>
      <c r="K70" s="18">
        <f>'A) Base RI'!I70</f>
        <v>0</v>
      </c>
      <c r="L70" s="18">
        <f>'A) Base RI'!J70</f>
        <v>20897.740000000002</v>
      </c>
      <c r="M70" s="18">
        <f>'A) Base RI'!K70</f>
        <v>0</v>
      </c>
      <c r="N70" s="18">
        <f>'A) Base RI'!Q70</f>
        <v>0</v>
      </c>
      <c r="O70" s="18">
        <f t="shared" si="1"/>
        <v>84317.1</v>
      </c>
      <c r="P70" s="18">
        <f>'A) Base RI'!L70</f>
        <v>84317.1</v>
      </c>
      <c r="Q70" s="64">
        <f>'A) Base RI'!AR70</f>
        <v>1</v>
      </c>
      <c r="R70" s="4">
        <f t="shared" si="2"/>
        <v>1195945.81</v>
      </c>
      <c r="S70" s="63">
        <f>'A) Base RI'!AM70</f>
        <v>68.5</v>
      </c>
      <c r="T70" s="4">
        <f t="shared" si="3"/>
        <v>1111628.71</v>
      </c>
      <c r="U70" s="4">
        <f t="shared" si="4"/>
        <v>17459.062919708031</v>
      </c>
      <c r="V70" s="18">
        <f>'A) Base RI'!O70</f>
        <v>4904.2</v>
      </c>
      <c r="W70" s="18">
        <f>'A) Base RI'!P70</f>
        <v>5170</v>
      </c>
      <c r="X70" s="18">
        <f>'A) Base RI'!R70</f>
        <v>5639.3</v>
      </c>
      <c r="Y70" s="4">
        <f t="shared" si="5"/>
        <v>15713.5</v>
      </c>
      <c r="Z70" s="18">
        <f>'A) Base RI'!N70</f>
        <v>16414.05</v>
      </c>
      <c r="AA70" s="18">
        <f>'A) Base RI'!S70+'A) Base RI'!T70</f>
        <v>250</v>
      </c>
      <c r="AB70" s="18">
        <f>'A) Base RI'!U70</f>
        <v>1250</v>
      </c>
      <c r="AC70" s="18">
        <f>'A) Base RI'!V70</f>
        <v>0</v>
      </c>
      <c r="AD70" s="18">
        <f>'A) Base RI'!W70</f>
        <v>0</v>
      </c>
      <c r="AE70" s="18">
        <f>'A) Base RI'!Y70</f>
        <v>32220</v>
      </c>
      <c r="AF70" s="18">
        <f>'A) Base RI'!Z70</f>
        <v>0</v>
      </c>
      <c r="AG70" s="18">
        <f>'A) Base RI'!AA70</f>
        <v>32220</v>
      </c>
      <c r="AH70" s="18">
        <f>'A) Base RI'!AB70</f>
        <v>0</v>
      </c>
      <c r="AI70" s="18">
        <f>'A) Base RI'!AC70</f>
        <v>32355.85</v>
      </c>
      <c r="AJ70" s="18">
        <f>'A) Base RI'!AD70</f>
        <v>-6426.55</v>
      </c>
      <c r="AK70" s="18">
        <f>'A) Base RI'!AE70</f>
        <v>0</v>
      </c>
      <c r="AL70" s="18">
        <f>'A) Base RI'!AF70</f>
        <v>0</v>
      </c>
      <c r="AM70" s="18">
        <f>'A) Base RI'!AG70</f>
        <v>0</v>
      </c>
      <c r="AN70" s="18">
        <f>'A) Base RI'!AH70</f>
        <v>0</v>
      </c>
      <c r="AO70" s="18">
        <f>'A) Base RI'!AI70</f>
        <v>0</v>
      </c>
      <c r="AP70" s="18">
        <f>'A) Base RI'!AJ70</f>
        <v>0</v>
      </c>
      <c r="AQ70" s="18">
        <f>'A) Base RI'!AK70</f>
        <v>0</v>
      </c>
      <c r="AR70" s="18">
        <f>'A) Base RI'!AN70</f>
        <v>435</v>
      </c>
    </row>
    <row r="71" spans="1:44" x14ac:dyDescent="0.25">
      <c r="A71" s="13">
        <f>'A) Base RI'!A71</f>
        <v>5500</v>
      </c>
      <c r="B71" s="62" t="str">
        <f>'A) Base RI'!B71</f>
        <v>Sévery</v>
      </c>
      <c r="C71" s="18">
        <f>'A) Base RI'!C71+'A) Base RI'!D71</f>
        <v>439755.72</v>
      </c>
      <c r="D71" s="18">
        <f>'A) Base RI'!AO71</f>
        <v>-5594.25</v>
      </c>
      <c r="E71" s="61">
        <f>'A) Base RI'!AP71</f>
        <v>0</v>
      </c>
      <c r="F71" s="61">
        <f>'A) Base RI'!AQ71</f>
        <v>-645.59</v>
      </c>
      <c r="G71" s="4">
        <f t="shared" si="0"/>
        <v>433515.87999999995</v>
      </c>
      <c r="H71" s="18">
        <f>'A) Base RI'!E71</f>
        <v>0</v>
      </c>
      <c r="I71" s="18">
        <f>'A) Base RI'!F71</f>
        <v>0</v>
      </c>
      <c r="J71" s="18">
        <f>'A) Base RI'!G71+'A) Base RI'!H71</f>
        <v>-4083.7000000000003</v>
      </c>
      <c r="K71" s="18">
        <f>'A) Base RI'!I71</f>
        <v>0</v>
      </c>
      <c r="L71" s="18">
        <f>'A) Base RI'!J71</f>
        <v>7451.62</v>
      </c>
      <c r="M71" s="18">
        <f>'A) Base RI'!K71</f>
        <v>98</v>
      </c>
      <c r="N71" s="18">
        <f>'A) Base RI'!Q71</f>
        <v>5406.24</v>
      </c>
      <c r="O71" s="18">
        <f t="shared" si="1"/>
        <v>33570.125</v>
      </c>
      <c r="P71" s="18">
        <f>'A) Base RI'!L71</f>
        <v>40284.15</v>
      </c>
      <c r="Q71" s="64">
        <f>'A) Base RI'!AR71</f>
        <v>1.2</v>
      </c>
      <c r="R71" s="4">
        <f t="shared" si="2"/>
        <v>475958.16499999992</v>
      </c>
      <c r="S71" s="63">
        <f>'A) Base RI'!AM71</f>
        <v>78</v>
      </c>
      <c r="T71" s="4">
        <f t="shared" si="3"/>
        <v>442290.03999999992</v>
      </c>
      <c r="U71" s="4">
        <f t="shared" si="4"/>
        <v>6102.0277564102553</v>
      </c>
      <c r="V71" s="18">
        <v>0</v>
      </c>
      <c r="W71" s="18">
        <f>'A) Base RI'!P71</f>
        <v>1870</v>
      </c>
      <c r="X71" s="18">
        <f>'A) Base RI'!R71</f>
        <v>4375.05</v>
      </c>
      <c r="Y71" s="4">
        <f t="shared" si="5"/>
        <v>6245.05</v>
      </c>
      <c r="Z71" s="18">
        <f>'A) Base RI'!N71</f>
        <v>2675.3</v>
      </c>
      <c r="AA71" s="18">
        <f>'A) Base RI'!S71+'A) Base RI'!T71</f>
        <v>0</v>
      </c>
      <c r="AB71" s="18">
        <f>'A) Base RI'!U71</f>
        <v>1450</v>
      </c>
      <c r="AC71" s="18">
        <f>'A) Base RI'!V71</f>
        <v>0</v>
      </c>
      <c r="AD71" s="18">
        <f>'A) Base RI'!W71</f>
        <v>0</v>
      </c>
      <c r="AE71" s="18">
        <f>'A) Base RI'!Y71</f>
        <v>4537.45</v>
      </c>
      <c r="AF71" s="18">
        <f>'A) Base RI'!Z71</f>
        <v>2354</v>
      </c>
      <c r="AG71" s="18">
        <f>'A) Base RI'!AA71</f>
        <v>28024.55</v>
      </c>
      <c r="AH71" s="18">
        <f>'A) Base RI'!AB71</f>
        <v>0</v>
      </c>
      <c r="AI71" s="18">
        <f>'A) Base RI'!AC71</f>
        <v>17607.150000000001</v>
      </c>
      <c r="AJ71" s="18">
        <f>'A) Base RI'!AD71</f>
        <v>2347.1999999999998</v>
      </c>
      <c r="AK71" s="18">
        <f>'A) Base RI'!AE71</f>
        <v>1284</v>
      </c>
      <c r="AL71" s="18">
        <f>'A) Base RI'!AF71</f>
        <v>0</v>
      </c>
      <c r="AM71" s="18">
        <f>'A) Base RI'!AG71</f>
        <v>0</v>
      </c>
      <c r="AN71" s="18">
        <f>'A) Base RI'!AH71</f>
        <v>0</v>
      </c>
      <c r="AO71" s="18">
        <f>'A) Base RI'!AI71</f>
        <v>0</v>
      </c>
      <c r="AP71" s="18">
        <f>'A) Base RI'!AJ71</f>
        <v>0</v>
      </c>
      <c r="AQ71" s="18">
        <f>'A) Base RI'!AK71</f>
        <v>0</v>
      </c>
      <c r="AR71" s="18">
        <f>'A) Base RI'!AN71</f>
        <v>223</v>
      </c>
    </row>
    <row r="72" spans="1:44" x14ac:dyDescent="0.25">
      <c r="A72" s="13">
        <f>'A) Base RI'!A72</f>
        <v>5501</v>
      </c>
      <c r="B72" s="62" t="str">
        <f>'A) Base RI'!B72</f>
        <v>Sullens</v>
      </c>
      <c r="C72" s="18">
        <f>'A) Base RI'!C72+'A) Base RI'!D72</f>
        <v>2391985.27</v>
      </c>
      <c r="D72" s="18">
        <f>'A) Base RI'!AO72</f>
        <v>-19387.240000000002</v>
      </c>
      <c r="E72" s="61">
        <f>'A) Base RI'!AP72</f>
        <v>0</v>
      </c>
      <c r="F72" s="61">
        <f>'A) Base RI'!AQ72</f>
        <v>-111.2</v>
      </c>
      <c r="G72" s="4">
        <f t="shared" ref="G72:G135" si="6">SUM(C72:F72)</f>
        <v>2372486.8299999996</v>
      </c>
      <c r="H72" s="18">
        <f>'A) Base RI'!E72</f>
        <v>0</v>
      </c>
      <c r="I72" s="18">
        <f>'A) Base RI'!F72</f>
        <v>0</v>
      </c>
      <c r="J72" s="18">
        <f>'A) Base RI'!G72+'A) Base RI'!H72</f>
        <v>92067.45</v>
      </c>
      <c r="K72" s="18">
        <f>'A) Base RI'!I72</f>
        <v>39573.949999999997</v>
      </c>
      <c r="L72" s="18">
        <f>'A) Base RI'!J72</f>
        <v>39468.07</v>
      </c>
      <c r="M72" s="18">
        <f>'A) Base RI'!K72</f>
        <v>0</v>
      </c>
      <c r="N72" s="18">
        <f>'A) Base RI'!Q72</f>
        <v>3120.86</v>
      </c>
      <c r="O72" s="18">
        <f t="shared" ref="O72:O135" si="7">P72/Q72*1</f>
        <v>174011.4</v>
      </c>
      <c r="P72" s="18">
        <f>'A) Base RI'!L72</f>
        <v>174011.4</v>
      </c>
      <c r="Q72" s="64">
        <f>'A) Base RI'!AR72</f>
        <v>1</v>
      </c>
      <c r="R72" s="4">
        <f t="shared" ref="R72:R135" si="8">SUM(G72:O72)</f>
        <v>2720728.5599999996</v>
      </c>
      <c r="S72" s="63">
        <f>'A) Base RI'!AM72</f>
        <v>72</v>
      </c>
      <c r="T72" s="4">
        <f t="shared" ref="T72:T135" si="9">(G72+H72+J72+K72+L72+N72)</f>
        <v>2546717.1599999997</v>
      </c>
      <c r="U72" s="4">
        <f t="shared" ref="U72:U135" si="10">R72/S72</f>
        <v>37787.89666666666</v>
      </c>
      <c r="V72" s="18">
        <f>'A) Base RI'!O72</f>
        <v>191000</v>
      </c>
      <c r="W72" s="18">
        <f>'A) Base RI'!P72</f>
        <v>137482.85</v>
      </c>
      <c r="X72" s="18">
        <f>'A) Base RI'!R72</f>
        <v>94033.85</v>
      </c>
      <c r="Y72" s="4">
        <f t="shared" ref="Y72:Y135" si="11">SUM(V72:X72)</f>
        <v>422516.69999999995</v>
      </c>
      <c r="Z72" s="18">
        <f>'A) Base RI'!N72</f>
        <v>8170</v>
      </c>
      <c r="AA72" s="18">
        <f>'A) Base RI'!S72+'A) Base RI'!T72</f>
        <v>125</v>
      </c>
      <c r="AB72" s="18">
        <f>'A) Base RI'!U72</f>
        <v>3150</v>
      </c>
      <c r="AC72" s="18">
        <f>'A) Base RI'!V72</f>
        <v>0</v>
      </c>
      <c r="AD72" s="18">
        <f>'A) Base RI'!W72</f>
        <v>0</v>
      </c>
      <c r="AE72" s="18">
        <f>'A) Base RI'!Y72</f>
        <v>40400</v>
      </c>
      <c r="AF72" s="18">
        <f>'A) Base RI'!Z72</f>
        <v>1720</v>
      </c>
      <c r="AG72" s="18">
        <f>'A) Base RI'!AA72</f>
        <v>99113.4</v>
      </c>
      <c r="AH72" s="18">
        <f>'A) Base RI'!AB72</f>
        <v>0</v>
      </c>
      <c r="AI72" s="18">
        <f>'A) Base RI'!AC72</f>
        <v>103768.35</v>
      </c>
      <c r="AJ72" s="18">
        <f>'A) Base RI'!AD72</f>
        <v>50500</v>
      </c>
      <c r="AK72" s="18">
        <f>'A) Base RI'!AE72</f>
        <v>4300</v>
      </c>
      <c r="AL72" s="18">
        <f>'A) Base RI'!AF72</f>
        <v>0</v>
      </c>
      <c r="AM72" s="18">
        <f>'A) Base RI'!AG72</f>
        <v>0</v>
      </c>
      <c r="AN72" s="18">
        <f>'A) Base RI'!AH72</f>
        <v>0</v>
      </c>
      <c r="AO72" s="18">
        <f>'A) Base RI'!AI72</f>
        <v>0</v>
      </c>
      <c r="AP72" s="18">
        <f>'A) Base RI'!AJ72</f>
        <v>0</v>
      </c>
      <c r="AQ72" s="18">
        <f>'A) Base RI'!AK72</f>
        <v>0</v>
      </c>
      <c r="AR72" s="18">
        <f>'A) Base RI'!AN72</f>
        <v>902</v>
      </c>
    </row>
    <row r="73" spans="1:44" x14ac:dyDescent="0.25">
      <c r="A73" s="13">
        <f>'A) Base RI'!A73</f>
        <v>5503</v>
      </c>
      <c r="B73" s="62" t="str">
        <f>'A) Base RI'!B73</f>
        <v>Vufflens-la-Ville</v>
      </c>
      <c r="C73" s="18">
        <f>'A) Base RI'!C73+'A) Base RI'!D73</f>
        <v>3388957.54</v>
      </c>
      <c r="D73" s="18">
        <f>'A) Base RI'!AO73</f>
        <v>-73772.95</v>
      </c>
      <c r="E73" s="61">
        <f>'A) Base RI'!AP73</f>
        <v>0</v>
      </c>
      <c r="F73" s="61">
        <f>'A) Base RI'!AQ73</f>
        <v>-216.16</v>
      </c>
      <c r="G73" s="4">
        <f t="shared" si="6"/>
        <v>3314968.4299999997</v>
      </c>
      <c r="H73" s="18">
        <f>'A) Base RI'!E73</f>
        <v>0</v>
      </c>
      <c r="I73" s="18">
        <f>'A) Base RI'!F73</f>
        <v>0</v>
      </c>
      <c r="J73" s="18">
        <f>'A) Base RI'!G73+'A) Base RI'!H73</f>
        <v>217663.35</v>
      </c>
      <c r="K73" s="18">
        <f>'A) Base RI'!I73</f>
        <v>0</v>
      </c>
      <c r="L73" s="18">
        <f>'A) Base RI'!J73</f>
        <v>43885.02</v>
      </c>
      <c r="M73" s="18">
        <f>'A) Base RI'!K73</f>
        <v>4369</v>
      </c>
      <c r="N73" s="18">
        <f>'A) Base RI'!Q73</f>
        <v>-3117.8</v>
      </c>
      <c r="O73" s="18">
        <f t="shared" si="7"/>
        <v>295702.45833333337</v>
      </c>
      <c r="P73" s="18">
        <f>'A) Base RI'!L73</f>
        <v>354842.95</v>
      </c>
      <c r="Q73" s="64">
        <f>'A) Base RI'!AR73</f>
        <v>1.2</v>
      </c>
      <c r="R73" s="4">
        <f t="shared" si="8"/>
        <v>3873470.4583333335</v>
      </c>
      <c r="S73" s="63">
        <f>'A) Base RI'!AM73</f>
        <v>67</v>
      </c>
      <c r="T73" s="4">
        <f t="shared" si="9"/>
        <v>3573399</v>
      </c>
      <c r="U73" s="4">
        <f t="shared" si="10"/>
        <v>57812.991915422885</v>
      </c>
      <c r="V73" s="18">
        <f>'A) Base RI'!O73</f>
        <v>-68885</v>
      </c>
      <c r="W73" s="18">
        <f>'A) Base RI'!P73</f>
        <v>108742.39999999999</v>
      </c>
      <c r="X73" s="18">
        <f>'A) Base RI'!R73</f>
        <v>74809.2</v>
      </c>
      <c r="Y73" s="4">
        <f t="shared" si="11"/>
        <v>114666.59999999999</v>
      </c>
      <c r="Z73" s="18">
        <f>'A) Base RI'!N73</f>
        <v>74771.25</v>
      </c>
      <c r="AA73" s="18">
        <f>'A) Base RI'!S73+'A) Base RI'!T73</f>
        <v>0</v>
      </c>
      <c r="AB73" s="18">
        <f>'A) Base RI'!U73</f>
        <v>5440</v>
      </c>
      <c r="AC73" s="18">
        <f>'A) Base RI'!V73</f>
        <v>0</v>
      </c>
      <c r="AD73" s="18">
        <f>'A) Base RI'!W73</f>
        <v>0</v>
      </c>
      <c r="AE73" s="18">
        <f>'A) Base RI'!Y73</f>
        <v>43635.6</v>
      </c>
      <c r="AF73" s="18">
        <f>'A) Base RI'!Z73</f>
        <v>0</v>
      </c>
      <c r="AG73" s="18">
        <f>'A) Base RI'!AA73</f>
        <v>160812.71</v>
      </c>
      <c r="AH73" s="18">
        <f>'A) Base RI'!AB73</f>
        <v>0</v>
      </c>
      <c r="AI73" s="18">
        <f>'A) Base RI'!AC73</f>
        <v>78640</v>
      </c>
      <c r="AJ73" s="18">
        <f>'A) Base RI'!AD73</f>
        <v>178103.07</v>
      </c>
      <c r="AK73" s="18">
        <f>'A) Base RI'!AE73</f>
        <v>0</v>
      </c>
      <c r="AL73" s="18">
        <f>'A) Base RI'!AF73</f>
        <v>0</v>
      </c>
      <c r="AM73" s="18">
        <f>'A) Base RI'!AG73</f>
        <v>0</v>
      </c>
      <c r="AN73" s="18">
        <f>'A) Base RI'!AH73</f>
        <v>0</v>
      </c>
      <c r="AO73" s="18">
        <f>'A) Base RI'!AI73</f>
        <v>0</v>
      </c>
      <c r="AP73" s="18">
        <f>'A) Base RI'!AJ73</f>
        <v>0</v>
      </c>
      <c r="AQ73" s="18">
        <f>'A) Base RI'!AK73</f>
        <v>0</v>
      </c>
      <c r="AR73" s="18">
        <f>'A) Base RI'!AN73</f>
        <v>1226</v>
      </c>
    </row>
    <row r="74" spans="1:44" x14ac:dyDescent="0.25">
      <c r="A74" s="13">
        <f>'A) Base RI'!A74</f>
        <v>5511</v>
      </c>
      <c r="B74" s="62" t="str">
        <f>'A) Base RI'!B74</f>
        <v>Assens</v>
      </c>
      <c r="C74" s="18">
        <f>'A) Base RI'!C74+'A) Base RI'!D74</f>
        <v>2319077.7000000002</v>
      </c>
      <c r="D74" s="18">
        <f>'A) Base RI'!AO74</f>
        <v>-58471.59</v>
      </c>
      <c r="E74" s="61">
        <f>'A) Base RI'!AP74</f>
        <v>0</v>
      </c>
      <c r="F74" s="61">
        <f>'A) Base RI'!AQ74</f>
        <v>-30.35</v>
      </c>
      <c r="G74" s="4">
        <f t="shared" si="6"/>
        <v>2260575.7600000002</v>
      </c>
      <c r="H74" s="18">
        <f>'A) Base RI'!E74</f>
        <v>0</v>
      </c>
      <c r="I74" s="18">
        <f>'A) Base RI'!F74</f>
        <v>0</v>
      </c>
      <c r="J74" s="18">
        <f>'A) Base RI'!G74+'A) Base RI'!H74</f>
        <v>306924.3</v>
      </c>
      <c r="K74" s="18">
        <f>'A) Base RI'!I74</f>
        <v>0</v>
      </c>
      <c r="L74" s="18">
        <f>'A) Base RI'!J74</f>
        <v>19579.439999999999</v>
      </c>
      <c r="M74" s="18">
        <f>'A) Base RI'!K74</f>
        <v>546</v>
      </c>
      <c r="N74" s="18">
        <f>'A) Base RI'!Q74</f>
        <v>-5531.7</v>
      </c>
      <c r="O74" s="18">
        <f t="shared" si="7"/>
        <v>202757.75</v>
      </c>
      <c r="P74" s="18">
        <f>'A) Base RI'!L74</f>
        <v>202757.75</v>
      </c>
      <c r="Q74" s="64">
        <f>'A) Base RI'!AR74</f>
        <v>1</v>
      </c>
      <c r="R74" s="4">
        <f t="shared" si="8"/>
        <v>2784851.55</v>
      </c>
      <c r="S74" s="63">
        <f>'A) Base RI'!AM74</f>
        <v>70</v>
      </c>
      <c r="T74" s="4">
        <f t="shared" si="9"/>
        <v>2581547.7999999998</v>
      </c>
      <c r="U74" s="4">
        <f t="shared" si="10"/>
        <v>39783.593571428566</v>
      </c>
      <c r="V74" s="18">
        <v>0</v>
      </c>
      <c r="W74" s="18">
        <f>'A) Base RI'!P74</f>
        <v>62085.3</v>
      </c>
      <c r="X74" s="18">
        <f>'A) Base RI'!R74</f>
        <v>84076.55</v>
      </c>
      <c r="Y74" s="4">
        <f t="shared" si="11"/>
        <v>146161.85</v>
      </c>
      <c r="Z74" s="18">
        <f>'A) Base RI'!N74</f>
        <v>13088.8</v>
      </c>
      <c r="AA74" s="18">
        <f>'A) Base RI'!S74+'A) Base RI'!T74</f>
        <v>750</v>
      </c>
      <c r="AB74" s="18">
        <f>'A) Base RI'!U74</f>
        <v>11250</v>
      </c>
      <c r="AC74" s="18">
        <f>'A) Base RI'!V74</f>
        <v>0</v>
      </c>
      <c r="AD74" s="18">
        <f>'A) Base RI'!W74</f>
        <v>0</v>
      </c>
      <c r="AE74" s="18">
        <f>'A) Base RI'!Y74</f>
        <v>15582.1</v>
      </c>
      <c r="AF74" s="18">
        <f>'A) Base RI'!Z74</f>
        <v>0</v>
      </c>
      <c r="AG74" s="18">
        <f>'A) Base RI'!AA74</f>
        <v>251308.25</v>
      </c>
      <c r="AH74" s="18">
        <f>'A) Base RI'!AB74</f>
        <v>0</v>
      </c>
      <c r="AI74" s="18">
        <f>'A) Base RI'!AC74</f>
        <v>110102.6</v>
      </c>
      <c r="AJ74" s="18">
        <f>'A) Base RI'!AD74</f>
        <v>14727.8</v>
      </c>
      <c r="AK74" s="18">
        <f>'A) Base RI'!AE74</f>
        <v>0</v>
      </c>
      <c r="AL74" s="18">
        <f>'A) Base RI'!AF74</f>
        <v>0</v>
      </c>
      <c r="AM74" s="18">
        <f>'A) Base RI'!AG74</f>
        <v>0</v>
      </c>
      <c r="AN74" s="18">
        <f>'A) Base RI'!AH74</f>
        <v>30905.599999999999</v>
      </c>
      <c r="AO74" s="18">
        <f>'A) Base RI'!AI74</f>
        <v>0</v>
      </c>
      <c r="AP74" s="18">
        <f>'A) Base RI'!AJ74</f>
        <v>0</v>
      </c>
      <c r="AQ74" s="18">
        <f>'A) Base RI'!AK74</f>
        <v>0</v>
      </c>
      <c r="AR74" s="18">
        <f>'A) Base RI'!AN74</f>
        <v>1024</v>
      </c>
    </row>
    <row r="75" spans="1:44" x14ac:dyDescent="0.25">
      <c r="A75" s="13">
        <f>'A) Base RI'!A75</f>
        <v>5512</v>
      </c>
      <c r="B75" s="62" t="str">
        <f>'A) Base RI'!B75</f>
        <v>Bercher</v>
      </c>
      <c r="C75" s="18">
        <f>'A) Base RI'!C75+'A) Base RI'!D75</f>
        <v>2522302.5100000002</v>
      </c>
      <c r="D75" s="18">
        <f>'A) Base RI'!AO75</f>
        <v>-40446.65</v>
      </c>
      <c r="E75" s="61">
        <f>'A) Base RI'!AP75</f>
        <v>0</v>
      </c>
      <c r="F75" s="61">
        <f>'A) Base RI'!AQ75</f>
        <v>0</v>
      </c>
      <c r="G75" s="4">
        <f t="shared" si="6"/>
        <v>2481855.8600000003</v>
      </c>
      <c r="H75" s="18">
        <f>'A) Base RI'!E75</f>
        <v>0</v>
      </c>
      <c r="I75" s="18">
        <f>'A) Base RI'!F75</f>
        <v>0</v>
      </c>
      <c r="J75" s="18">
        <f>'A) Base RI'!G75+'A) Base RI'!H75</f>
        <v>56167.350000000006</v>
      </c>
      <c r="K75" s="18">
        <f>'A) Base RI'!I75</f>
        <v>0</v>
      </c>
      <c r="L75" s="18">
        <f>'A) Base RI'!J75</f>
        <v>61006.65</v>
      </c>
      <c r="M75" s="18">
        <f>'A) Base RI'!K75</f>
        <v>9285</v>
      </c>
      <c r="N75" s="18">
        <f>'A) Base RI'!Q75</f>
        <v>67858.2</v>
      </c>
      <c r="O75" s="18">
        <f t="shared" si="7"/>
        <v>217022.05</v>
      </c>
      <c r="P75" s="18">
        <f>'A) Base RI'!L75</f>
        <v>217022.05</v>
      </c>
      <c r="Q75" s="64">
        <f>'A) Base RI'!AR75</f>
        <v>1</v>
      </c>
      <c r="R75" s="4">
        <f t="shared" si="8"/>
        <v>2893195.1100000003</v>
      </c>
      <c r="S75" s="63">
        <f>'A) Base RI'!AM75</f>
        <v>79</v>
      </c>
      <c r="T75" s="4">
        <f t="shared" si="9"/>
        <v>2666888.0600000005</v>
      </c>
      <c r="U75" s="4">
        <f t="shared" si="10"/>
        <v>36622.722911392411</v>
      </c>
      <c r="V75" s="18">
        <f>'A) Base RI'!O75</f>
        <v>8492.5</v>
      </c>
      <c r="W75" s="18">
        <f>'A) Base RI'!P75</f>
        <v>37806.949999999997</v>
      </c>
      <c r="X75" s="18">
        <f>'A) Base RI'!R75</f>
        <v>37265.599999999999</v>
      </c>
      <c r="Y75" s="4">
        <f t="shared" si="11"/>
        <v>83565.049999999988</v>
      </c>
      <c r="Z75" s="18">
        <f>'A) Base RI'!N75</f>
        <v>25180.2</v>
      </c>
      <c r="AA75" s="18">
        <f>'A) Base RI'!S75+'A) Base RI'!T75</f>
        <v>3025.2</v>
      </c>
      <c r="AB75" s="18">
        <f>'A) Base RI'!U75</f>
        <v>8450</v>
      </c>
      <c r="AC75" s="18">
        <f>'A) Base RI'!V75</f>
        <v>0</v>
      </c>
      <c r="AD75" s="18">
        <f>'A) Base RI'!W75</f>
        <v>0</v>
      </c>
      <c r="AE75" s="18">
        <f>'A) Base RI'!Y75</f>
        <v>0</v>
      </c>
      <c r="AF75" s="18">
        <f>'A) Base RI'!Z75</f>
        <v>0</v>
      </c>
      <c r="AG75" s="18">
        <f>'A) Base RI'!AA75</f>
        <v>233882.45</v>
      </c>
      <c r="AH75" s="18">
        <f>'A) Base RI'!AB75</f>
        <v>0</v>
      </c>
      <c r="AI75" s="18">
        <f>'A) Base RI'!AC75</f>
        <v>146664</v>
      </c>
      <c r="AJ75" s="18">
        <f>'A) Base RI'!AD75</f>
        <v>0</v>
      </c>
      <c r="AK75" s="18">
        <f>'A) Base RI'!AE75</f>
        <v>0</v>
      </c>
      <c r="AL75" s="18">
        <f>'A) Base RI'!AF75</f>
        <v>0</v>
      </c>
      <c r="AM75" s="18">
        <f>'A) Base RI'!AG75</f>
        <v>0</v>
      </c>
      <c r="AN75" s="18">
        <f>'A) Base RI'!AH75</f>
        <v>0</v>
      </c>
      <c r="AO75" s="18">
        <f>'A) Base RI'!AI75</f>
        <v>0</v>
      </c>
      <c r="AP75" s="18">
        <f>'A) Base RI'!AJ75</f>
        <v>0</v>
      </c>
      <c r="AQ75" s="18">
        <f>'A) Base RI'!AK75</f>
        <v>0</v>
      </c>
      <c r="AR75" s="18">
        <f>'A) Base RI'!AN75</f>
        <v>1143</v>
      </c>
    </row>
    <row r="76" spans="1:44" x14ac:dyDescent="0.25">
      <c r="A76" s="13">
        <f>'A) Base RI'!A76</f>
        <v>5513</v>
      </c>
      <c r="B76" s="62" t="str">
        <f>'A) Base RI'!B76</f>
        <v>Bioley-Orjulaz</v>
      </c>
      <c r="C76" s="18">
        <f>'A) Base RI'!C76+'A) Base RI'!D76</f>
        <v>981241.24</v>
      </c>
      <c r="D76" s="18">
        <f>'A) Base RI'!AO76</f>
        <v>-26171.95</v>
      </c>
      <c r="E76" s="61">
        <f>'A) Base RI'!AP76</f>
        <v>0</v>
      </c>
      <c r="F76" s="61">
        <f>'A) Base RI'!AQ76</f>
        <v>-0.02</v>
      </c>
      <c r="G76" s="4">
        <f t="shared" si="6"/>
        <v>955069.27</v>
      </c>
      <c r="H76" s="18">
        <f>'A) Base RI'!E76</f>
        <v>0</v>
      </c>
      <c r="I76" s="18">
        <f>'A) Base RI'!F76</f>
        <v>0</v>
      </c>
      <c r="J76" s="18">
        <f>'A) Base RI'!G76+'A) Base RI'!H76</f>
        <v>875634.70000000007</v>
      </c>
      <c r="K76" s="18">
        <f>'A) Base RI'!I76</f>
        <v>0</v>
      </c>
      <c r="L76" s="18">
        <f>'A) Base RI'!J76</f>
        <v>73380.3</v>
      </c>
      <c r="M76" s="18">
        <f>'A) Base RI'!K76</f>
        <v>1908.5</v>
      </c>
      <c r="N76" s="18">
        <f>'A) Base RI'!Q76</f>
        <v>13483.26</v>
      </c>
      <c r="O76" s="18">
        <f t="shared" si="7"/>
        <v>93922.5</v>
      </c>
      <c r="P76" s="18">
        <f>'A) Base RI'!L76</f>
        <v>46961.25</v>
      </c>
      <c r="Q76" s="64">
        <f>'A) Base RI'!AR76</f>
        <v>0.5</v>
      </c>
      <c r="R76" s="4">
        <f t="shared" si="8"/>
        <v>2013398.5300000003</v>
      </c>
      <c r="S76" s="63">
        <f>'A) Base RI'!AM76</f>
        <v>66</v>
      </c>
      <c r="T76" s="4">
        <f t="shared" si="9"/>
        <v>1917567.5300000003</v>
      </c>
      <c r="U76" s="4">
        <f t="shared" si="10"/>
        <v>30506.038333333338</v>
      </c>
      <c r="V76" s="18">
        <f>'A) Base RI'!O76</f>
        <v>349585.3</v>
      </c>
      <c r="W76" s="18">
        <f>'A) Base RI'!P76</f>
        <v>28527.9</v>
      </c>
      <c r="X76" s="18">
        <f>'A) Base RI'!R76</f>
        <v>12042.7</v>
      </c>
      <c r="Y76" s="4">
        <f t="shared" si="11"/>
        <v>390155.9</v>
      </c>
      <c r="Z76" s="18">
        <f>'A) Base RI'!N76</f>
        <v>61512.9</v>
      </c>
      <c r="AA76" s="18">
        <f>'A) Base RI'!S76+'A) Base RI'!T76</f>
        <v>724</v>
      </c>
      <c r="AB76" s="18">
        <f>'A) Base RI'!U76</f>
        <v>0</v>
      </c>
      <c r="AC76" s="18">
        <f>'A) Base RI'!V76</f>
        <v>0</v>
      </c>
      <c r="AD76" s="18">
        <f>'A) Base RI'!W76</f>
        <v>0</v>
      </c>
      <c r="AE76" s="18">
        <f>'A) Base RI'!Y76</f>
        <v>0</v>
      </c>
      <c r="AF76" s="18">
        <f>'A) Base RI'!Z76</f>
        <v>1840</v>
      </c>
      <c r="AG76" s="18">
        <f>'A) Base RI'!AA76</f>
        <v>67495</v>
      </c>
      <c r="AH76" s="18">
        <f>'A) Base RI'!AB76</f>
        <v>0</v>
      </c>
      <c r="AI76" s="18">
        <f>'A) Base RI'!AC76</f>
        <v>35062.449999999997</v>
      </c>
      <c r="AJ76" s="18">
        <f>'A) Base RI'!AD76</f>
        <v>14675</v>
      </c>
      <c r="AK76" s="18">
        <f>'A) Base RI'!AE76</f>
        <v>0</v>
      </c>
      <c r="AL76" s="18">
        <f>'A) Base RI'!AF76</f>
        <v>0</v>
      </c>
      <c r="AM76" s="18">
        <f>'A) Base RI'!AG76</f>
        <v>0</v>
      </c>
      <c r="AN76" s="18">
        <f>'A) Base RI'!AH76</f>
        <v>0</v>
      </c>
      <c r="AO76" s="18">
        <f>'A) Base RI'!AI76</f>
        <v>0</v>
      </c>
      <c r="AP76" s="18">
        <f>'A) Base RI'!AJ76</f>
        <v>0</v>
      </c>
      <c r="AQ76" s="18">
        <f>'A) Base RI'!AK76</f>
        <v>0</v>
      </c>
      <c r="AR76" s="18">
        <f>'A) Base RI'!AN76</f>
        <v>460</v>
      </c>
    </row>
    <row r="77" spans="1:44" x14ac:dyDescent="0.25">
      <c r="A77" s="13">
        <f>'A) Base RI'!A77</f>
        <v>5514</v>
      </c>
      <c r="B77" s="62" t="str">
        <f>'A) Base RI'!B77</f>
        <v>Bottens</v>
      </c>
      <c r="C77" s="18">
        <f>'A) Base RI'!C77+'A) Base RI'!D77</f>
        <v>2646106.42</v>
      </c>
      <c r="D77" s="18">
        <f>'A) Base RI'!AO77</f>
        <v>-24146.69</v>
      </c>
      <c r="E77" s="61">
        <f>'A) Base RI'!AP77</f>
        <v>0</v>
      </c>
      <c r="F77" s="61">
        <f>'A) Base RI'!AQ77</f>
        <v>-85.13</v>
      </c>
      <c r="G77" s="4">
        <f t="shared" si="6"/>
        <v>2621874.6</v>
      </c>
      <c r="H77" s="18">
        <f>'A) Base RI'!E77</f>
        <v>0</v>
      </c>
      <c r="I77" s="18">
        <f>'A) Base RI'!F77</f>
        <v>0</v>
      </c>
      <c r="J77" s="18">
        <f>'A) Base RI'!G77+'A) Base RI'!H77</f>
        <v>36388.65</v>
      </c>
      <c r="K77" s="18">
        <f>'A) Base RI'!I77</f>
        <v>25573.05</v>
      </c>
      <c r="L77" s="18">
        <f>'A) Base RI'!J77</f>
        <v>69704.070000000007</v>
      </c>
      <c r="M77" s="18">
        <f>'A) Base RI'!K77</f>
        <v>4847</v>
      </c>
      <c r="N77" s="18">
        <f>'A) Base RI'!Q77</f>
        <v>0</v>
      </c>
      <c r="O77" s="18">
        <f t="shared" si="7"/>
        <v>197990.14285714287</v>
      </c>
      <c r="P77" s="18">
        <f>'A) Base RI'!L77</f>
        <v>138593.1</v>
      </c>
      <c r="Q77" s="64">
        <f>'A) Base RI'!AR77</f>
        <v>0.7</v>
      </c>
      <c r="R77" s="4">
        <f t="shared" si="8"/>
        <v>2956377.5128571424</v>
      </c>
      <c r="S77" s="63">
        <f>'A) Base RI'!AM77</f>
        <v>69</v>
      </c>
      <c r="T77" s="4">
        <f t="shared" si="9"/>
        <v>2753540.3699999996</v>
      </c>
      <c r="U77" s="4">
        <f t="shared" si="10"/>
        <v>42846.050910973077</v>
      </c>
      <c r="V77" s="18">
        <f>'A) Base RI'!O77</f>
        <v>2062.5</v>
      </c>
      <c r="W77" s="18">
        <f>'A) Base RI'!P77</f>
        <v>68318.850000000006</v>
      </c>
      <c r="X77" s="18">
        <f>'A) Base RI'!R77</f>
        <v>64064.5</v>
      </c>
      <c r="Y77" s="4">
        <f t="shared" si="11"/>
        <v>134445.85</v>
      </c>
      <c r="Z77" s="18">
        <f>'A) Base RI'!N77</f>
        <v>6672.8</v>
      </c>
      <c r="AA77" s="18">
        <f>'A) Base RI'!S77+'A) Base RI'!T77</f>
        <v>0</v>
      </c>
      <c r="AB77" s="18">
        <f>'A) Base RI'!U77</f>
        <v>8760</v>
      </c>
      <c r="AC77" s="18">
        <f>'A) Base RI'!V77</f>
        <v>0</v>
      </c>
      <c r="AD77" s="18">
        <f>'A) Base RI'!W77</f>
        <v>0</v>
      </c>
      <c r="AE77" s="18">
        <f>'A) Base RI'!Y77</f>
        <v>4020</v>
      </c>
      <c r="AF77" s="18">
        <f>'A) Base RI'!Z77</f>
        <v>0</v>
      </c>
      <c r="AG77" s="18">
        <f>'A) Base RI'!AA77</f>
        <v>250608.5</v>
      </c>
      <c r="AH77" s="18">
        <f>'A) Base RI'!AB77</f>
        <v>0</v>
      </c>
      <c r="AI77" s="18">
        <f>'A) Base RI'!AC77</f>
        <v>48505</v>
      </c>
      <c r="AJ77" s="18">
        <f>'A) Base RI'!AD77</f>
        <v>1525.5</v>
      </c>
      <c r="AK77" s="18">
        <f>'A) Base RI'!AE77</f>
        <v>0</v>
      </c>
      <c r="AL77" s="18">
        <f>'A) Base RI'!AF77</f>
        <v>0</v>
      </c>
      <c r="AM77" s="18">
        <f>'A) Base RI'!AG77</f>
        <v>0</v>
      </c>
      <c r="AN77" s="18">
        <f>'A) Base RI'!AH77</f>
        <v>24927.65</v>
      </c>
      <c r="AO77" s="18">
        <f>'A) Base RI'!AI77</f>
        <v>0</v>
      </c>
      <c r="AP77" s="18">
        <f>'A) Base RI'!AJ77</f>
        <v>0</v>
      </c>
      <c r="AQ77" s="18">
        <f>'A) Base RI'!AK77</f>
        <v>0</v>
      </c>
      <c r="AR77" s="18">
        <f>'A) Base RI'!AN77</f>
        <v>1281</v>
      </c>
    </row>
    <row r="78" spans="1:44" x14ac:dyDescent="0.25">
      <c r="A78" s="13">
        <f>'A) Base RI'!A78</f>
        <v>5515</v>
      </c>
      <c r="B78" s="62" t="str">
        <f>'A) Base RI'!B78</f>
        <v>Bretigny-sur-Morrens</v>
      </c>
      <c r="C78" s="18">
        <f>'A) Base RI'!C78+'A) Base RI'!D78</f>
        <v>1503150.01</v>
      </c>
      <c r="D78" s="18">
        <f>'A) Base RI'!AO78</f>
        <v>-68110.19</v>
      </c>
      <c r="E78" s="61">
        <f>'A) Base RI'!AP78</f>
        <v>0</v>
      </c>
      <c r="F78" s="61">
        <f>'A) Base RI'!AQ78</f>
        <v>-6.04</v>
      </c>
      <c r="G78" s="4">
        <f t="shared" si="6"/>
        <v>1435033.78</v>
      </c>
      <c r="H78" s="18">
        <f>'A) Base RI'!E78</f>
        <v>0</v>
      </c>
      <c r="I78" s="18">
        <f>'A) Base RI'!F78</f>
        <v>0</v>
      </c>
      <c r="J78" s="18">
        <f>'A) Base RI'!G78+'A) Base RI'!H78</f>
        <v>11995.85</v>
      </c>
      <c r="K78" s="18">
        <f>'A) Base RI'!I78</f>
        <v>0</v>
      </c>
      <c r="L78" s="18">
        <f>'A) Base RI'!J78</f>
        <v>37923.279999999999</v>
      </c>
      <c r="M78" s="18">
        <f>'A) Base RI'!K78</f>
        <v>3080</v>
      </c>
      <c r="N78" s="18">
        <f>'A) Base RI'!Q78</f>
        <v>2726.19</v>
      </c>
      <c r="O78" s="18">
        <f t="shared" si="7"/>
        <v>131568.79999999999</v>
      </c>
      <c r="P78" s="18">
        <f>'A) Base RI'!L78</f>
        <v>65784.399999999994</v>
      </c>
      <c r="Q78" s="64">
        <f>'A) Base RI'!AR78</f>
        <v>0.5</v>
      </c>
      <c r="R78" s="4">
        <f t="shared" si="8"/>
        <v>1622327.9000000001</v>
      </c>
      <c r="S78" s="63">
        <f>'A) Base RI'!AM78</f>
        <v>73</v>
      </c>
      <c r="T78" s="4">
        <f t="shared" si="9"/>
        <v>1487679.1</v>
      </c>
      <c r="U78" s="4">
        <f t="shared" si="10"/>
        <v>22223.6698630137</v>
      </c>
      <c r="V78" s="18">
        <v>0</v>
      </c>
      <c r="W78" s="18">
        <f>'A) Base RI'!P78</f>
        <v>86284</v>
      </c>
      <c r="X78" s="18">
        <f>'A) Base RI'!R78</f>
        <v>107882.4</v>
      </c>
      <c r="Y78" s="4">
        <f t="shared" si="11"/>
        <v>194166.39999999999</v>
      </c>
      <c r="Z78" s="18">
        <f>'A) Base RI'!N78</f>
        <v>16844.45</v>
      </c>
      <c r="AA78" s="18">
        <f>'A) Base RI'!S78+'A) Base RI'!T78</f>
        <v>0</v>
      </c>
      <c r="AB78" s="18">
        <f>'A) Base RI'!U78</f>
        <v>5400</v>
      </c>
      <c r="AC78" s="18">
        <f>'A) Base RI'!V78</f>
        <v>0</v>
      </c>
      <c r="AD78" s="18">
        <f>'A) Base RI'!W78</f>
        <v>0</v>
      </c>
      <c r="AE78" s="18">
        <f>'A) Base RI'!Y78</f>
        <v>0</v>
      </c>
      <c r="AF78" s="18">
        <f>'A) Base RI'!Z78</f>
        <v>0</v>
      </c>
      <c r="AG78" s="18">
        <f>'A) Base RI'!AA78</f>
        <v>0</v>
      </c>
      <c r="AH78" s="18">
        <f>'A) Base RI'!AB78</f>
        <v>0</v>
      </c>
      <c r="AI78" s="18">
        <f>'A) Base RI'!AC78</f>
        <v>0</v>
      </c>
      <c r="AJ78" s="18">
        <f>'A) Base RI'!AD78</f>
        <v>0</v>
      </c>
      <c r="AK78" s="18">
        <f>'A) Base RI'!AE78</f>
        <v>0</v>
      </c>
      <c r="AL78" s="18">
        <f>'A) Base RI'!AF78</f>
        <v>0</v>
      </c>
      <c r="AM78" s="18">
        <f>'A) Base RI'!AG78</f>
        <v>0</v>
      </c>
      <c r="AN78" s="18">
        <f>'A) Base RI'!AH78</f>
        <v>0</v>
      </c>
      <c r="AO78" s="18">
        <f>'A) Base RI'!AI78</f>
        <v>0</v>
      </c>
      <c r="AP78" s="18">
        <f>'A) Base RI'!AJ78</f>
        <v>0</v>
      </c>
      <c r="AQ78" s="18">
        <f>'A) Base RI'!AK78</f>
        <v>0</v>
      </c>
      <c r="AR78" s="18">
        <f>'A) Base RI'!AN78</f>
        <v>785</v>
      </c>
    </row>
    <row r="79" spans="1:44" x14ac:dyDescent="0.25">
      <c r="A79" s="13">
        <f>'A) Base RI'!A79</f>
        <v>5516</v>
      </c>
      <c r="B79" s="62" t="str">
        <f>'A) Base RI'!B79</f>
        <v>Cugy</v>
      </c>
      <c r="C79" s="18">
        <f>'A) Base RI'!C79+'A) Base RI'!D79</f>
        <v>7086263.7300000004</v>
      </c>
      <c r="D79" s="18">
        <f>'A) Base RI'!AO79</f>
        <v>-131155.63</v>
      </c>
      <c r="E79" s="61">
        <f>'A) Base RI'!AP79</f>
        <v>0</v>
      </c>
      <c r="F79" s="61">
        <f>'A) Base RI'!AQ79</f>
        <v>-647.77</v>
      </c>
      <c r="G79" s="4">
        <f t="shared" si="6"/>
        <v>6954460.330000001</v>
      </c>
      <c r="H79" s="18">
        <f>'A) Base RI'!E79</f>
        <v>0</v>
      </c>
      <c r="I79" s="18">
        <f>'A) Base RI'!F79</f>
        <v>0</v>
      </c>
      <c r="J79" s="18">
        <f>'A) Base RI'!G79+'A) Base RI'!H79</f>
        <v>180887.8</v>
      </c>
      <c r="K79" s="18">
        <f>'A) Base RI'!I79</f>
        <v>218.84</v>
      </c>
      <c r="L79" s="18">
        <f>'A) Base RI'!J79</f>
        <v>189034.79</v>
      </c>
      <c r="M79" s="18">
        <f>'A) Base RI'!K79</f>
        <v>28472.5</v>
      </c>
      <c r="N79" s="18">
        <f>'A) Base RI'!Q79</f>
        <v>9648.5400000000009</v>
      </c>
      <c r="O79" s="18">
        <f t="shared" si="7"/>
        <v>518580.95</v>
      </c>
      <c r="P79" s="18">
        <f>'A) Base RI'!L79</f>
        <v>518580.95</v>
      </c>
      <c r="Q79" s="64">
        <f>'A) Base RI'!AR79</f>
        <v>1</v>
      </c>
      <c r="R79" s="4">
        <f t="shared" si="8"/>
        <v>7881303.7500000009</v>
      </c>
      <c r="S79" s="63">
        <f>'A) Base RI'!AM79</f>
        <v>67</v>
      </c>
      <c r="T79" s="4">
        <f t="shared" si="9"/>
        <v>7334250.3000000007</v>
      </c>
      <c r="U79" s="4">
        <f t="shared" si="10"/>
        <v>117631.39925373136</v>
      </c>
      <c r="V79" s="18">
        <f>'A) Base RI'!O79</f>
        <v>18121.7</v>
      </c>
      <c r="W79" s="18">
        <f>'A) Base RI'!P79</f>
        <v>150692.95000000001</v>
      </c>
      <c r="X79" s="18">
        <f>'A) Base RI'!R79</f>
        <v>102025.25</v>
      </c>
      <c r="Y79" s="4">
        <f t="shared" si="11"/>
        <v>270839.90000000002</v>
      </c>
      <c r="Z79" s="18">
        <f>'A) Base RI'!N79</f>
        <v>85519.05</v>
      </c>
      <c r="AA79" s="18">
        <f>'A) Base RI'!S79+'A) Base RI'!T79</f>
        <v>0</v>
      </c>
      <c r="AB79" s="18">
        <f>'A) Base RI'!U79</f>
        <v>14950</v>
      </c>
      <c r="AC79" s="18">
        <f>'A) Base RI'!V79</f>
        <v>0</v>
      </c>
      <c r="AD79" s="18">
        <f>'A) Base RI'!W79</f>
        <v>0</v>
      </c>
      <c r="AE79" s="18">
        <f>'A) Base RI'!Y79</f>
        <v>70807</v>
      </c>
      <c r="AF79" s="18">
        <f>'A) Base RI'!Z79</f>
        <v>0</v>
      </c>
      <c r="AG79" s="18">
        <f>'A) Base RI'!AA79</f>
        <v>479118</v>
      </c>
      <c r="AH79" s="18">
        <f>'A) Base RI'!AB79</f>
        <v>0</v>
      </c>
      <c r="AI79" s="18">
        <f>'A) Base RI'!AC79</f>
        <v>201570.95</v>
      </c>
      <c r="AJ79" s="18">
        <f>'A) Base RI'!AD79</f>
        <v>97508.7</v>
      </c>
      <c r="AK79" s="18">
        <f>'A) Base RI'!AE79</f>
        <v>0</v>
      </c>
      <c r="AL79" s="18">
        <f>'A) Base RI'!AF79</f>
        <v>0</v>
      </c>
      <c r="AM79" s="18">
        <f>'A) Base RI'!AG79</f>
        <v>0</v>
      </c>
      <c r="AN79" s="18">
        <f>'A) Base RI'!AH79</f>
        <v>74480.649999999994</v>
      </c>
      <c r="AO79" s="18">
        <f>'A) Base RI'!AI79</f>
        <v>0</v>
      </c>
      <c r="AP79" s="18">
        <f>'A) Base RI'!AJ79</f>
        <v>0</v>
      </c>
      <c r="AQ79" s="18">
        <f>'A) Base RI'!AK79</f>
        <v>0</v>
      </c>
      <c r="AR79" s="18">
        <f>'A) Base RI'!AN79</f>
        <v>2738</v>
      </c>
    </row>
    <row r="80" spans="1:44" x14ac:dyDescent="0.25">
      <c r="A80" s="13">
        <f>'A) Base RI'!A80</f>
        <v>5518</v>
      </c>
      <c r="B80" s="62" t="str">
        <f>'A) Base RI'!B80</f>
        <v>Echallens</v>
      </c>
      <c r="C80" s="18">
        <f>'A) Base RI'!C80+'A) Base RI'!D80</f>
        <v>10754971.24</v>
      </c>
      <c r="D80" s="18">
        <f>'A) Base RI'!AO80</f>
        <v>-524726.25</v>
      </c>
      <c r="E80" s="61">
        <f>'A) Base RI'!AP80</f>
        <v>0</v>
      </c>
      <c r="F80" s="61">
        <f>'A) Base RI'!AQ80</f>
        <v>-864.04</v>
      </c>
      <c r="G80" s="4">
        <f t="shared" si="6"/>
        <v>10229380.950000001</v>
      </c>
      <c r="H80" s="18">
        <f>'A) Base RI'!E80</f>
        <v>0</v>
      </c>
      <c r="I80" s="18">
        <f>'A) Base RI'!F80</f>
        <v>0</v>
      </c>
      <c r="J80" s="18">
        <f>'A) Base RI'!G80+'A) Base RI'!H80</f>
        <v>1251545.3500000001</v>
      </c>
      <c r="K80" s="18">
        <f>'A) Base RI'!I80</f>
        <v>0</v>
      </c>
      <c r="L80" s="18">
        <f>'A) Base RI'!J80</f>
        <v>286693.37</v>
      </c>
      <c r="M80" s="18">
        <f>'A) Base RI'!K80</f>
        <v>60894.5</v>
      </c>
      <c r="N80" s="18">
        <f>'A) Base RI'!Q80</f>
        <v>105534.09</v>
      </c>
      <c r="O80" s="18">
        <f t="shared" si="7"/>
        <v>879513.9</v>
      </c>
      <c r="P80" s="18">
        <f>'A) Base RI'!L80</f>
        <v>879513.9</v>
      </c>
      <c r="Q80" s="64">
        <f>'A) Base RI'!AR80</f>
        <v>1</v>
      </c>
      <c r="R80" s="4">
        <f t="shared" si="8"/>
        <v>12813562.16</v>
      </c>
      <c r="S80" s="63">
        <f>'A) Base RI'!AM80</f>
        <v>74</v>
      </c>
      <c r="T80" s="4">
        <f t="shared" si="9"/>
        <v>11873153.76</v>
      </c>
      <c r="U80" s="4">
        <f t="shared" si="10"/>
        <v>173156.24540540541</v>
      </c>
      <c r="V80" s="18">
        <f>'A) Base RI'!O80</f>
        <v>143553.1</v>
      </c>
      <c r="W80" s="18">
        <f>'A) Base RI'!P80</f>
        <v>368202.4</v>
      </c>
      <c r="X80" s="18">
        <f>'A) Base RI'!R80</f>
        <v>417096.55</v>
      </c>
      <c r="Y80" s="4">
        <f t="shared" si="11"/>
        <v>928852.05</v>
      </c>
      <c r="Z80" s="18">
        <f>'A) Base RI'!N80</f>
        <v>187321.7</v>
      </c>
      <c r="AA80" s="18">
        <f>'A) Base RI'!S80+'A) Base RI'!T80</f>
        <v>4762</v>
      </c>
      <c r="AB80" s="18">
        <f>'A) Base RI'!U80</f>
        <v>17675</v>
      </c>
      <c r="AC80" s="18">
        <f>'A) Base RI'!V80</f>
        <v>0</v>
      </c>
      <c r="AD80" s="18">
        <f>'A) Base RI'!W80</f>
        <v>1470.7</v>
      </c>
      <c r="AE80" s="18">
        <f>'A) Base RI'!Y80</f>
        <v>57751.7</v>
      </c>
      <c r="AF80" s="18">
        <f>'A) Base RI'!Z80</f>
        <v>0</v>
      </c>
      <c r="AG80" s="18">
        <f>'A) Base RI'!AA80</f>
        <v>1011130.7</v>
      </c>
      <c r="AH80" s="18">
        <f>'A) Base RI'!AB80</f>
        <v>0</v>
      </c>
      <c r="AI80" s="18">
        <f>'A) Base RI'!AC80</f>
        <v>534317.15</v>
      </c>
      <c r="AJ80" s="18">
        <f>'A) Base RI'!AD80</f>
        <v>30740.1</v>
      </c>
      <c r="AK80" s="18">
        <f>'A) Base RI'!AE80</f>
        <v>0</v>
      </c>
      <c r="AL80" s="18">
        <f>'A) Base RI'!AF80</f>
        <v>0</v>
      </c>
      <c r="AM80" s="18">
        <f>'A) Base RI'!AG80</f>
        <v>0</v>
      </c>
      <c r="AN80" s="18">
        <f>'A) Base RI'!AH80</f>
        <v>0</v>
      </c>
      <c r="AO80" s="18">
        <f>'A) Base RI'!AI80</f>
        <v>0</v>
      </c>
      <c r="AP80" s="18">
        <f>'A) Base RI'!AJ80</f>
        <v>0</v>
      </c>
      <c r="AQ80" s="18">
        <f>'A) Base RI'!AK80</f>
        <v>0</v>
      </c>
      <c r="AR80" s="18">
        <f>'A) Base RI'!AN80</f>
        <v>5485</v>
      </c>
    </row>
    <row r="81" spans="1:44" x14ac:dyDescent="0.25">
      <c r="A81" s="13">
        <f>'A) Base RI'!A81</f>
        <v>5520</v>
      </c>
      <c r="B81" s="62" t="str">
        <f>'A) Base RI'!B81</f>
        <v>Essertines-sur-Yverdon</v>
      </c>
      <c r="C81" s="18">
        <f>'A) Base RI'!C81+'A) Base RI'!D81</f>
        <v>1869784.9300000002</v>
      </c>
      <c r="D81" s="18">
        <f>'A) Base RI'!AO81</f>
        <v>-69369.039999999994</v>
      </c>
      <c r="E81" s="61">
        <f>'A) Base RI'!AP81</f>
        <v>0</v>
      </c>
      <c r="F81" s="61">
        <f>'A) Base RI'!AQ81</f>
        <v>-12276.08</v>
      </c>
      <c r="G81" s="4">
        <f t="shared" si="6"/>
        <v>1788139.81</v>
      </c>
      <c r="H81" s="18">
        <f>'A) Base RI'!E81</f>
        <v>0</v>
      </c>
      <c r="I81" s="18">
        <f>'A) Base RI'!F81</f>
        <v>0</v>
      </c>
      <c r="J81" s="18">
        <f>'A) Base RI'!G81+'A) Base RI'!H81</f>
        <v>35293.4</v>
      </c>
      <c r="K81" s="18">
        <f>'A) Base RI'!I81</f>
        <v>0</v>
      </c>
      <c r="L81" s="18">
        <f>'A) Base RI'!J81</f>
        <v>26734.720000000001</v>
      </c>
      <c r="M81" s="18">
        <f>'A) Base RI'!K81</f>
        <v>1353</v>
      </c>
      <c r="N81" s="18">
        <f>'A) Base RI'!Q81</f>
        <v>30544.400000000001</v>
      </c>
      <c r="O81" s="18">
        <f t="shared" si="7"/>
        <v>160714.4</v>
      </c>
      <c r="P81" s="18">
        <f>'A) Base RI'!L81</f>
        <v>160714.4</v>
      </c>
      <c r="Q81" s="64">
        <f>'A) Base RI'!AR81</f>
        <v>1</v>
      </c>
      <c r="R81" s="4">
        <f t="shared" si="8"/>
        <v>2042779.7299999997</v>
      </c>
      <c r="S81" s="63">
        <f>'A) Base RI'!AM81</f>
        <v>73</v>
      </c>
      <c r="T81" s="4">
        <f t="shared" si="9"/>
        <v>1880712.3299999998</v>
      </c>
      <c r="U81" s="4">
        <f t="shared" si="10"/>
        <v>27983.283972602738</v>
      </c>
      <c r="V81" s="18">
        <v>0</v>
      </c>
      <c r="W81" s="18">
        <f>'A) Base RI'!P81</f>
        <v>78880.25</v>
      </c>
      <c r="X81" s="18">
        <f>'A) Base RI'!R81</f>
        <v>53074.7</v>
      </c>
      <c r="Y81" s="4">
        <f t="shared" si="11"/>
        <v>131954.95000000001</v>
      </c>
      <c r="Z81" s="18">
        <f>'A) Base RI'!N81</f>
        <v>10971.6</v>
      </c>
      <c r="AA81" s="18">
        <f>'A) Base RI'!S81+'A) Base RI'!T81</f>
        <v>912.5</v>
      </c>
      <c r="AB81" s="18">
        <f>'A) Base RI'!U81</f>
        <v>6500</v>
      </c>
      <c r="AC81" s="18">
        <f>'A) Base RI'!V81</f>
        <v>0</v>
      </c>
      <c r="AD81" s="18">
        <f>'A) Base RI'!W81</f>
        <v>0</v>
      </c>
      <c r="AE81" s="18">
        <f>'A) Base RI'!Y81</f>
        <v>11552.85</v>
      </c>
      <c r="AF81" s="18">
        <f>'A) Base RI'!Z81</f>
        <v>61169.25</v>
      </c>
      <c r="AG81" s="18">
        <f>'A) Base RI'!AA81</f>
        <v>86847.85</v>
      </c>
      <c r="AH81" s="18">
        <f>'A) Base RI'!AB81</f>
        <v>0</v>
      </c>
      <c r="AI81" s="18">
        <f>'A) Base RI'!AC81</f>
        <v>41849.550000000003</v>
      </c>
      <c r="AJ81" s="18">
        <f>'A) Base RI'!AD81</f>
        <v>8179.55</v>
      </c>
      <c r="AK81" s="18">
        <f>'A) Base RI'!AE81</f>
        <v>29034.35</v>
      </c>
      <c r="AL81" s="18">
        <f>'A) Base RI'!AF81</f>
        <v>0</v>
      </c>
      <c r="AM81" s="18">
        <f>'A) Base RI'!AG81</f>
        <v>0</v>
      </c>
      <c r="AN81" s="18">
        <f>'A) Base RI'!AH81</f>
        <v>0</v>
      </c>
      <c r="AO81" s="18">
        <f>'A) Base RI'!AI81</f>
        <v>0</v>
      </c>
      <c r="AP81" s="18">
        <f>'A) Base RI'!AJ81</f>
        <v>0</v>
      </c>
      <c r="AQ81" s="18">
        <f>'A) Base RI'!AK81</f>
        <v>0</v>
      </c>
      <c r="AR81" s="18">
        <f>'A) Base RI'!AN81</f>
        <v>908</v>
      </c>
    </row>
    <row r="82" spans="1:44" x14ac:dyDescent="0.25">
      <c r="A82" s="13">
        <f>'A) Base RI'!A82</f>
        <v>5521</v>
      </c>
      <c r="B82" s="62" t="str">
        <f>'A) Base RI'!B82</f>
        <v>Etagnières</v>
      </c>
      <c r="C82" s="18">
        <f>'A) Base RI'!C82+'A) Base RI'!D82</f>
        <v>2295132.9</v>
      </c>
      <c r="D82" s="18">
        <f>'A) Base RI'!AO82</f>
        <v>-39130.019999999997</v>
      </c>
      <c r="E82" s="61">
        <f>'A) Base RI'!AP82</f>
        <v>0</v>
      </c>
      <c r="F82" s="61">
        <f>'A) Base RI'!AQ82</f>
        <v>-19.440000000000001</v>
      </c>
      <c r="G82" s="4">
        <f t="shared" si="6"/>
        <v>2255983.44</v>
      </c>
      <c r="H82" s="18">
        <f>'A) Base RI'!E82</f>
        <v>0</v>
      </c>
      <c r="I82" s="18">
        <f>'A) Base RI'!F82</f>
        <v>0</v>
      </c>
      <c r="J82" s="18">
        <f>'A) Base RI'!G82+'A) Base RI'!H82</f>
        <v>102601.65</v>
      </c>
      <c r="K82" s="18">
        <f>'A) Base RI'!I82</f>
        <v>0</v>
      </c>
      <c r="L82" s="18">
        <f>'A) Base RI'!J82</f>
        <v>78317.97</v>
      </c>
      <c r="M82" s="18">
        <f>'A) Base RI'!K82</f>
        <v>-4732.5</v>
      </c>
      <c r="N82" s="18">
        <f>'A) Base RI'!Q82</f>
        <v>210</v>
      </c>
      <c r="O82" s="18">
        <f t="shared" si="7"/>
        <v>217532.5</v>
      </c>
      <c r="P82" s="18">
        <f>'A) Base RI'!L82</f>
        <v>217532.5</v>
      </c>
      <c r="Q82" s="64">
        <f>'A) Base RI'!AR82</f>
        <v>1</v>
      </c>
      <c r="R82" s="4">
        <f t="shared" si="8"/>
        <v>2649913.06</v>
      </c>
      <c r="S82" s="63">
        <f>'A) Base RI'!AM82</f>
        <v>73</v>
      </c>
      <c r="T82" s="4">
        <f t="shared" si="9"/>
        <v>2437113.06</v>
      </c>
      <c r="U82" s="4">
        <f t="shared" si="10"/>
        <v>36300.178904109591</v>
      </c>
      <c r="V82" s="18">
        <f>'A) Base RI'!O82</f>
        <v>6019.2</v>
      </c>
      <c r="W82" s="18">
        <f>'A) Base RI'!P82</f>
        <v>135890.5</v>
      </c>
      <c r="X82" s="18">
        <f>'A) Base RI'!R82</f>
        <v>61308.4</v>
      </c>
      <c r="Y82" s="4">
        <f t="shared" si="11"/>
        <v>203218.1</v>
      </c>
      <c r="Z82" s="18">
        <f>'A) Base RI'!N82</f>
        <v>54331.05</v>
      </c>
      <c r="AA82" s="18">
        <f>'A) Base RI'!S82+'A) Base RI'!T82</f>
        <v>125</v>
      </c>
      <c r="AB82" s="18">
        <f>'A) Base RI'!U82</f>
        <v>0</v>
      </c>
      <c r="AC82" s="18">
        <f>'A) Base RI'!V82</f>
        <v>0</v>
      </c>
      <c r="AD82" s="18">
        <f>'A) Base RI'!W82</f>
        <v>0</v>
      </c>
      <c r="AE82" s="18">
        <f>'A) Base RI'!Y82</f>
        <v>13040</v>
      </c>
      <c r="AF82" s="18">
        <f>'A) Base RI'!Z82</f>
        <v>0</v>
      </c>
      <c r="AG82" s="18">
        <f>'A) Base RI'!AA82</f>
        <v>220562.44</v>
      </c>
      <c r="AH82" s="18">
        <f>'A) Base RI'!AB82</f>
        <v>0</v>
      </c>
      <c r="AI82" s="18">
        <f>'A) Base RI'!AC82</f>
        <v>182237.63</v>
      </c>
      <c r="AJ82" s="18">
        <f>'A) Base RI'!AD82</f>
        <v>0</v>
      </c>
      <c r="AK82" s="18">
        <f>'A) Base RI'!AE82</f>
        <v>0</v>
      </c>
      <c r="AL82" s="18">
        <f>'A) Base RI'!AF82</f>
        <v>0</v>
      </c>
      <c r="AM82" s="18">
        <f>'A) Base RI'!AG82</f>
        <v>0</v>
      </c>
      <c r="AN82" s="18">
        <f>'A) Base RI'!AH82</f>
        <v>31663.5</v>
      </c>
      <c r="AO82" s="18">
        <f>'A) Base RI'!AI82</f>
        <v>0</v>
      </c>
      <c r="AP82" s="18">
        <f>'A) Base RI'!AJ82</f>
        <v>0</v>
      </c>
      <c r="AQ82" s="18">
        <f>'A) Base RI'!AK82</f>
        <v>0</v>
      </c>
      <c r="AR82" s="18">
        <f>'A) Base RI'!AN82</f>
        <v>1106</v>
      </c>
    </row>
    <row r="83" spans="1:44" x14ac:dyDescent="0.25">
      <c r="A83" s="13">
        <f>'A) Base RI'!A83</f>
        <v>5522</v>
      </c>
      <c r="B83" s="62" t="str">
        <f>'A) Base RI'!B83</f>
        <v>Fey</v>
      </c>
      <c r="C83" s="18">
        <f>'A) Base RI'!C83+'A) Base RI'!D83</f>
        <v>1148879.95</v>
      </c>
      <c r="D83" s="18">
        <f>'A) Base RI'!AO83</f>
        <v>-80329.399999999994</v>
      </c>
      <c r="E83" s="61">
        <f>'A) Base RI'!AP83</f>
        <v>0</v>
      </c>
      <c r="F83" s="61">
        <f>'A) Base RI'!AQ83</f>
        <v>-0.08</v>
      </c>
      <c r="G83" s="4">
        <f t="shared" si="6"/>
        <v>1068550.47</v>
      </c>
      <c r="H83" s="18">
        <f>'A) Base RI'!E83</f>
        <v>0</v>
      </c>
      <c r="I83" s="18">
        <f>'A) Base RI'!F83</f>
        <v>0</v>
      </c>
      <c r="J83" s="18">
        <f>'A) Base RI'!G83+'A) Base RI'!H83</f>
        <v>23634.05</v>
      </c>
      <c r="K83" s="18">
        <f>'A) Base RI'!I83</f>
        <v>0</v>
      </c>
      <c r="L83" s="18">
        <f>'A) Base RI'!J83</f>
        <v>15252.26</v>
      </c>
      <c r="M83" s="18">
        <f>'A) Base RI'!K83</f>
        <v>916</v>
      </c>
      <c r="N83" s="18">
        <f>'A) Base RI'!Q83</f>
        <v>0</v>
      </c>
      <c r="O83" s="18">
        <f t="shared" si="7"/>
        <v>103600.7</v>
      </c>
      <c r="P83" s="18">
        <f>'A) Base RI'!L83</f>
        <v>103600.7</v>
      </c>
      <c r="Q83" s="64">
        <f>'A) Base RI'!AR83</f>
        <v>1</v>
      </c>
      <c r="R83" s="4">
        <f t="shared" si="8"/>
        <v>1211953.48</v>
      </c>
      <c r="S83" s="63">
        <f>'A) Base RI'!AM83</f>
        <v>75</v>
      </c>
      <c r="T83" s="4">
        <f t="shared" si="9"/>
        <v>1107436.78</v>
      </c>
      <c r="U83" s="4">
        <f t="shared" si="10"/>
        <v>16159.379733333333</v>
      </c>
      <c r="V83" s="18">
        <f>'A) Base RI'!O83</f>
        <v>106970.4</v>
      </c>
      <c r="W83" s="18">
        <f>'A) Base RI'!P83</f>
        <v>48637.1</v>
      </c>
      <c r="X83" s="18">
        <f>'A) Base RI'!R83</f>
        <v>16298.95</v>
      </c>
      <c r="Y83" s="4">
        <f t="shared" si="11"/>
        <v>171906.45</v>
      </c>
      <c r="Z83" s="18">
        <f>'A) Base RI'!N83</f>
        <v>9454.85</v>
      </c>
      <c r="AA83" s="18">
        <f>'A) Base RI'!S83+'A) Base RI'!T83</f>
        <v>1206.25</v>
      </c>
      <c r="AB83" s="18">
        <f>'A) Base RI'!U83</f>
        <v>3562.5</v>
      </c>
      <c r="AC83" s="18">
        <f>'A) Base RI'!V83</f>
        <v>0</v>
      </c>
      <c r="AD83" s="18">
        <f>'A) Base RI'!W83</f>
        <v>0</v>
      </c>
      <c r="AE83" s="18">
        <f>'A) Base RI'!Y83</f>
        <v>34000</v>
      </c>
      <c r="AF83" s="18">
        <f>'A) Base RI'!Z83</f>
        <v>0</v>
      </c>
      <c r="AG83" s="18">
        <f>'A) Base RI'!AA83</f>
        <v>58624.5</v>
      </c>
      <c r="AH83" s="18">
        <f>'A) Base RI'!AB83</f>
        <v>0</v>
      </c>
      <c r="AI83" s="18">
        <f>'A) Base RI'!AC83</f>
        <v>0</v>
      </c>
      <c r="AJ83" s="18">
        <f>'A) Base RI'!AD83</f>
        <v>32864.199999999997</v>
      </c>
      <c r="AK83" s="18">
        <f>'A) Base RI'!AE83</f>
        <v>0</v>
      </c>
      <c r="AL83" s="18">
        <f>'A) Base RI'!AF83</f>
        <v>0</v>
      </c>
      <c r="AM83" s="18">
        <f>'A) Base RI'!AG83</f>
        <v>0</v>
      </c>
      <c r="AN83" s="18">
        <f>'A) Base RI'!AH83</f>
        <v>0</v>
      </c>
      <c r="AO83" s="18">
        <f>'A) Base RI'!AI83</f>
        <v>0</v>
      </c>
      <c r="AP83" s="18">
        <f>'A) Base RI'!AJ83</f>
        <v>0</v>
      </c>
      <c r="AQ83" s="18">
        <f>'A) Base RI'!AK83</f>
        <v>0</v>
      </c>
      <c r="AR83" s="18">
        <f>'A) Base RI'!AN83</f>
        <v>620</v>
      </c>
    </row>
    <row r="84" spans="1:44" x14ac:dyDescent="0.25">
      <c r="A84" s="13">
        <f>'A) Base RI'!A84</f>
        <v>5523</v>
      </c>
      <c r="B84" s="62" t="str">
        <f>'A) Base RI'!B84</f>
        <v>Froideville</v>
      </c>
      <c r="C84" s="18">
        <f>'A) Base RI'!C84+'A) Base RI'!D84</f>
        <v>4886487.1500000004</v>
      </c>
      <c r="D84" s="18">
        <f>'A) Base RI'!AO84</f>
        <v>-92275.33</v>
      </c>
      <c r="E84" s="61">
        <f>'A) Base RI'!AP84</f>
        <v>0</v>
      </c>
      <c r="F84" s="61">
        <f>'A) Base RI'!AQ84</f>
        <v>-65.2</v>
      </c>
      <c r="G84" s="4">
        <f t="shared" si="6"/>
        <v>4794146.62</v>
      </c>
      <c r="H84" s="18">
        <f>'A) Base RI'!E84</f>
        <v>0</v>
      </c>
      <c r="I84" s="18">
        <f>'A) Base RI'!F84</f>
        <v>11740</v>
      </c>
      <c r="J84" s="18">
        <f>'A) Base RI'!G84+'A) Base RI'!H84</f>
        <v>145566.39999999999</v>
      </c>
      <c r="K84" s="18">
        <f>'A) Base RI'!I84</f>
        <v>48843.45</v>
      </c>
      <c r="L84" s="18">
        <f>'A) Base RI'!J84</f>
        <v>100646.58</v>
      </c>
      <c r="M84" s="18">
        <f>'A) Base RI'!K84</f>
        <v>2989</v>
      </c>
      <c r="N84" s="18">
        <f>'A) Base RI'!Q84</f>
        <v>4956.7700000000004</v>
      </c>
      <c r="O84" s="18">
        <f t="shared" si="7"/>
        <v>381569.76</v>
      </c>
      <c r="P84" s="18">
        <f>'A) Base RI'!L84</f>
        <v>476962.2</v>
      </c>
      <c r="Q84" s="64">
        <f>'A) Base RI'!AR84</f>
        <v>1.25</v>
      </c>
      <c r="R84" s="4">
        <f t="shared" si="8"/>
        <v>5490458.5800000001</v>
      </c>
      <c r="S84" s="63">
        <f>'A) Base RI'!AM84</f>
        <v>76</v>
      </c>
      <c r="T84" s="4">
        <f t="shared" si="9"/>
        <v>5094159.82</v>
      </c>
      <c r="U84" s="4">
        <f t="shared" si="10"/>
        <v>72242.876052631575</v>
      </c>
      <c r="V84" s="18">
        <f>'A) Base RI'!O84</f>
        <v>1921.35</v>
      </c>
      <c r="W84" s="18">
        <f>'A) Base RI'!P84</f>
        <v>324511.90000000002</v>
      </c>
      <c r="X84" s="18">
        <f>'A) Base RI'!R84</f>
        <v>132278.75</v>
      </c>
      <c r="Y84" s="4">
        <f t="shared" si="11"/>
        <v>458712</v>
      </c>
      <c r="Z84" s="18">
        <v>0</v>
      </c>
      <c r="AA84" s="18">
        <f>'A) Base RI'!S84+'A) Base RI'!T84</f>
        <v>4283</v>
      </c>
      <c r="AB84" s="18">
        <f>'A) Base RI'!U84</f>
        <v>11062.5</v>
      </c>
      <c r="AC84" s="18">
        <f>'A) Base RI'!V84</f>
        <v>0</v>
      </c>
      <c r="AD84" s="18">
        <f>'A) Base RI'!W84</f>
        <v>0</v>
      </c>
      <c r="AE84" s="18">
        <f>'A) Base RI'!Y84</f>
        <v>128692.3</v>
      </c>
      <c r="AF84" s="18">
        <f>'A) Base RI'!Z84</f>
        <v>4002.65</v>
      </c>
      <c r="AG84" s="18">
        <f>'A) Base RI'!AA84</f>
        <v>459237.2</v>
      </c>
      <c r="AH84" s="18">
        <f>'A) Base RI'!AB84</f>
        <v>0</v>
      </c>
      <c r="AI84" s="18">
        <f>'A) Base RI'!AC84</f>
        <v>141452.29999999999</v>
      </c>
      <c r="AJ84" s="18">
        <f>'A) Base RI'!AD84</f>
        <v>115510.1</v>
      </c>
      <c r="AK84" s="18">
        <f>'A) Base RI'!AE84</f>
        <v>3578.2</v>
      </c>
      <c r="AL84" s="18">
        <f>'A) Base RI'!AF84</f>
        <v>0</v>
      </c>
      <c r="AM84" s="18">
        <f>'A) Base RI'!AG84</f>
        <v>0</v>
      </c>
      <c r="AN84" s="18">
        <f>'A) Base RI'!AH84</f>
        <v>57373.95</v>
      </c>
      <c r="AO84" s="18">
        <f>'A) Base RI'!AI84</f>
        <v>0</v>
      </c>
      <c r="AP84" s="18">
        <f>'A) Base RI'!AJ84</f>
        <v>0</v>
      </c>
      <c r="AQ84" s="18">
        <f>'A) Base RI'!AK84</f>
        <v>0</v>
      </c>
      <c r="AR84" s="18">
        <f>'A) Base RI'!AN84</f>
        <v>2305</v>
      </c>
    </row>
    <row r="85" spans="1:44" x14ac:dyDescent="0.25">
      <c r="A85" s="13">
        <f>'A) Base RI'!A85</f>
        <v>5527</v>
      </c>
      <c r="B85" s="62" t="str">
        <f>'A) Base RI'!B85</f>
        <v>Morrens</v>
      </c>
      <c r="C85" s="18">
        <f>'A) Base RI'!C85+'A) Base RI'!D85</f>
        <v>2479562.6100000003</v>
      </c>
      <c r="D85" s="18">
        <f>'A) Base RI'!AO85</f>
        <v>-45964.09</v>
      </c>
      <c r="E85" s="61">
        <f>'A) Base RI'!AP85</f>
        <v>-6748.65</v>
      </c>
      <c r="F85" s="61">
        <f>'A) Base RI'!AQ85</f>
        <v>-0.55000000000000004</v>
      </c>
      <c r="G85" s="4">
        <f t="shared" si="6"/>
        <v>2426849.3200000008</v>
      </c>
      <c r="H85" s="18">
        <f>'A) Base RI'!E85</f>
        <v>0</v>
      </c>
      <c r="I85" s="18">
        <f>'A) Base RI'!F85</f>
        <v>0</v>
      </c>
      <c r="J85" s="18">
        <f>'A) Base RI'!G85+'A) Base RI'!H85</f>
        <v>11887.95</v>
      </c>
      <c r="K85" s="18">
        <f>'A) Base RI'!I85</f>
        <v>0</v>
      </c>
      <c r="L85" s="18">
        <f>'A) Base RI'!J85</f>
        <v>34547.599999999999</v>
      </c>
      <c r="M85" s="18">
        <f>'A) Base RI'!K85</f>
        <v>771.5</v>
      </c>
      <c r="N85" s="18">
        <f>'A) Base RI'!Q85</f>
        <v>16404.189999999999</v>
      </c>
      <c r="O85" s="18">
        <f t="shared" si="7"/>
        <v>190476.79999999999</v>
      </c>
      <c r="P85" s="18">
        <f>'A) Base RI'!L85</f>
        <v>190476.79999999999</v>
      </c>
      <c r="Q85" s="64">
        <f>'A) Base RI'!AR85</f>
        <v>1</v>
      </c>
      <c r="R85" s="4">
        <f t="shared" si="8"/>
        <v>2680937.3600000008</v>
      </c>
      <c r="S85" s="63">
        <f>'A) Base RI'!AM85</f>
        <v>71</v>
      </c>
      <c r="T85" s="4">
        <f t="shared" si="9"/>
        <v>2489689.060000001</v>
      </c>
      <c r="U85" s="4">
        <f t="shared" si="10"/>
        <v>37759.681126760574</v>
      </c>
      <c r="V85" s="18">
        <v>0</v>
      </c>
      <c r="W85" s="18">
        <f>'A) Base RI'!P85</f>
        <v>80637.8</v>
      </c>
      <c r="X85" s="18">
        <f>'A) Base RI'!R85</f>
        <v>91142.55</v>
      </c>
      <c r="Y85" s="4">
        <f t="shared" si="11"/>
        <v>171780.35</v>
      </c>
      <c r="Z85" s="18">
        <v>0</v>
      </c>
      <c r="AA85" s="18">
        <f>'A) Base RI'!S85+'A) Base RI'!T85</f>
        <v>1225</v>
      </c>
      <c r="AB85" s="18">
        <f>'A) Base RI'!U85</f>
        <v>11200</v>
      </c>
      <c r="AC85" s="18">
        <f>'A) Base RI'!V85</f>
        <v>0</v>
      </c>
      <c r="AD85" s="18">
        <f>'A) Base RI'!W85</f>
        <v>0</v>
      </c>
      <c r="AE85" s="18">
        <f>'A) Base RI'!Y85</f>
        <v>15453.65</v>
      </c>
      <c r="AF85" s="18">
        <f>'A) Base RI'!Z85</f>
        <v>0</v>
      </c>
      <c r="AG85" s="18">
        <f>'A) Base RI'!AA85</f>
        <v>99565.94</v>
      </c>
      <c r="AH85" s="18">
        <f>'A) Base RI'!AB85</f>
        <v>0</v>
      </c>
      <c r="AI85" s="18">
        <f>'A) Base RI'!AC85</f>
        <v>68917.7</v>
      </c>
      <c r="AJ85" s="18">
        <f>'A) Base RI'!AD85</f>
        <v>5761.85</v>
      </c>
      <c r="AK85" s="18">
        <f>'A) Base RI'!AE85</f>
        <v>0</v>
      </c>
      <c r="AL85" s="18">
        <f>'A) Base RI'!AF85</f>
        <v>-60</v>
      </c>
      <c r="AM85" s="18">
        <f>'A) Base RI'!AG85</f>
        <v>0</v>
      </c>
      <c r="AN85" s="18">
        <f>'A) Base RI'!AH85</f>
        <v>29914.7</v>
      </c>
      <c r="AO85" s="18">
        <f>'A) Base RI'!AI85</f>
        <v>0</v>
      </c>
      <c r="AP85" s="18">
        <f>'A) Base RI'!AJ85</f>
        <v>0</v>
      </c>
      <c r="AQ85" s="18">
        <f>'A) Base RI'!AK85</f>
        <v>0</v>
      </c>
      <c r="AR85" s="18">
        <f>'A) Base RI'!AN85</f>
        <v>1048</v>
      </c>
    </row>
    <row r="86" spans="1:44" x14ac:dyDescent="0.25">
      <c r="A86" s="13">
        <f>'A) Base RI'!A86</f>
        <v>5529</v>
      </c>
      <c r="B86" s="62" t="str">
        <f>'A) Base RI'!B86</f>
        <v>Oulens-sous-Echallens</v>
      </c>
      <c r="C86" s="18">
        <f>'A) Base RI'!C86+'A) Base RI'!D86</f>
        <v>1274364.81</v>
      </c>
      <c r="D86" s="18">
        <f>'A) Base RI'!AO86</f>
        <v>-6480.99</v>
      </c>
      <c r="E86" s="61">
        <f>'A) Base RI'!AP86</f>
        <v>0</v>
      </c>
      <c r="F86" s="61">
        <f>'A) Base RI'!AQ86</f>
        <v>-0.75</v>
      </c>
      <c r="G86" s="4">
        <f t="shared" si="6"/>
        <v>1267883.07</v>
      </c>
      <c r="H86" s="18">
        <f>'A) Base RI'!E86</f>
        <v>0</v>
      </c>
      <c r="I86" s="18">
        <f>'A) Base RI'!F86</f>
        <v>0</v>
      </c>
      <c r="J86" s="18">
        <f>'A) Base RI'!G86+'A) Base RI'!H86</f>
        <v>48797.1</v>
      </c>
      <c r="K86" s="18">
        <f>'A) Base RI'!I86</f>
        <v>0</v>
      </c>
      <c r="L86" s="18">
        <f>'A) Base RI'!J86</f>
        <v>16878.189999999999</v>
      </c>
      <c r="M86" s="18">
        <f>'A) Base RI'!K86</f>
        <v>2535</v>
      </c>
      <c r="N86" s="18">
        <f>'A) Base RI'!Q86</f>
        <v>1209.58</v>
      </c>
      <c r="O86" s="18">
        <f t="shared" si="7"/>
        <v>98122.4</v>
      </c>
      <c r="P86" s="18">
        <f>'A) Base RI'!L86</f>
        <v>98122.4</v>
      </c>
      <c r="Q86" s="64">
        <f>'A) Base RI'!AR86</f>
        <v>1</v>
      </c>
      <c r="R86" s="4">
        <f t="shared" si="8"/>
        <v>1435425.34</v>
      </c>
      <c r="S86" s="63">
        <f>'A) Base RI'!AM86</f>
        <v>74</v>
      </c>
      <c r="T86" s="4">
        <f t="shared" si="9"/>
        <v>1334767.9400000002</v>
      </c>
      <c r="U86" s="4">
        <f t="shared" si="10"/>
        <v>19397.63972972973</v>
      </c>
      <c r="V86" s="18">
        <v>0</v>
      </c>
      <c r="W86" s="18">
        <f>'A) Base RI'!P86</f>
        <v>33110</v>
      </c>
      <c r="X86" s="18">
        <v>0</v>
      </c>
      <c r="Y86" s="4">
        <f t="shared" si="11"/>
        <v>33110</v>
      </c>
      <c r="Z86" s="18">
        <f>'A) Base RI'!N86</f>
        <v>1643.3</v>
      </c>
      <c r="AA86" s="18">
        <f>'A) Base RI'!S86+'A) Base RI'!T86</f>
        <v>659.7</v>
      </c>
      <c r="AB86" s="18">
        <f>'A) Base RI'!U86</f>
        <v>1800</v>
      </c>
      <c r="AC86" s="18">
        <f>'A) Base RI'!V86</f>
        <v>0</v>
      </c>
      <c r="AD86" s="18">
        <f>'A) Base RI'!W86</f>
        <v>0</v>
      </c>
      <c r="AE86" s="18">
        <f>'A) Base RI'!Y86</f>
        <v>27344</v>
      </c>
      <c r="AF86" s="18">
        <f>'A) Base RI'!Z86</f>
        <v>0</v>
      </c>
      <c r="AG86" s="18">
        <f>'A) Base RI'!AA86</f>
        <v>22240</v>
      </c>
      <c r="AH86" s="18">
        <f>'A) Base RI'!AB86</f>
        <v>0</v>
      </c>
      <c r="AI86" s="18">
        <f>'A) Base RI'!AC86</f>
        <v>39005.5</v>
      </c>
      <c r="AJ86" s="18">
        <f>'A) Base RI'!AD86</f>
        <v>13672</v>
      </c>
      <c r="AK86" s="18">
        <f>'A) Base RI'!AE86</f>
        <v>0</v>
      </c>
      <c r="AL86" s="18">
        <f>'A) Base RI'!AF86</f>
        <v>0</v>
      </c>
      <c r="AM86" s="18">
        <f>'A) Base RI'!AG86</f>
        <v>0</v>
      </c>
      <c r="AN86" s="18">
        <f>'A) Base RI'!AH86</f>
        <v>0</v>
      </c>
      <c r="AO86" s="18">
        <f>'A) Base RI'!AI86</f>
        <v>0</v>
      </c>
      <c r="AP86" s="18">
        <f>'A) Base RI'!AJ86</f>
        <v>0</v>
      </c>
      <c r="AQ86" s="18">
        <f>'A) Base RI'!AK86</f>
        <v>0</v>
      </c>
      <c r="AR86" s="18">
        <f>'A) Base RI'!AN86</f>
        <v>529</v>
      </c>
    </row>
    <row r="87" spans="1:44" x14ac:dyDescent="0.25">
      <c r="A87" s="13">
        <f>'A) Base RI'!A87</f>
        <v>5530</v>
      </c>
      <c r="B87" s="62" t="str">
        <f>'A) Base RI'!B87</f>
        <v>Pailly</v>
      </c>
      <c r="C87" s="18">
        <f>'A) Base RI'!C87+'A) Base RI'!D87</f>
        <v>983838.47</v>
      </c>
      <c r="D87" s="18">
        <f>'A) Base RI'!AO87</f>
        <v>-2613</v>
      </c>
      <c r="E87" s="61">
        <f>'A) Base RI'!AP87</f>
        <v>0</v>
      </c>
      <c r="F87" s="61">
        <f>'A) Base RI'!AQ87</f>
        <v>-4.6100000000000003</v>
      </c>
      <c r="G87" s="4">
        <f t="shared" si="6"/>
        <v>981220.86</v>
      </c>
      <c r="H87" s="18">
        <f>'A) Base RI'!E87</f>
        <v>0</v>
      </c>
      <c r="I87" s="18">
        <f>'A) Base RI'!F87</f>
        <v>0</v>
      </c>
      <c r="J87" s="18">
        <f>'A) Base RI'!G87+'A) Base RI'!H87</f>
        <v>8366.4000000000015</v>
      </c>
      <c r="K87" s="18">
        <f>'A) Base RI'!I87</f>
        <v>0</v>
      </c>
      <c r="L87" s="18">
        <f>'A) Base RI'!J87</f>
        <v>10625.31</v>
      </c>
      <c r="M87" s="18">
        <f>'A) Base RI'!K87</f>
        <v>37.5</v>
      </c>
      <c r="N87" s="18">
        <f>'A) Base RI'!Q87</f>
        <v>0</v>
      </c>
      <c r="O87" s="18">
        <f t="shared" si="7"/>
        <v>77502.333333333343</v>
      </c>
      <c r="P87" s="18">
        <f>'A) Base RI'!L87</f>
        <v>93002.8</v>
      </c>
      <c r="Q87" s="64">
        <f>'A) Base RI'!AR87</f>
        <v>1.2</v>
      </c>
      <c r="R87" s="4">
        <f t="shared" si="8"/>
        <v>1077752.4033333333</v>
      </c>
      <c r="S87" s="63">
        <f>'A) Base RI'!AM87</f>
        <v>77.5</v>
      </c>
      <c r="T87" s="4">
        <f t="shared" si="9"/>
        <v>1000212.5700000001</v>
      </c>
      <c r="U87" s="4">
        <f t="shared" si="10"/>
        <v>13906.482623655915</v>
      </c>
      <c r="V87" s="18">
        <f>'A) Base RI'!O87</f>
        <v>827.7</v>
      </c>
      <c r="W87" s="18">
        <f>'A) Base RI'!P87</f>
        <v>38830</v>
      </c>
      <c r="X87" s="18">
        <f>'A) Base RI'!R87</f>
        <v>45302.85</v>
      </c>
      <c r="Y87" s="4">
        <f t="shared" si="11"/>
        <v>84960.549999999988</v>
      </c>
      <c r="Z87" s="18">
        <f>'A) Base RI'!N87</f>
        <v>2291.5500000000002</v>
      </c>
      <c r="AA87" s="18">
        <f>'A) Base RI'!S87+'A) Base RI'!T87</f>
        <v>31.25</v>
      </c>
      <c r="AB87" s="18">
        <f>'A) Base RI'!U87</f>
        <v>2040</v>
      </c>
      <c r="AC87" s="18">
        <f>'A) Base RI'!V87</f>
        <v>0</v>
      </c>
      <c r="AD87" s="18">
        <f>'A) Base RI'!W87</f>
        <v>0</v>
      </c>
      <c r="AE87" s="18">
        <f>'A) Base RI'!Y87</f>
        <v>52078.75</v>
      </c>
      <c r="AF87" s="18">
        <f>'A) Base RI'!Z87</f>
        <v>0</v>
      </c>
      <c r="AG87" s="18">
        <f>'A) Base RI'!AA87</f>
        <v>152817</v>
      </c>
      <c r="AH87" s="18">
        <f>'A) Base RI'!AB87</f>
        <v>0</v>
      </c>
      <c r="AI87" s="18">
        <f>'A) Base RI'!AC87</f>
        <v>39192.550000000003</v>
      </c>
      <c r="AJ87" s="18">
        <f>'A) Base RI'!AD87</f>
        <v>11697.8</v>
      </c>
      <c r="AK87" s="18">
        <f>'A) Base RI'!AE87</f>
        <v>0</v>
      </c>
      <c r="AL87" s="18">
        <f>'A) Base RI'!AF87</f>
        <v>0</v>
      </c>
      <c r="AM87" s="18">
        <f>'A) Base RI'!AG87</f>
        <v>0</v>
      </c>
      <c r="AN87" s="18">
        <f>'A) Base RI'!AH87</f>
        <v>0</v>
      </c>
      <c r="AO87" s="18">
        <f>'A) Base RI'!AI87</f>
        <v>0</v>
      </c>
      <c r="AP87" s="18">
        <f>'A) Base RI'!AJ87</f>
        <v>0</v>
      </c>
      <c r="AQ87" s="18">
        <f>'A) Base RI'!AK87</f>
        <v>0</v>
      </c>
      <c r="AR87" s="18">
        <f>'A) Base RI'!AN87</f>
        <v>524</v>
      </c>
    </row>
    <row r="88" spans="1:44" x14ac:dyDescent="0.25">
      <c r="A88" s="13">
        <f>'A) Base RI'!A88</f>
        <v>5531</v>
      </c>
      <c r="B88" s="62" t="str">
        <f>'A) Base RI'!B88</f>
        <v>Penthéréaz</v>
      </c>
      <c r="C88" s="18">
        <f>'A) Base RI'!C88+'A) Base RI'!D88</f>
        <v>953833.58000000007</v>
      </c>
      <c r="D88" s="18">
        <f>'A) Base RI'!AO88</f>
        <v>-25261.78</v>
      </c>
      <c r="E88" s="61">
        <f>'A) Base RI'!AP88</f>
        <v>0</v>
      </c>
      <c r="F88" s="61">
        <f>'A) Base RI'!AQ88</f>
        <v>-3.79</v>
      </c>
      <c r="G88" s="4">
        <f t="shared" si="6"/>
        <v>928568.01</v>
      </c>
      <c r="H88" s="18">
        <f>'A) Base RI'!E88</f>
        <v>0</v>
      </c>
      <c r="I88" s="18">
        <f>'A) Base RI'!F88</f>
        <v>0</v>
      </c>
      <c r="J88" s="18">
        <f>'A) Base RI'!G88+'A) Base RI'!H88</f>
        <v>20582.7</v>
      </c>
      <c r="K88" s="18">
        <f>'A) Base RI'!I88</f>
        <v>0</v>
      </c>
      <c r="L88" s="18">
        <f>'A) Base RI'!J88</f>
        <v>8465.3700000000008</v>
      </c>
      <c r="M88" s="18">
        <f>'A) Base RI'!K88</f>
        <v>974.5</v>
      </c>
      <c r="N88" s="18">
        <f>'A) Base RI'!Q88</f>
        <v>6366.42</v>
      </c>
      <c r="O88" s="18">
        <f t="shared" si="7"/>
        <v>63746.85</v>
      </c>
      <c r="P88" s="18">
        <f>'A) Base RI'!L88</f>
        <v>63746.85</v>
      </c>
      <c r="Q88" s="64">
        <f>'A) Base RI'!AR88</f>
        <v>1</v>
      </c>
      <c r="R88" s="4">
        <f t="shared" si="8"/>
        <v>1028703.85</v>
      </c>
      <c r="S88" s="63">
        <f>'A) Base RI'!AM88</f>
        <v>78</v>
      </c>
      <c r="T88" s="4">
        <f t="shared" si="9"/>
        <v>963982.5</v>
      </c>
      <c r="U88" s="4">
        <f t="shared" si="10"/>
        <v>13188.510897435897</v>
      </c>
      <c r="V88" s="18">
        <v>0</v>
      </c>
      <c r="W88" s="18">
        <f>'A) Base RI'!P88</f>
        <v>0</v>
      </c>
      <c r="X88" s="18">
        <v>0</v>
      </c>
      <c r="Y88" s="4">
        <f t="shared" si="11"/>
        <v>0</v>
      </c>
      <c r="Z88" s="18">
        <v>0</v>
      </c>
      <c r="AA88" s="18">
        <f>'A) Base RI'!S88+'A) Base RI'!T88</f>
        <v>0</v>
      </c>
      <c r="AB88" s="18">
        <f>'A) Base RI'!U88</f>
        <v>3650</v>
      </c>
      <c r="AC88" s="18">
        <f>'A) Base RI'!V88</f>
        <v>0</v>
      </c>
      <c r="AD88" s="18">
        <f>'A) Base RI'!W88</f>
        <v>0</v>
      </c>
      <c r="AE88" s="18">
        <f>'A) Base RI'!Y88</f>
        <v>29600</v>
      </c>
      <c r="AF88" s="18">
        <f>'A) Base RI'!Z88</f>
        <v>0</v>
      </c>
      <c r="AG88" s="18">
        <f>'A) Base RI'!AA88</f>
        <v>82238.850000000006</v>
      </c>
      <c r="AH88" s="18">
        <f>'A) Base RI'!AB88</f>
        <v>0</v>
      </c>
      <c r="AI88" s="18">
        <f>'A) Base RI'!AC88</f>
        <v>27012.5</v>
      </c>
      <c r="AJ88" s="18">
        <f>'A) Base RI'!AD88</f>
        <v>9398.2000000000007</v>
      </c>
      <c r="AK88" s="18">
        <f>'A) Base RI'!AE88</f>
        <v>0</v>
      </c>
      <c r="AL88" s="18">
        <f>'A) Base RI'!AF88</f>
        <v>0</v>
      </c>
      <c r="AM88" s="18">
        <f>'A) Base RI'!AG88</f>
        <v>0</v>
      </c>
      <c r="AN88" s="18">
        <f>'A) Base RI'!AH88</f>
        <v>0</v>
      </c>
      <c r="AO88" s="18">
        <f>'A) Base RI'!AI88</f>
        <v>0</v>
      </c>
      <c r="AP88" s="18">
        <f>'A) Base RI'!AJ88</f>
        <v>0</v>
      </c>
      <c r="AQ88" s="18">
        <f>'A) Base RI'!AK88</f>
        <v>0</v>
      </c>
      <c r="AR88" s="18">
        <f>'A) Base RI'!AN88</f>
        <v>387</v>
      </c>
    </row>
    <row r="89" spans="1:44" x14ac:dyDescent="0.25">
      <c r="A89" s="13">
        <f>'A) Base RI'!A89</f>
        <v>5533</v>
      </c>
      <c r="B89" s="62" t="str">
        <f>'A) Base RI'!B89</f>
        <v>Poliez-Pittet</v>
      </c>
      <c r="C89" s="18">
        <f>'A) Base RI'!C89+'A) Base RI'!D89</f>
        <v>1367373.77</v>
      </c>
      <c r="D89" s="18">
        <f>'A) Base RI'!AO89</f>
        <v>-35871.86</v>
      </c>
      <c r="E89" s="61">
        <f>'A) Base RI'!AP89</f>
        <v>0</v>
      </c>
      <c r="F89" s="61">
        <f>'A) Base RI'!AQ89</f>
        <v>-6.6</v>
      </c>
      <c r="G89" s="4">
        <f t="shared" si="6"/>
        <v>1331495.3099999998</v>
      </c>
      <c r="H89" s="18">
        <f>'A) Base RI'!E89</f>
        <v>0</v>
      </c>
      <c r="I89" s="18">
        <f>'A) Base RI'!F89</f>
        <v>0</v>
      </c>
      <c r="J89" s="18">
        <f>'A) Base RI'!G89+'A) Base RI'!H89</f>
        <v>166776.94999999998</v>
      </c>
      <c r="K89" s="18">
        <f>'A) Base RI'!I89</f>
        <v>0</v>
      </c>
      <c r="L89" s="18">
        <f>'A) Base RI'!J89</f>
        <v>21993.11</v>
      </c>
      <c r="M89" s="18">
        <f>'A) Base RI'!K89</f>
        <v>3965</v>
      </c>
      <c r="N89" s="18">
        <f>'A) Base RI'!Q89</f>
        <v>9660</v>
      </c>
      <c r="O89" s="18">
        <f t="shared" si="7"/>
        <v>118861.41666666669</v>
      </c>
      <c r="P89" s="18">
        <f>'A) Base RI'!L89</f>
        <v>71316.850000000006</v>
      </c>
      <c r="Q89" s="64">
        <f>'A) Base RI'!AR89</f>
        <v>0.6</v>
      </c>
      <c r="R89" s="4">
        <f t="shared" si="8"/>
        <v>1652751.7866666666</v>
      </c>
      <c r="S89" s="63">
        <f>'A) Base RI'!AM89</f>
        <v>71</v>
      </c>
      <c r="T89" s="4">
        <f t="shared" si="9"/>
        <v>1529925.3699999999</v>
      </c>
      <c r="U89" s="4">
        <f t="shared" si="10"/>
        <v>23278.194178403755</v>
      </c>
      <c r="V89" s="18">
        <v>0</v>
      </c>
      <c r="W89" s="18">
        <f>'A) Base RI'!P89</f>
        <v>21900.45</v>
      </c>
      <c r="X89" s="18">
        <f>'A) Base RI'!R89</f>
        <v>27714.5</v>
      </c>
      <c r="Y89" s="4">
        <f t="shared" si="11"/>
        <v>49614.95</v>
      </c>
      <c r="Z89" s="18">
        <f>'A) Base RI'!N89</f>
        <v>10060.25</v>
      </c>
      <c r="AA89" s="18">
        <f>'A) Base RI'!S89+'A) Base RI'!T89</f>
        <v>1761.1</v>
      </c>
      <c r="AB89" s="18">
        <f>'A) Base RI'!U89</f>
        <v>5100</v>
      </c>
      <c r="AC89" s="18">
        <f>'A) Base RI'!V89</f>
        <v>0</v>
      </c>
      <c r="AD89" s="18">
        <f>'A) Base RI'!W89</f>
        <v>0</v>
      </c>
      <c r="AE89" s="18">
        <f>'A) Base RI'!Y89</f>
        <v>36939</v>
      </c>
      <c r="AF89" s="18">
        <f>'A) Base RI'!Z89</f>
        <v>0</v>
      </c>
      <c r="AG89" s="18">
        <f>'A) Base RI'!AA89</f>
        <v>99662.5</v>
      </c>
      <c r="AH89" s="18">
        <f>'A) Base RI'!AB89</f>
        <v>0</v>
      </c>
      <c r="AI89" s="18">
        <f>'A) Base RI'!AC89</f>
        <v>0</v>
      </c>
      <c r="AJ89" s="18">
        <f>'A) Base RI'!AD89</f>
        <v>36788.32</v>
      </c>
      <c r="AK89" s="18">
        <f>'A) Base RI'!AE89</f>
        <v>0</v>
      </c>
      <c r="AL89" s="18">
        <f>'A) Base RI'!AF89</f>
        <v>0</v>
      </c>
      <c r="AM89" s="18">
        <f>'A) Base RI'!AG89</f>
        <v>0</v>
      </c>
      <c r="AN89" s="18">
        <f>'A) Base RI'!AH89</f>
        <v>0</v>
      </c>
      <c r="AO89" s="18">
        <f>'A) Base RI'!AI89</f>
        <v>0</v>
      </c>
      <c r="AP89" s="18">
        <f>'A) Base RI'!AJ89</f>
        <v>0</v>
      </c>
      <c r="AQ89" s="18">
        <f>'A) Base RI'!AK89</f>
        <v>0</v>
      </c>
      <c r="AR89" s="18">
        <f>'A) Base RI'!AN89</f>
        <v>802</v>
      </c>
    </row>
    <row r="90" spans="1:44" x14ac:dyDescent="0.25">
      <c r="A90" s="13">
        <f>'A) Base RI'!A90</f>
        <v>5534</v>
      </c>
      <c r="B90" s="62" t="str">
        <f>'A) Base RI'!B90</f>
        <v>Rueyres</v>
      </c>
      <c r="C90" s="18">
        <f>'A) Base RI'!C90+'A) Base RI'!D90</f>
        <v>425090.67</v>
      </c>
      <c r="D90" s="18">
        <f>'A) Base RI'!AO90</f>
        <v>-14017.11</v>
      </c>
      <c r="E90" s="61">
        <f>'A) Base RI'!AP90</f>
        <v>0</v>
      </c>
      <c r="F90" s="61">
        <f>'A) Base RI'!AQ90</f>
        <v>-6.22</v>
      </c>
      <c r="G90" s="4">
        <f t="shared" si="6"/>
        <v>411067.34</v>
      </c>
      <c r="H90" s="18">
        <f>'A) Base RI'!E90</f>
        <v>0</v>
      </c>
      <c r="I90" s="18">
        <f>'A) Base RI'!F90</f>
        <v>0</v>
      </c>
      <c r="J90" s="18">
        <f>'A) Base RI'!G90+'A) Base RI'!H90</f>
        <v>58237.5</v>
      </c>
      <c r="K90" s="18">
        <f>'A) Base RI'!I90</f>
        <v>0</v>
      </c>
      <c r="L90" s="18">
        <f>'A) Base RI'!J90</f>
        <v>9040.74</v>
      </c>
      <c r="M90" s="18">
        <f>'A) Base RI'!K90</f>
        <v>1598.5</v>
      </c>
      <c r="N90" s="18">
        <f>'A) Base RI'!Q90</f>
        <v>0</v>
      </c>
      <c r="O90" s="18">
        <f t="shared" si="7"/>
        <v>66960.7</v>
      </c>
      <c r="P90" s="18">
        <f>'A) Base RI'!L90</f>
        <v>66960.7</v>
      </c>
      <c r="Q90" s="64">
        <f>'A) Base RI'!AR90</f>
        <v>1</v>
      </c>
      <c r="R90" s="4">
        <f t="shared" si="8"/>
        <v>546904.78</v>
      </c>
      <c r="S90" s="63">
        <f>'A) Base RI'!AM90</f>
        <v>73</v>
      </c>
      <c r="T90" s="4">
        <f t="shared" si="9"/>
        <v>478345.58</v>
      </c>
      <c r="U90" s="4">
        <f t="shared" si="10"/>
        <v>7491.8463013698638</v>
      </c>
      <c r="V90" s="18">
        <v>0</v>
      </c>
      <c r="W90" s="18">
        <f>'A) Base RI'!P90</f>
        <v>666.6</v>
      </c>
      <c r="X90" s="18">
        <f>'A) Base RI'!R90</f>
        <v>1753.1</v>
      </c>
      <c r="Y90" s="4">
        <f t="shared" si="11"/>
        <v>2419.6999999999998</v>
      </c>
      <c r="Z90" s="18">
        <f>'A) Base RI'!N90</f>
        <v>25113.5</v>
      </c>
      <c r="AA90" s="18">
        <f>'A) Base RI'!S90+'A) Base RI'!T90</f>
        <v>224</v>
      </c>
      <c r="AB90" s="18">
        <f>'A) Base RI'!U90</f>
        <v>750</v>
      </c>
      <c r="AC90" s="18">
        <f>'A) Base RI'!V90</f>
        <v>0</v>
      </c>
      <c r="AD90" s="18">
        <f>'A) Base RI'!W90</f>
        <v>0</v>
      </c>
      <c r="AE90" s="18">
        <f>'A) Base RI'!Y90</f>
        <v>20500</v>
      </c>
      <c r="AF90" s="18">
        <f>'A) Base RI'!Z90</f>
        <v>0</v>
      </c>
      <c r="AG90" s="18">
        <f>'A) Base RI'!AA90</f>
        <v>12497.85</v>
      </c>
      <c r="AH90" s="18">
        <f>'A) Base RI'!AB90</f>
        <v>0</v>
      </c>
      <c r="AI90" s="18">
        <f>'A) Base RI'!AC90</f>
        <v>11521.65</v>
      </c>
      <c r="AJ90" s="18">
        <f>'A) Base RI'!AD90</f>
        <v>20500</v>
      </c>
      <c r="AK90" s="18">
        <f>'A) Base RI'!AE90</f>
        <v>0</v>
      </c>
      <c r="AL90" s="18">
        <f>'A) Base RI'!AF90</f>
        <v>0</v>
      </c>
      <c r="AM90" s="18">
        <f>'A) Base RI'!AG90</f>
        <v>0</v>
      </c>
      <c r="AN90" s="18">
        <f>'A) Base RI'!AH90</f>
        <v>0</v>
      </c>
      <c r="AO90" s="18">
        <f>'A) Base RI'!AI90</f>
        <v>0</v>
      </c>
      <c r="AP90" s="18">
        <f>'A) Base RI'!AJ90</f>
        <v>0</v>
      </c>
      <c r="AQ90" s="18">
        <f>'A) Base RI'!AK90</f>
        <v>0</v>
      </c>
      <c r="AR90" s="18">
        <f>'A) Base RI'!AN90</f>
        <v>261</v>
      </c>
    </row>
    <row r="91" spans="1:44" x14ac:dyDescent="0.25">
      <c r="A91" s="13">
        <f>'A) Base RI'!A91</f>
        <v>5535</v>
      </c>
      <c r="B91" s="62" t="str">
        <f>'A) Base RI'!B91</f>
        <v>Saint-Barthélemy</v>
      </c>
      <c r="C91" s="18">
        <f>'A) Base RI'!C91+'A) Base RI'!D91</f>
        <v>1436331.99</v>
      </c>
      <c r="D91" s="18">
        <f>'A) Base RI'!AO91</f>
        <v>-16073.8</v>
      </c>
      <c r="E91" s="61">
        <f>'A) Base RI'!AP91</f>
        <v>0</v>
      </c>
      <c r="F91" s="61">
        <f>'A) Base RI'!AQ91</f>
        <v>-2.84</v>
      </c>
      <c r="G91" s="4">
        <f t="shared" si="6"/>
        <v>1420255.3499999999</v>
      </c>
      <c r="H91" s="18">
        <f>'A) Base RI'!E91</f>
        <v>0</v>
      </c>
      <c r="I91" s="18">
        <f>'A) Base RI'!F91</f>
        <v>0</v>
      </c>
      <c r="J91" s="18">
        <f>'A) Base RI'!G91+'A) Base RI'!H91</f>
        <v>6335.85</v>
      </c>
      <c r="K91" s="18">
        <f>'A) Base RI'!I91</f>
        <v>0</v>
      </c>
      <c r="L91" s="18">
        <f>'A) Base RI'!J91</f>
        <v>10509.9</v>
      </c>
      <c r="M91" s="18">
        <f>'A) Base RI'!K91</f>
        <v>1218</v>
      </c>
      <c r="N91" s="18">
        <f>'A) Base RI'!Q91</f>
        <v>584.46</v>
      </c>
      <c r="O91" s="18">
        <f t="shared" si="7"/>
        <v>127079.7</v>
      </c>
      <c r="P91" s="18">
        <f>'A) Base RI'!L91</f>
        <v>127079.7</v>
      </c>
      <c r="Q91" s="64">
        <f>'A) Base RI'!AR91</f>
        <v>1</v>
      </c>
      <c r="R91" s="4">
        <f t="shared" si="8"/>
        <v>1565983.2599999998</v>
      </c>
      <c r="S91" s="63">
        <f>'A) Base RI'!AM91</f>
        <v>77</v>
      </c>
      <c r="T91" s="4">
        <f t="shared" si="9"/>
        <v>1437685.5599999998</v>
      </c>
      <c r="U91" s="4">
        <f t="shared" si="10"/>
        <v>20337.444935064934</v>
      </c>
      <c r="V91" s="18">
        <f>'A) Base RI'!O91</f>
        <v>8503.7999999999993</v>
      </c>
      <c r="W91" s="18">
        <f>'A) Base RI'!P91</f>
        <v>36515.4</v>
      </c>
      <c r="X91" s="18">
        <f>'A) Base RI'!R91</f>
        <v>20029.2</v>
      </c>
      <c r="Y91" s="4">
        <f t="shared" si="11"/>
        <v>65048.399999999994</v>
      </c>
      <c r="Z91" s="18">
        <f>'A) Base RI'!N91</f>
        <v>14016.4</v>
      </c>
      <c r="AA91" s="18">
        <f>'A) Base RI'!S91+'A) Base RI'!T91</f>
        <v>692.5</v>
      </c>
      <c r="AB91" s="18">
        <f>'A) Base RI'!U91</f>
        <v>5850</v>
      </c>
      <c r="AC91" s="18">
        <f>'A) Base RI'!V91</f>
        <v>0</v>
      </c>
      <c r="AD91" s="18">
        <f>'A) Base RI'!W91</f>
        <v>0</v>
      </c>
      <c r="AE91" s="18">
        <f>'A) Base RI'!Y91</f>
        <v>12000</v>
      </c>
      <c r="AF91" s="18">
        <f>'A) Base RI'!Z91</f>
        <v>0</v>
      </c>
      <c r="AG91" s="18">
        <f>'A) Base RI'!AA91</f>
        <v>79946</v>
      </c>
      <c r="AH91" s="18">
        <f>'A) Base RI'!AB91</f>
        <v>0</v>
      </c>
      <c r="AI91" s="18">
        <f>'A) Base RI'!AC91</f>
        <v>42515.55</v>
      </c>
      <c r="AJ91" s="18">
        <f>'A) Base RI'!AD91</f>
        <v>15125</v>
      </c>
      <c r="AK91" s="18">
        <f>'A) Base RI'!AE91</f>
        <v>0</v>
      </c>
      <c r="AL91" s="18">
        <f>'A) Base RI'!AF91</f>
        <v>0</v>
      </c>
      <c r="AM91" s="18">
        <f>'A) Base RI'!AG91</f>
        <v>0</v>
      </c>
      <c r="AN91" s="18">
        <f>'A) Base RI'!AH91</f>
        <v>0</v>
      </c>
      <c r="AO91" s="18">
        <f>'A) Base RI'!AI91</f>
        <v>0</v>
      </c>
      <c r="AP91" s="18">
        <f>'A) Base RI'!AJ91</f>
        <v>0</v>
      </c>
      <c r="AQ91" s="18">
        <f>'A) Base RI'!AK91</f>
        <v>0</v>
      </c>
      <c r="AR91" s="18">
        <f>'A) Base RI'!AN91</f>
        <v>776</v>
      </c>
    </row>
    <row r="92" spans="1:44" x14ac:dyDescent="0.25">
      <c r="A92" s="13">
        <f>'A) Base RI'!A92</f>
        <v>5537</v>
      </c>
      <c r="B92" s="62" t="str">
        <f>'A) Base RI'!B92</f>
        <v>Villars-le-Terroir</v>
      </c>
      <c r="C92" s="18">
        <f>'A) Base RI'!C92+'A) Base RI'!D92</f>
        <v>1956800.68</v>
      </c>
      <c r="D92" s="18">
        <f>'A) Base RI'!AO92</f>
        <v>-58315.22</v>
      </c>
      <c r="E92" s="61">
        <f>'A) Base RI'!AP92</f>
        <v>0</v>
      </c>
      <c r="F92" s="61">
        <f>'A) Base RI'!AQ92</f>
        <v>-36</v>
      </c>
      <c r="G92" s="4">
        <f t="shared" si="6"/>
        <v>1898449.46</v>
      </c>
      <c r="H92" s="18">
        <f>'A) Base RI'!E92</f>
        <v>0</v>
      </c>
      <c r="I92" s="18">
        <f>'A) Base RI'!F92</f>
        <v>5027.25</v>
      </c>
      <c r="J92" s="18">
        <f>'A) Base RI'!G92+'A) Base RI'!H92</f>
        <v>32146.25</v>
      </c>
      <c r="K92" s="18">
        <f>'A) Base RI'!I92</f>
        <v>0</v>
      </c>
      <c r="L92" s="18">
        <f>'A) Base RI'!J92</f>
        <v>-19443.5</v>
      </c>
      <c r="M92" s="18">
        <f>'A) Base RI'!K92</f>
        <v>351</v>
      </c>
      <c r="N92" s="18">
        <f>'A) Base RI'!Q92</f>
        <v>338.43</v>
      </c>
      <c r="O92" s="18">
        <f t="shared" si="7"/>
        <v>155747.125</v>
      </c>
      <c r="P92" s="18">
        <f>'A) Base RI'!L92</f>
        <v>124597.7</v>
      </c>
      <c r="Q92" s="64">
        <f>'A) Base RI'!AR92</f>
        <v>0.8</v>
      </c>
      <c r="R92" s="4">
        <f t="shared" si="8"/>
        <v>2072616.0149999999</v>
      </c>
      <c r="S92" s="63">
        <f>'A) Base RI'!AM92</f>
        <v>73</v>
      </c>
      <c r="T92" s="4">
        <f t="shared" si="9"/>
        <v>1911490.64</v>
      </c>
      <c r="U92" s="4">
        <f t="shared" si="10"/>
        <v>28392.00020547945</v>
      </c>
      <c r="V92" s="18">
        <f>'A) Base RI'!O92</f>
        <v>74786.7</v>
      </c>
      <c r="W92" s="18">
        <f>'A) Base RI'!P92</f>
        <v>68895.899999999994</v>
      </c>
      <c r="X92" s="18">
        <f>'A) Base RI'!R92</f>
        <v>94360.65</v>
      </c>
      <c r="Y92" s="4">
        <f t="shared" si="11"/>
        <v>238043.24999999997</v>
      </c>
      <c r="Z92" s="18">
        <v>0</v>
      </c>
      <c r="AA92" s="18">
        <f>'A) Base RI'!S92+'A) Base RI'!T92</f>
        <v>1262.5</v>
      </c>
      <c r="AB92" s="18">
        <f>'A) Base RI'!U92</f>
        <v>3750</v>
      </c>
      <c r="AC92" s="18">
        <f>'A) Base RI'!V92</f>
        <v>784.45</v>
      </c>
      <c r="AD92" s="18">
        <f>'A) Base RI'!W92</f>
        <v>0</v>
      </c>
      <c r="AE92" s="18">
        <f>'A) Base RI'!Y92</f>
        <v>130227.35</v>
      </c>
      <c r="AF92" s="18">
        <f>'A) Base RI'!Z92</f>
        <v>0</v>
      </c>
      <c r="AG92" s="18">
        <f>'A) Base RI'!AA92</f>
        <v>98555.15</v>
      </c>
      <c r="AH92" s="18">
        <f>'A) Base RI'!AB92</f>
        <v>0</v>
      </c>
      <c r="AI92" s="18">
        <f>'A) Base RI'!AC92</f>
        <v>109686.25</v>
      </c>
      <c r="AJ92" s="18">
        <f>'A) Base RI'!AD92</f>
        <v>42344.24</v>
      </c>
      <c r="AK92" s="18">
        <f>'A) Base RI'!AE92</f>
        <v>0</v>
      </c>
      <c r="AL92" s="18">
        <f>'A) Base RI'!AF92</f>
        <v>0</v>
      </c>
      <c r="AM92" s="18">
        <f>'A) Base RI'!AG92</f>
        <v>0</v>
      </c>
      <c r="AN92" s="18">
        <f>'A) Base RI'!AH92</f>
        <v>0</v>
      </c>
      <c r="AO92" s="18">
        <f>'A) Base RI'!AI92</f>
        <v>0</v>
      </c>
      <c r="AP92" s="18">
        <f>'A) Base RI'!AJ92</f>
        <v>0</v>
      </c>
      <c r="AQ92" s="18">
        <f>'A) Base RI'!AK92</f>
        <v>0</v>
      </c>
      <c r="AR92" s="18">
        <f>'A) Base RI'!AN92</f>
        <v>944</v>
      </c>
    </row>
    <row r="93" spans="1:44" x14ac:dyDescent="0.25">
      <c r="A93" s="13">
        <f>'A) Base RI'!A93</f>
        <v>5539</v>
      </c>
      <c r="B93" s="62" t="str">
        <f>'A) Base RI'!B93</f>
        <v>Vuarrens</v>
      </c>
      <c r="C93" s="18">
        <f>'A) Base RI'!C93+'A) Base RI'!D93</f>
        <v>1520304.01</v>
      </c>
      <c r="D93" s="18">
        <f>'A) Base RI'!AO93</f>
        <v>-25273.94</v>
      </c>
      <c r="E93" s="61">
        <f>'A) Base RI'!AP93</f>
        <v>0</v>
      </c>
      <c r="F93" s="61">
        <f>'A) Base RI'!AQ93</f>
        <v>-4.59</v>
      </c>
      <c r="G93" s="4">
        <f t="shared" si="6"/>
        <v>1495025.48</v>
      </c>
      <c r="H93" s="18">
        <f>'A) Base RI'!E93</f>
        <v>0</v>
      </c>
      <c r="I93" s="18">
        <f>'A) Base RI'!F93</f>
        <v>0</v>
      </c>
      <c r="J93" s="18">
        <f>'A) Base RI'!G93+'A) Base RI'!H93</f>
        <v>22936.3</v>
      </c>
      <c r="K93" s="18">
        <f>'A) Base RI'!I93</f>
        <v>0</v>
      </c>
      <c r="L93" s="18">
        <f>'A) Base RI'!J93</f>
        <v>12389.44</v>
      </c>
      <c r="M93" s="18">
        <f>'A) Base RI'!K93</f>
        <v>4684.5</v>
      </c>
      <c r="N93" s="18">
        <f>'A) Base RI'!Q93</f>
        <v>19822.41</v>
      </c>
      <c r="O93" s="18">
        <f t="shared" si="7"/>
        <v>148827.99999999997</v>
      </c>
      <c r="P93" s="18">
        <f>'A) Base RI'!L93</f>
        <v>119062.39999999999</v>
      </c>
      <c r="Q93" s="64">
        <f>'A) Base RI'!AR93</f>
        <v>0.8</v>
      </c>
      <c r="R93" s="4">
        <f t="shared" si="8"/>
        <v>1703686.13</v>
      </c>
      <c r="S93" s="63">
        <f>'A) Base RI'!AM93</f>
        <v>75</v>
      </c>
      <c r="T93" s="4">
        <f t="shared" si="9"/>
        <v>1550173.63</v>
      </c>
      <c r="U93" s="4">
        <f t="shared" si="10"/>
        <v>22715.815066666666</v>
      </c>
      <c r="V93" s="18">
        <f>'A) Base RI'!O93</f>
        <v>52482.9</v>
      </c>
      <c r="W93" s="18">
        <f>'A) Base RI'!P93</f>
        <v>112236.5</v>
      </c>
      <c r="X93" s="18">
        <f>'A) Base RI'!R93</f>
        <v>82595.850000000006</v>
      </c>
      <c r="Y93" s="4">
        <f t="shared" si="11"/>
        <v>247315.25</v>
      </c>
      <c r="Z93" s="18">
        <f>'A) Base RI'!N93</f>
        <v>13217.85</v>
      </c>
      <c r="AA93" s="18">
        <f>'A) Base RI'!S93+'A) Base RI'!T93</f>
        <v>62.5</v>
      </c>
      <c r="AB93" s="18">
        <f>'A) Base RI'!U93</f>
        <v>6100</v>
      </c>
      <c r="AC93" s="18">
        <f>'A) Base RI'!V93</f>
        <v>0</v>
      </c>
      <c r="AD93" s="18">
        <f>'A) Base RI'!W93</f>
        <v>0</v>
      </c>
      <c r="AE93" s="18">
        <f>'A) Base RI'!Y93</f>
        <v>9294.6</v>
      </c>
      <c r="AF93" s="18">
        <f>'A) Base RI'!Z93</f>
        <v>0</v>
      </c>
      <c r="AG93" s="18">
        <f>'A) Base RI'!AA93</f>
        <v>288243.59999999998</v>
      </c>
      <c r="AH93" s="18">
        <f>'A) Base RI'!AB93</f>
        <v>0</v>
      </c>
      <c r="AI93" s="18">
        <f>'A) Base RI'!AC93</f>
        <v>57320</v>
      </c>
      <c r="AJ93" s="18">
        <f>'A) Base RI'!AD93</f>
        <v>6565.35</v>
      </c>
      <c r="AK93" s="18">
        <f>'A) Base RI'!AE93</f>
        <v>0</v>
      </c>
      <c r="AL93" s="18">
        <f>'A) Base RI'!AF93</f>
        <v>0</v>
      </c>
      <c r="AM93" s="18">
        <f>'A) Base RI'!AG93</f>
        <v>0</v>
      </c>
      <c r="AN93" s="18">
        <f>'A) Base RI'!AH93</f>
        <v>22206.9</v>
      </c>
      <c r="AO93" s="18">
        <f>'A) Base RI'!AI93</f>
        <v>0</v>
      </c>
      <c r="AP93" s="18">
        <f>'A) Base RI'!AJ93</f>
        <v>0</v>
      </c>
      <c r="AQ93" s="18">
        <f>'A) Base RI'!AK93</f>
        <v>0</v>
      </c>
      <c r="AR93" s="18">
        <f>'A) Base RI'!AN93</f>
        <v>930</v>
      </c>
    </row>
    <row r="94" spans="1:44" x14ac:dyDescent="0.25">
      <c r="A94" s="13">
        <f>'A) Base RI'!A94</f>
        <v>5540</v>
      </c>
      <c r="B94" s="62" t="str">
        <f>'A) Base RI'!B94</f>
        <v>Montilliez</v>
      </c>
      <c r="C94" s="18">
        <f>'A) Base RI'!C94+'A) Base RI'!D94</f>
        <v>3337629.5300000003</v>
      </c>
      <c r="D94" s="18">
        <f>'A) Base RI'!AO94</f>
        <v>-30909.67</v>
      </c>
      <c r="E94" s="61">
        <f>'A) Base RI'!AP94</f>
        <v>-10757.05</v>
      </c>
      <c r="F94" s="61">
        <f>'A) Base RI'!AQ94</f>
        <v>-27.92</v>
      </c>
      <c r="G94" s="4">
        <f t="shared" si="6"/>
        <v>3295934.8900000006</v>
      </c>
      <c r="H94" s="18">
        <f>'A) Base RI'!E94</f>
        <v>0</v>
      </c>
      <c r="I94" s="18">
        <f>'A) Base RI'!F94</f>
        <v>0</v>
      </c>
      <c r="J94" s="18">
        <f>'A) Base RI'!G94+'A) Base RI'!H94</f>
        <v>37905.85</v>
      </c>
      <c r="K94" s="18">
        <f>'A) Base RI'!I94</f>
        <v>0</v>
      </c>
      <c r="L94" s="18">
        <f>'A) Base RI'!J94</f>
        <v>37148.89</v>
      </c>
      <c r="M94" s="18">
        <f>'A) Base RI'!K94</f>
        <v>3948</v>
      </c>
      <c r="N94" s="18">
        <f>'A) Base RI'!Q94</f>
        <v>2693.24</v>
      </c>
      <c r="O94" s="18">
        <f t="shared" si="7"/>
        <v>265321.8125</v>
      </c>
      <c r="P94" s="18">
        <f>'A) Base RI'!L94</f>
        <v>212257.45</v>
      </c>
      <c r="Q94" s="64">
        <f>'A) Base RI'!AR94</f>
        <v>0.8</v>
      </c>
      <c r="R94" s="4">
        <f t="shared" si="8"/>
        <v>3642952.682500001</v>
      </c>
      <c r="S94" s="63">
        <f>'A) Base RI'!AM94</f>
        <v>74</v>
      </c>
      <c r="T94" s="4">
        <f t="shared" si="9"/>
        <v>3373682.870000001</v>
      </c>
      <c r="U94" s="4">
        <f t="shared" si="10"/>
        <v>49229.090304054065</v>
      </c>
      <c r="V94" s="18">
        <f>'A) Base RI'!O94</f>
        <v>9084.9</v>
      </c>
      <c r="W94" s="18">
        <f>'A) Base RI'!P94</f>
        <v>126546.2</v>
      </c>
      <c r="X94" s="18">
        <f>'A) Base RI'!R94</f>
        <v>120688.2</v>
      </c>
      <c r="Y94" s="4">
        <f t="shared" si="11"/>
        <v>256319.3</v>
      </c>
      <c r="Z94" s="18">
        <f>'A) Base RI'!N94</f>
        <v>4565.3</v>
      </c>
      <c r="AA94" s="18">
        <f>'A) Base RI'!S94+'A) Base RI'!T94</f>
        <v>889.5</v>
      </c>
      <c r="AB94" s="18">
        <f>'A) Base RI'!U94</f>
        <v>11950</v>
      </c>
      <c r="AC94" s="18">
        <f>'A) Base RI'!V94</f>
        <v>0</v>
      </c>
      <c r="AD94" s="18">
        <f>'A) Base RI'!W94</f>
        <v>0</v>
      </c>
      <c r="AE94" s="18">
        <f>'A) Base RI'!Y94</f>
        <v>144538.4</v>
      </c>
      <c r="AF94" s="18">
        <f>'A) Base RI'!Z94</f>
        <v>0</v>
      </c>
      <c r="AG94" s="18">
        <f>'A) Base RI'!AA94</f>
        <v>133398.6</v>
      </c>
      <c r="AH94" s="18">
        <f>'A) Base RI'!AB94</f>
        <v>0</v>
      </c>
      <c r="AI94" s="18">
        <f>'A) Base RI'!AC94</f>
        <v>107853.9</v>
      </c>
      <c r="AJ94" s="18">
        <f>'A) Base RI'!AD94</f>
        <v>86115.8</v>
      </c>
      <c r="AK94" s="18">
        <f>'A) Base RI'!AE94</f>
        <v>0</v>
      </c>
      <c r="AL94" s="18">
        <f>'A) Base RI'!AF94</f>
        <v>0</v>
      </c>
      <c r="AM94" s="18">
        <f>'A) Base RI'!AG94</f>
        <v>0</v>
      </c>
      <c r="AN94" s="18">
        <f>'A) Base RI'!AH94</f>
        <v>256.10000000000002</v>
      </c>
      <c r="AO94" s="18">
        <f>'A) Base RI'!AI94</f>
        <v>0</v>
      </c>
      <c r="AP94" s="18">
        <f>'A) Base RI'!AJ94</f>
        <v>0</v>
      </c>
      <c r="AQ94" s="18">
        <f>'A) Base RI'!AK94</f>
        <v>0</v>
      </c>
      <c r="AR94" s="18">
        <f>'A) Base RI'!AN94</f>
        <v>1635</v>
      </c>
    </row>
    <row r="95" spans="1:44" x14ac:dyDescent="0.25">
      <c r="A95" s="13">
        <f>'A) Base RI'!A95</f>
        <v>5541</v>
      </c>
      <c r="B95" s="62" t="str">
        <f>'A) Base RI'!B95</f>
        <v>Goumoëns</v>
      </c>
      <c r="C95" s="18">
        <f>'A) Base RI'!C95+'A) Base RI'!D95</f>
        <v>2132819.9</v>
      </c>
      <c r="D95" s="18">
        <f>'A) Base RI'!AO95</f>
        <v>-175054.18</v>
      </c>
      <c r="E95" s="61">
        <f>'A) Base RI'!AP95</f>
        <v>-8107.25</v>
      </c>
      <c r="F95" s="61">
        <f>'A) Base RI'!AQ95</f>
        <v>-4.3099999999999996</v>
      </c>
      <c r="G95" s="4">
        <f t="shared" si="6"/>
        <v>1949654.16</v>
      </c>
      <c r="H95" s="18">
        <f>'A) Base RI'!E95</f>
        <v>0</v>
      </c>
      <c r="I95" s="18">
        <f>'A) Base RI'!F95</f>
        <v>0</v>
      </c>
      <c r="J95" s="18">
        <f>'A) Base RI'!G95+'A) Base RI'!H95</f>
        <v>64269.599999999999</v>
      </c>
      <c r="K95" s="18">
        <f>'A) Base RI'!I95</f>
        <v>0</v>
      </c>
      <c r="L95" s="18">
        <f>'A) Base RI'!J95</f>
        <v>12257.76</v>
      </c>
      <c r="M95" s="18">
        <f>'A) Base RI'!K95</f>
        <v>1991.5</v>
      </c>
      <c r="N95" s="18">
        <f>'A) Base RI'!Q95</f>
        <v>0</v>
      </c>
      <c r="O95" s="18">
        <f t="shared" si="7"/>
        <v>160109.29999999999</v>
      </c>
      <c r="P95" s="18">
        <f>'A) Base RI'!L95</f>
        <v>160109.29999999999</v>
      </c>
      <c r="Q95" s="64">
        <f>'A) Base RI'!AR95</f>
        <v>1</v>
      </c>
      <c r="R95" s="4">
        <f t="shared" si="8"/>
        <v>2188282.3199999998</v>
      </c>
      <c r="S95" s="63">
        <f>'A) Base RI'!AM95</f>
        <v>77</v>
      </c>
      <c r="T95" s="4">
        <f t="shared" si="9"/>
        <v>2026181.52</v>
      </c>
      <c r="U95" s="4">
        <f t="shared" si="10"/>
        <v>28419.250909090908</v>
      </c>
      <c r="V95" s="18">
        <f>'A) Base RI'!O95</f>
        <v>79921</v>
      </c>
      <c r="W95" s="18">
        <f>'A) Base RI'!P95</f>
        <v>42906.5</v>
      </c>
      <c r="X95" s="18">
        <f>'A) Base RI'!R95</f>
        <v>40640.449999999997</v>
      </c>
      <c r="Y95" s="4">
        <f t="shared" si="11"/>
        <v>163467.95000000001</v>
      </c>
      <c r="Z95" s="18">
        <v>0</v>
      </c>
      <c r="AA95" s="18">
        <f>'A) Base RI'!S95+'A) Base RI'!T95</f>
        <v>0</v>
      </c>
      <c r="AB95" s="18">
        <f>'A) Base RI'!U95</f>
        <v>7350</v>
      </c>
      <c r="AC95" s="18">
        <f>'A) Base RI'!V95</f>
        <v>0</v>
      </c>
      <c r="AD95" s="18">
        <f>'A) Base RI'!W95</f>
        <v>0</v>
      </c>
      <c r="AE95" s="18">
        <f>'A) Base RI'!Y95</f>
        <v>29374.1</v>
      </c>
      <c r="AF95" s="18">
        <f>'A) Base RI'!Z95</f>
        <v>0</v>
      </c>
      <c r="AG95" s="18">
        <f>'A) Base RI'!AA95</f>
        <v>46726.2</v>
      </c>
      <c r="AH95" s="18">
        <f>'A) Base RI'!AB95</f>
        <v>0</v>
      </c>
      <c r="AI95" s="18">
        <f>'A) Base RI'!AC95</f>
        <v>67790</v>
      </c>
      <c r="AJ95" s="18">
        <f>'A) Base RI'!AD95</f>
        <v>18108.05</v>
      </c>
      <c r="AK95" s="18">
        <f>'A) Base RI'!AE95</f>
        <v>0</v>
      </c>
      <c r="AL95" s="18">
        <f>'A) Base RI'!AF95</f>
        <v>0</v>
      </c>
      <c r="AM95" s="18">
        <f>'A) Base RI'!AG95</f>
        <v>0</v>
      </c>
      <c r="AN95" s="18">
        <f>'A) Base RI'!AH95</f>
        <v>0</v>
      </c>
      <c r="AO95" s="18">
        <f>'A) Base RI'!AI95</f>
        <v>0</v>
      </c>
      <c r="AP95" s="18">
        <f>'A) Base RI'!AJ95</f>
        <v>0</v>
      </c>
      <c r="AQ95" s="18">
        <f>'A) Base RI'!AK95</f>
        <v>0</v>
      </c>
      <c r="AR95" s="18">
        <f>'A) Base RI'!AN95</f>
        <v>962</v>
      </c>
    </row>
    <row r="96" spans="1:44" x14ac:dyDescent="0.25">
      <c r="A96" s="13">
        <f>'A) Base RI'!A96</f>
        <v>5551</v>
      </c>
      <c r="B96" s="62" t="str">
        <f>'A) Base RI'!B96</f>
        <v>Bonvillars</v>
      </c>
      <c r="C96" s="18">
        <f>'A) Base RI'!C96+'A) Base RI'!D96</f>
        <v>785379.63</v>
      </c>
      <c r="D96" s="18">
        <f>'A) Base RI'!AO96</f>
        <v>-137.32</v>
      </c>
      <c r="E96" s="61">
        <f>'A) Base RI'!AP96</f>
        <v>0</v>
      </c>
      <c r="F96" s="61">
        <f>'A) Base RI'!AQ96</f>
        <v>-21.94</v>
      </c>
      <c r="G96" s="4">
        <f t="shared" si="6"/>
        <v>785220.37000000011</v>
      </c>
      <c r="H96" s="18">
        <f>'A) Base RI'!E96</f>
        <v>0</v>
      </c>
      <c r="I96" s="18">
        <f>'A) Base RI'!F96</f>
        <v>0</v>
      </c>
      <c r="J96" s="18">
        <f>'A) Base RI'!G96+'A) Base RI'!H96</f>
        <v>245424.05000000002</v>
      </c>
      <c r="K96" s="18">
        <f>'A) Base RI'!I96</f>
        <v>0</v>
      </c>
      <c r="L96" s="18">
        <f>'A) Base RI'!J96</f>
        <v>12545.74</v>
      </c>
      <c r="M96" s="18">
        <f>'A) Base RI'!K96</f>
        <v>934.8</v>
      </c>
      <c r="N96" s="18">
        <f>'A) Base RI'!Q96</f>
        <v>0</v>
      </c>
      <c r="O96" s="18">
        <f t="shared" si="7"/>
        <v>92057.7</v>
      </c>
      <c r="P96" s="18">
        <f>'A) Base RI'!L96</f>
        <v>46028.85</v>
      </c>
      <c r="Q96" s="64">
        <f>'A) Base RI'!AR96</f>
        <v>0.5</v>
      </c>
      <c r="R96" s="4">
        <f t="shared" si="8"/>
        <v>1136182.6600000001</v>
      </c>
      <c r="S96" s="63">
        <f>'A) Base RI'!AM96</f>
        <v>55</v>
      </c>
      <c r="T96" s="4">
        <f t="shared" si="9"/>
        <v>1043190.1600000001</v>
      </c>
      <c r="U96" s="4">
        <f t="shared" si="10"/>
        <v>20657.866545454548</v>
      </c>
      <c r="V96" s="18">
        <f>'A) Base RI'!O96</f>
        <v>14137.1</v>
      </c>
      <c r="W96" s="18">
        <f>'A) Base RI'!P96</f>
        <v>135526.79999999999</v>
      </c>
      <c r="X96" s="18">
        <f>'A) Base RI'!R96</f>
        <v>18840.650000000001</v>
      </c>
      <c r="Y96" s="4">
        <f t="shared" si="11"/>
        <v>168504.55</v>
      </c>
      <c r="Z96" s="18">
        <f>'A) Base RI'!N96</f>
        <v>6810.8</v>
      </c>
      <c r="AA96" s="18">
        <f>'A) Base RI'!S96+'A) Base RI'!T96</f>
        <v>0</v>
      </c>
      <c r="AB96" s="18">
        <f>'A) Base RI'!U96</f>
        <v>1800</v>
      </c>
      <c r="AC96" s="18">
        <f>'A) Base RI'!V96</f>
        <v>0</v>
      </c>
      <c r="AD96" s="18">
        <f>'A) Base RI'!W96</f>
        <v>0</v>
      </c>
      <c r="AE96" s="18">
        <f>'A) Base RI'!Y96</f>
        <v>3780</v>
      </c>
      <c r="AF96" s="18">
        <f>'A) Base RI'!Z96</f>
        <v>0</v>
      </c>
      <c r="AG96" s="18">
        <f>'A) Base RI'!AA96</f>
        <v>86929.5</v>
      </c>
      <c r="AH96" s="18">
        <f>'A) Base RI'!AB96</f>
        <v>0</v>
      </c>
      <c r="AI96" s="18">
        <f>'A) Base RI'!AC96</f>
        <v>25247.05</v>
      </c>
      <c r="AJ96" s="18">
        <f>'A) Base RI'!AD96</f>
        <v>4277</v>
      </c>
      <c r="AK96" s="18">
        <f>'A) Base RI'!AE96</f>
        <v>0</v>
      </c>
      <c r="AL96" s="18">
        <f>'A) Base RI'!AF96</f>
        <v>0</v>
      </c>
      <c r="AM96" s="18">
        <f>'A) Base RI'!AG96</f>
        <v>1566.7</v>
      </c>
      <c r="AN96" s="18">
        <f>'A) Base RI'!AH96</f>
        <v>34503</v>
      </c>
      <c r="AO96" s="18">
        <f>'A) Base RI'!AI96</f>
        <v>0</v>
      </c>
      <c r="AP96" s="18">
        <f>'A) Base RI'!AJ96</f>
        <v>0</v>
      </c>
      <c r="AQ96" s="18">
        <f>'A) Base RI'!AK96</f>
        <v>0</v>
      </c>
      <c r="AR96" s="18">
        <f>'A) Base RI'!AN96</f>
        <v>514</v>
      </c>
    </row>
    <row r="97" spans="1:44" x14ac:dyDescent="0.25">
      <c r="A97" s="13">
        <f>'A) Base RI'!A97</f>
        <v>5552</v>
      </c>
      <c r="B97" s="62" t="str">
        <f>'A) Base RI'!B97</f>
        <v>Bullet</v>
      </c>
      <c r="C97" s="18">
        <f>'A) Base RI'!C97+'A) Base RI'!D97</f>
        <v>924362.35</v>
      </c>
      <c r="D97" s="18">
        <f>'A) Base RI'!AO97</f>
        <v>-5485.41</v>
      </c>
      <c r="E97" s="61">
        <f>'A) Base RI'!AP97</f>
        <v>0</v>
      </c>
      <c r="F97" s="61">
        <f>'A) Base RI'!AQ97</f>
        <v>-0.38</v>
      </c>
      <c r="G97" s="4">
        <f t="shared" si="6"/>
        <v>918876.55999999994</v>
      </c>
      <c r="H97" s="18">
        <f>'A) Base RI'!E97</f>
        <v>0</v>
      </c>
      <c r="I97" s="18">
        <f>'A) Base RI'!F97</f>
        <v>0</v>
      </c>
      <c r="J97" s="18">
        <f>'A) Base RI'!G97+'A) Base RI'!H97</f>
        <v>11301.75</v>
      </c>
      <c r="K97" s="18">
        <f>'A) Base RI'!I97</f>
        <v>18937.95</v>
      </c>
      <c r="L97" s="18">
        <f>'A) Base RI'!J97</f>
        <v>21762.52</v>
      </c>
      <c r="M97" s="18">
        <f>'A) Base RI'!K97</f>
        <v>1440</v>
      </c>
      <c r="N97" s="18">
        <f>'A) Base RI'!Q97</f>
        <v>124.22</v>
      </c>
      <c r="O97" s="18">
        <f t="shared" si="7"/>
        <v>101639.8</v>
      </c>
      <c r="P97" s="18">
        <f>'A) Base RI'!L97</f>
        <v>101639.8</v>
      </c>
      <c r="Q97" s="64">
        <f>'A) Base RI'!AR97</f>
        <v>1</v>
      </c>
      <c r="R97" s="4">
        <f t="shared" si="8"/>
        <v>1074082.7999999998</v>
      </c>
      <c r="S97" s="63">
        <f>'A) Base RI'!AM97</f>
        <v>70</v>
      </c>
      <c r="T97" s="4">
        <f t="shared" si="9"/>
        <v>971002.99999999988</v>
      </c>
      <c r="U97" s="4">
        <f t="shared" si="10"/>
        <v>15344.039999999997</v>
      </c>
      <c r="V97" s="18">
        <f>'A) Base RI'!O97</f>
        <v>3425.4</v>
      </c>
      <c r="W97" s="18">
        <f>'A) Base RI'!P97</f>
        <v>78390.350000000006</v>
      </c>
      <c r="X97" s="18">
        <f>'A) Base RI'!R97</f>
        <v>70872.7</v>
      </c>
      <c r="Y97" s="4">
        <f t="shared" si="11"/>
        <v>152688.45000000001</v>
      </c>
      <c r="Z97" s="18">
        <f>'A) Base RI'!N97</f>
        <v>41725.199999999997</v>
      </c>
      <c r="AA97" s="18">
        <f>'A) Base RI'!S97+'A) Base RI'!T97</f>
        <v>1110</v>
      </c>
      <c r="AB97" s="18">
        <f>'A) Base RI'!U97</f>
        <v>5650</v>
      </c>
      <c r="AC97" s="18">
        <f>'A) Base RI'!V97</f>
        <v>0</v>
      </c>
      <c r="AD97" s="18">
        <f>'A) Base RI'!W97</f>
        <v>0</v>
      </c>
      <c r="AE97" s="18">
        <f>'A) Base RI'!Y97</f>
        <v>19500</v>
      </c>
      <c r="AF97" s="18">
        <f>'A) Base RI'!Z97</f>
        <v>0</v>
      </c>
      <c r="AG97" s="18">
        <f>'A) Base RI'!AA97</f>
        <v>97192</v>
      </c>
      <c r="AH97" s="18">
        <f>'A) Base RI'!AB97</f>
        <v>0</v>
      </c>
      <c r="AI97" s="18">
        <f>'A) Base RI'!AC97</f>
        <v>62867.15</v>
      </c>
      <c r="AJ97" s="18">
        <f>'A) Base RI'!AD97</f>
        <v>20975.599999999999</v>
      </c>
      <c r="AK97" s="18">
        <f>'A) Base RI'!AE97</f>
        <v>0</v>
      </c>
      <c r="AL97" s="18">
        <f>'A) Base RI'!AF97</f>
        <v>0</v>
      </c>
      <c r="AM97" s="18">
        <f>'A) Base RI'!AG97</f>
        <v>71568.800000000003</v>
      </c>
      <c r="AN97" s="18">
        <f>'A) Base RI'!AH97</f>
        <v>27156.35</v>
      </c>
      <c r="AO97" s="18">
        <f>'A) Base RI'!AI97</f>
        <v>0</v>
      </c>
      <c r="AP97" s="18">
        <f>'A) Base RI'!AJ97</f>
        <v>0</v>
      </c>
      <c r="AQ97" s="18">
        <f>'A) Base RI'!AK97</f>
        <v>0</v>
      </c>
      <c r="AR97" s="18">
        <f>'A) Base RI'!AN97</f>
        <v>596</v>
      </c>
    </row>
    <row r="98" spans="1:44" x14ac:dyDescent="0.25">
      <c r="A98" s="13">
        <f>'A) Base RI'!A98</f>
        <v>5553</v>
      </c>
      <c r="B98" s="62" t="str">
        <f>'A) Base RI'!B98</f>
        <v>Champagne</v>
      </c>
      <c r="C98" s="18">
        <f>'A) Base RI'!C98+'A) Base RI'!D98</f>
        <v>1812771.62</v>
      </c>
      <c r="D98" s="18">
        <f>'A) Base RI'!AO98</f>
        <v>-30408.12</v>
      </c>
      <c r="E98" s="61">
        <f>'A) Base RI'!AP98</f>
        <v>0</v>
      </c>
      <c r="F98" s="61">
        <f>'A) Base RI'!AQ98</f>
        <v>-4.29</v>
      </c>
      <c r="G98" s="4">
        <f t="shared" si="6"/>
        <v>1782359.21</v>
      </c>
      <c r="H98" s="18">
        <f>'A) Base RI'!E98</f>
        <v>0</v>
      </c>
      <c r="I98" s="18">
        <f>'A) Base RI'!F98</f>
        <v>0</v>
      </c>
      <c r="J98" s="18">
        <f>'A) Base RI'!G98+'A) Base RI'!H98</f>
        <v>176148.55</v>
      </c>
      <c r="K98" s="18">
        <f>'A) Base RI'!I98</f>
        <v>0</v>
      </c>
      <c r="L98" s="18">
        <f>'A) Base RI'!J98</f>
        <v>29637.09</v>
      </c>
      <c r="M98" s="18">
        <f>'A) Base RI'!K98</f>
        <v>13505.5</v>
      </c>
      <c r="N98" s="18">
        <f>'A) Base RI'!Q98</f>
        <v>1526.32</v>
      </c>
      <c r="O98" s="18">
        <f t="shared" si="7"/>
        <v>174226.75</v>
      </c>
      <c r="P98" s="18">
        <f>'A) Base RI'!L98</f>
        <v>174226.75</v>
      </c>
      <c r="Q98" s="64">
        <f>'A) Base RI'!AR98</f>
        <v>1</v>
      </c>
      <c r="R98" s="4">
        <f t="shared" si="8"/>
        <v>2177403.42</v>
      </c>
      <c r="S98" s="63">
        <f>'A) Base RI'!AM98</f>
        <v>63</v>
      </c>
      <c r="T98" s="4">
        <f t="shared" si="9"/>
        <v>1989671.1700000002</v>
      </c>
      <c r="U98" s="4">
        <f t="shared" si="10"/>
        <v>34561.95904761905</v>
      </c>
      <c r="V98" s="18">
        <f>'A) Base RI'!O98</f>
        <v>3795.4</v>
      </c>
      <c r="W98" s="18">
        <f>'A) Base RI'!P98</f>
        <v>36456.85</v>
      </c>
      <c r="X98" s="18">
        <f>'A) Base RI'!R98</f>
        <v>50257.95</v>
      </c>
      <c r="Y98" s="4">
        <f t="shared" si="11"/>
        <v>90510.2</v>
      </c>
      <c r="Z98" s="18">
        <f>'A) Base RI'!N98</f>
        <v>91348.55</v>
      </c>
      <c r="AA98" s="18">
        <f>'A) Base RI'!S98+'A) Base RI'!T98</f>
        <v>37.5</v>
      </c>
      <c r="AB98" s="18">
        <f>'A) Base RI'!U98</f>
        <v>4000</v>
      </c>
      <c r="AC98" s="18">
        <f>'A) Base RI'!V98</f>
        <v>1363.45</v>
      </c>
      <c r="AD98" s="18">
        <f>'A) Base RI'!W98</f>
        <v>0</v>
      </c>
      <c r="AE98" s="18">
        <f>'A) Base RI'!Y98</f>
        <v>5896</v>
      </c>
      <c r="AF98" s="18">
        <f>'A) Base RI'!Z98</f>
        <v>0</v>
      </c>
      <c r="AG98" s="18">
        <f>'A) Base RI'!AA98</f>
        <v>47021.25</v>
      </c>
      <c r="AH98" s="18">
        <f>'A) Base RI'!AB98</f>
        <v>0</v>
      </c>
      <c r="AI98" s="18">
        <f>'A) Base RI'!AC98</f>
        <v>46282.6</v>
      </c>
      <c r="AJ98" s="18">
        <f>'A) Base RI'!AD98</f>
        <v>8174</v>
      </c>
      <c r="AK98" s="18">
        <f>'A) Base RI'!AE98</f>
        <v>0</v>
      </c>
      <c r="AL98" s="18">
        <f>'A) Base RI'!AF98</f>
        <v>0</v>
      </c>
      <c r="AM98" s="18">
        <f>'A) Base RI'!AG98</f>
        <v>0</v>
      </c>
      <c r="AN98" s="18">
        <f>'A) Base RI'!AH98</f>
        <v>0</v>
      </c>
      <c r="AO98" s="18">
        <f>'A) Base RI'!AI98</f>
        <v>0</v>
      </c>
      <c r="AP98" s="18">
        <f>'A) Base RI'!AJ98</f>
        <v>0</v>
      </c>
      <c r="AQ98" s="18">
        <f>'A) Base RI'!AK98</f>
        <v>0</v>
      </c>
      <c r="AR98" s="18">
        <f>'A) Base RI'!AN98</f>
        <v>1005</v>
      </c>
    </row>
    <row r="99" spans="1:44" x14ac:dyDescent="0.25">
      <c r="A99" s="13">
        <f>'A) Base RI'!A99</f>
        <v>5554</v>
      </c>
      <c r="B99" s="62" t="str">
        <f>'A) Base RI'!B99</f>
        <v>Concise</v>
      </c>
      <c r="C99" s="18">
        <f>'A) Base RI'!C99+'A) Base RI'!D99</f>
        <v>1928723.83</v>
      </c>
      <c r="D99" s="18">
        <f>'A) Base RI'!AO99</f>
        <v>-12314.08</v>
      </c>
      <c r="E99" s="61">
        <f>'A) Base RI'!AP99</f>
        <v>0</v>
      </c>
      <c r="F99" s="61">
        <f>'A) Base RI'!AQ99</f>
        <v>-44.4</v>
      </c>
      <c r="G99" s="4">
        <f t="shared" si="6"/>
        <v>1916365.35</v>
      </c>
      <c r="H99" s="18">
        <f>'A) Base RI'!E99</f>
        <v>0</v>
      </c>
      <c r="I99" s="18">
        <f>'A) Base RI'!F99</f>
        <v>9420</v>
      </c>
      <c r="J99" s="18">
        <f>'A) Base RI'!G99+'A) Base RI'!H99</f>
        <v>62010.799999999996</v>
      </c>
      <c r="K99" s="18">
        <f>'A) Base RI'!I99</f>
        <v>0</v>
      </c>
      <c r="L99" s="18">
        <f>'A) Base RI'!J99</f>
        <v>38487.449999999997</v>
      </c>
      <c r="M99" s="18">
        <f>'A) Base RI'!K99</f>
        <v>6236</v>
      </c>
      <c r="N99" s="18">
        <f>'A) Base RI'!Q99</f>
        <v>-309.66000000000003</v>
      </c>
      <c r="O99" s="18">
        <f t="shared" si="7"/>
        <v>137374.04999999999</v>
      </c>
      <c r="P99" s="18">
        <f>'A) Base RI'!L99</f>
        <v>137374.04999999999</v>
      </c>
      <c r="Q99" s="64">
        <f>'A) Base RI'!AR99</f>
        <v>1</v>
      </c>
      <c r="R99" s="4">
        <f t="shared" si="8"/>
        <v>2169583.9900000002</v>
      </c>
      <c r="S99" s="63">
        <f>'A) Base RI'!AM99</f>
        <v>75</v>
      </c>
      <c r="T99" s="4">
        <f t="shared" si="9"/>
        <v>2016553.9400000002</v>
      </c>
      <c r="U99" s="4">
        <f t="shared" si="10"/>
        <v>28927.786533333336</v>
      </c>
      <c r="V99" s="18">
        <f>'A) Base RI'!O99</f>
        <v>8161.3</v>
      </c>
      <c r="W99" s="18">
        <f>'A) Base RI'!P99</f>
        <v>44550.6</v>
      </c>
      <c r="X99" s="18">
        <f>'A) Base RI'!R99</f>
        <v>94869.8</v>
      </c>
      <c r="Y99" s="4">
        <f t="shared" si="11"/>
        <v>147581.70000000001</v>
      </c>
      <c r="Z99" s="18">
        <f>'A) Base RI'!N99</f>
        <v>5049.8</v>
      </c>
      <c r="AA99" s="18">
        <f>'A) Base RI'!S99+'A) Base RI'!T99</f>
        <v>1409</v>
      </c>
      <c r="AB99" s="18">
        <f>'A) Base RI'!U99</f>
        <v>6200</v>
      </c>
      <c r="AC99" s="18">
        <f>'A) Base RI'!V99</f>
        <v>578</v>
      </c>
      <c r="AD99" s="18">
        <f>'A) Base RI'!W99</f>
        <v>0</v>
      </c>
      <c r="AE99" s="18">
        <f>'A) Base RI'!Y99</f>
        <v>2505</v>
      </c>
      <c r="AF99" s="18">
        <f>'A) Base RI'!Z99</f>
        <v>1028.25</v>
      </c>
      <c r="AG99" s="18">
        <f>'A) Base RI'!AA99</f>
        <v>79374.600000000006</v>
      </c>
      <c r="AH99" s="18">
        <f>'A) Base RI'!AB99</f>
        <v>0</v>
      </c>
      <c r="AI99" s="18">
        <f>'A) Base RI'!AC99</f>
        <v>53135.7</v>
      </c>
      <c r="AJ99" s="18">
        <f>'A) Base RI'!AD99</f>
        <v>7079.95</v>
      </c>
      <c r="AK99" s="18">
        <f>'A) Base RI'!AE99</f>
        <v>1013.7</v>
      </c>
      <c r="AL99" s="18">
        <f>'A) Base RI'!AF99</f>
        <v>0</v>
      </c>
      <c r="AM99" s="18">
        <f>'A) Base RI'!AG99</f>
        <v>24489</v>
      </c>
      <c r="AN99" s="18">
        <f>'A) Base RI'!AH99</f>
        <v>31406.45</v>
      </c>
      <c r="AO99" s="18">
        <f>'A) Base RI'!AI99</f>
        <v>0</v>
      </c>
      <c r="AP99" s="18">
        <f>'A) Base RI'!AJ99</f>
        <v>0</v>
      </c>
      <c r="AQ99" s="18">
        <f>'A) Base RI'!AK99</f>
        <v>0</v>
      </c>
      <c r="AR99" s="18">
        <f>'A) Base RI'!AN99</f>
        <v>932</v>
      </c>
    </row>
    <row r="100" spans="1:44" x14ac:dyDescent="0.25">
      <c r="A100" s="13">
        <f>'A) Base RI'!A100</f>
        <v>5555</v>
      </c>
      <c r="B100" s="62" t="str">
        <f>'A) Base RI'!B100</f>
        <v>Corcelles-près-Concise</v>
      </c>
      <c r="C100" s="18">
        <f>'A) Base RI'!C100+'A) Base RI'!D100</f>
        <v>627377.29</v>
      </c>
      <c r="D100" s="18">
        <f>'A) Base RI'!AO100</f>
        <v>-20429.52</v>
      </c>
      <c r="E100" s="61">
        <f>'A) Base RI'!AP100</f>
        <v>0</v>
      </c>
      <c r="F100" s="61">
        <f>'A) Base RI'!AQ100</f>
        <v>0</v>
      </c>
      <c r="G100" s="4">
        <f t="shared" si="6"/>
        <v>606947.77</v>
      </c>
      <c r="H100" s="18">
        <f>'A) Base RI'!E100</f>
        <v>0</v>
      </c>
      <c r="I100" s="18">
        <f>'A) Base RI'!F100</f>
        <v>0</v>
      </c>
      <c r="J100" s="18">
        <f>'A) Base RI'!G100+'A) Base RI'!H100</f>
        <v>2985.1</v>
      </c>
      <c r="K100" s="18">
        <f>'A) Base RI'!I100</f>
        <v>0</v>
      </c>
      <c r="L100" s="18">
        <f>'A) Base RI'!J100</f>
        <v>-303.54000000000002</v>
      </c>
      <c r="M100" s="18">
        <f>'A) Base RI'!K100</f>
        <v>1433.7</v>
      </c>
      <c r="N100" s="18">
        <f>'A) Base RI'!Q100</f>
        <v>1897.61</v>
      </c>
      <c r="O100" s="18">
        <f t="shared" si="7"/>
        <v>65371.1</v>
      </c>
      <c r="P100" s="18">
        <f>'A) Base RI'!L100</f>
        <v>65371.1</v>
      </c>
      <c r="Q100" s="64">
        <f>'A) Base RI'!AR100</f>
        <v>1</v>
      </c>
      <c r="R100" s="4">
        <f t="shared" si="8"/>
        <v>678331.73999999987</v>
      </c>
      <c r="S100" s="63">
        <f>'A) Base RI'!AM100</f>
        <v>71</v>
      </c>
      <c r="T100" s="4">
        <f t="shared" si="9"/>
        <v>611526.93999999994</v>
      </c>
      <c r="U100" s="4">
        <f t="shared" si="10"/>
        <v>9553.9681690140824</v>
      </c>
      <c r="V100" s="18">
        <f>'A) Base RI'!O100</f>
        <v>-5352.8</v>
      </c>
      <c r="W100" s="18">
        <f>'A) Base RI'!P100</f>
        <v>21678.45</v>
      </c>
      <c r="X100" s="18">
        <f>'A) Base RI'!R100</f>
        <v>70006.899999999994</v>
      </c>
      <c r="Y100" s="4">
        <f t="shared" si="11"/>
        <v>86332.549999999988</v>
      </c>
      <c r="Z100" s="18">
        <f>'A) Base RI'!N100</f>
        <v>8405.7999999999993</v>
      </c>
      <c r="AA100" s="18">
        <f>'A) Base RI'!S100+'A) Base RI'!T100</f>
        <v>0</v>
      </c>
      <c r="AB100" s="18">
        <f>'A) Base RI'!U100</f>
        <v>1320</v>
      </c>
      <c r="AC100" s="18">
        <f>'A) Base RI'!V100</f>
        <v>0</v>
      </c>
      <c r="AD100" s="18">
        <f>'A) Base RI'!W100</f>
        <v>0</v>
      </c>
      <c r="AE100" s="18">
        <f>'A) Base RI'!Y100</f>
        <v>0</v>
      </c>
      <c r="AF100" s="18">
        <f>'A) Base RI'!Z100</f>
        <v>0</v>
      </c>
      <c r="AG100" s="18">
        <f>'A) Base RI'!AA100</f>
        <v>91327.9</v>
      </c>
      <c r="AH100" s="18">
        <f>'A) Base RI'!AB100</f>
        <v>0</v>
      </c>
      <c r="AI100" s="18">
        <f>'A) Base RI'!AC100</f>
        <v>18471.650000000001</v>
      </c>
      <c r="AJ100" s="18">
        <f>'A) Base RI'!AD100</f>
        <v>0</v>
      </c>
      <c r="AK100" s="18">
        <f>'A) Base RI'!AE100</f>
        <v>0</v>
      </c>
      <c r="AL100" s="18">
        <f>'A) Base RI'!AF100</f>
        <v>0</v>
      </c>
      <c r="AM100" s="18">
        <f>'A) Base RI'!AG100</f>
        <v>20145.599999999999</v>
      </c>
      <c r="AN100" s="18">
        <f>'A) Base RI'!AH100</f>
        <v>9689.35</v>
      </c>
      <c r="AO100" s="18">
        <f>'A) Base RI'!AI100</f>
        <v>0</v>
      </c>
      <c r="AP100" s="18">
        <f>'A) Base RI'!AJ100</f>
        <v>0</v>
      </c>
      <c r="AQ100" s="18">
        <f>'A) Base RI'!AK100</f>
        <v>0</v>
      </c>
      <c r="AR100" s="18">
        <f>'A) Base RI'!AN100</f>
        <v>331</v>
      </c>
    </row>
    <row r="101" spans="1:44" x14ac:dyDescent="0.25">
      <c r="A101" s="13">
        <f>'A) Base RI'!A101</f>
        <v>5556</v>
      </c>
      <c r="B101" s="62" t="str">
        <f>'A) Base RI'!B101</f>
        <v>Fiez</v>
      </c>
      <c r="C101" s="18">
        <f>'A) Base RI'!C101+'A) Base RI'!D101</f>
        <v>688608.16999999993</v>
      </c>
      <c r="D101" s="18">
        <f>'A) Base RI'!AO101</f>
        <v>-1577.23</v>
      </c>
      <c r="E101" s="61">
        <f>'A) Base RI'!AP101</f>
        <v>0</v>
      </c>
      <c r="F101" s="61">
        <f>'A) Base RI'!AQ101</f>
        <v>-8.58</v>
      </c>
      <c r="G101" s="4">
        <f t="shared" si="6"/>
        <v>687022.36</v>
      </c>
      <c r="H101" s="18">
        <f>'A) Base RI'!E101</f>
        <v>0</v>
      </c>
      <c r="I101" s="18">
        <f>'A) Base RI'!F101</f>
        <v>2210</v>
      </c>
      <c r="J101" s="18">
        <f>'A) Base RI'!G101+'A) Base RI'!H101</f>
        <v>3592.7999999999997</v>
      </c>
      <c r="K101" s="18">
        <f>'A) Base RI'!I101</f>
        <v>0</v>
      </c>
      <c r="L101" s="18">
        <f>'A) Base RI'!J101</f>
        <v>3095.31</v>
      </c>
      <c r="M101" s="18">
        <f>'A) Base RI'!K101</f>
        <v>196.5</v>
      </c>
      <c r="N101" s="18">
        <f>'A) Base RI'!Q101</f>
        <v>652.5</v>
      </c>
      <c r="O101" s="18">
        <f t="shared" si="7"/>
        <v>57427.791666666672</v>
      </c>
      <c r="P101" s="18">
        <f>'A) Base RI'!L101</f>
        <v>68913.350000000006</v>
      </c>
      <c r="Q101" s="64">
        <f>'A) Base RI'!AR101</f>
        <v>1.2</v>
      </c>
      <c r="R101" s="4">
        <f t="shared" si="8"/>
        <v>754197.26166666672</v>
      </c>
      <c r="S101" s="63">
        <f>'A) Base RI'!AM101</f>
        <v>69</v>
      </c>
      <c r="T101" s="4">
        <f t="shared" si="9"/>
        <v>694362.97000000009</v>
      </c>
      <c r="U101" s="4">
        <f t="shared" si="10"/>
        <v>10930.395096618358</v>
      </c>
      <c r="V101" s="18">
        <f>'A) Base RI'!O101</f>
        <v>63058.2</v>
      </c>
      <c r="W101" s="18">
        <f>'A) Base RI'!P101</f>
        <v>6908</v>
      </c>
      <c r="X101" s="18">
        <f>'A) Base RI'!R101</f>
        <v>10710.5</v>
      </c>
      <c r="Y101" s="4">
        <f t="shared" si="11"/>
        <v>80676.7</v>
      </c>
      <c r="Z101" s="18">
        <f>'A) Base RI'!N101</f>
        <v>11623.35</v>
      </c>
      <c r="AA101" s="18">
        <f>'A) Base RI'!S101+'A) Base RI'!T101</f>
        <v>100</v>
      </c>
      <c r="AB101" s="18">
        <f>'A) Base RI'!U101</f>
        <v>3060</v>
      </c>
      <c r="AC101" s="18">
        <f>'A) Base RI'!V101</f>
        <v>0</v>
      </c>
      <c r="AD101" s="18">
        <f>'A) Base RI'!W101</f>
        <v>0</v>
      </c>
      <c r="AE101" s="18">
        <f>'A) Base RI'!Y101</f>
        <v>0</v>
      </c>
      <c r="AF101" s="18">
        <f>'A) Base RI'!Z101</f>
        <v>0</v>
      </c>
      <c r="AG101" s="18">
        <f>'A) Base RI'!AA101</f>
        <v>62644.1</v>
      </c>
      <c r="AH101" s="18">
        <f>'A) Base RI'!AB101</f>
        <v>0</v>
      </c>
      <c r="AI101" s="18">
        <f>'A) Base RI'!AC101</f>
        <v>23512.85</v>
      </c>
      <c r="AJ101" s="18">
        <f>'A) Base RI'!AD101</f>
        <v>585</v>
      </c>
      <c r="AK101" s="18">
        <f>'A) Base RI'!AE101</f>
        <v>0</v>
      </c>
      <c r="AL101" s="18">
        <f>'A) Base RI'!AF101</f>
        <v>0</v>
      </c>
      <c r="AM101" s="18">
        <f>'A) Base RI'!AG101</f>
        <v>480</v>
      </c>
      <c r="AN101" s="18">
        <f>'A) Base RI'!AH101</f>
        <v>0</v>
      </c>
      <c r="AO101" s="18">
        <f>'A) Base RI'!AI101</f>
        <v>0</v>
      </c>
      <c r="AP101" s="18">
        <f>'A) Base RI'!AJ101</f>
        <v>0</v>
      </c>
      <c r="AQ101" s="18">
        <f>'A) Base RI'!AK101</f>
        <v>0</v>
      </c>
      <c r="AR101" s="18">
        <f>'A) Base RI'!AN101</f>
        <v>411</v>
      </c>
    </row>
    <row r="102" spans="1:44" x14ac:dyDescent="0.25">
      <c r="A102" s="13">
        <f>'A) Base RI'!A102</f>
        <v>5557</v>
      </c>
      <c r="B102" s="62" t="str">
        <f>'A) Base RI'!B102</f>
        <v>Fontaines-sur-Grandson</v>
      </c>
      <c r="C102" s="18">
        <f>'A) Base RI'!C102+'A) Base RI'!D102</f>
        <v>284841.34000000003</v>
      </c>
      <c r="D102" s="18">
        <f>'A) Base RI'!AO102</f>
        <v>-2144.98</v>
      </c>
      <c r="E102" s="61">
        <f>'A) Base RI'!AP102</f>
        <v>0</v>
      </c>
      <c r="F102" s="61">
        <f>'A) Base RI'!AQ102</f>
        <v>-0.08</v>
      </c>
      <c r="G102" s="4">
        <f t="shared" si="6"/>
        <v>282696.28000000003</v>
      </c>
      <c r="H102" s="18">
        <f>'A) Base RI'!E102</f>
        <v>0</v>
      </c>
      <c r="I102" s="18">
        <f>'A) Base RI'!F102</f>
        <v>890</v>
      </c>
      <c r="J102" s="18">
        <f>'A) Base RI'!G102+'A) Base RI'!H102</f>
        <v>10916.099999999999</v>
      </c>
      <c r="K102" s="18">
        <f>'A) Base RI'!I102</f>
        <v>0</v>
      </c>
      <c r="L102" s="18">
        <f>'A) Base RI'!J102</f>
        <v>750.9</v>
      </c>
      <c r="M102" s="18">
        <f>'A) Base RI'!K102</f>
        <v>270.5</v>
      </c>
      <c r="N102" s="18">
        <f>'A) Base RI'!Q102</f>
        <v>0</v>
      </c>
      <c r="O102" s="18">
        <f t="shared" si="7"/>
        <v>21519.599999999999</v>
      </c>
      <c r="P102" s="18">
        <f>'A) Base RI'!L102</f>
        <v>21519.599999999999</v>
      </c>
      <c r="Q102" s="64">
        <f>'A) Base RI'!AR102</f>
        <v>1</v>
      </c>
      <c r="R102" s="4">
        <f t="shared" si="8"/>
        <v>317043.38</v>
      </c>
      <c r="S102" s="63">
        <f>'A) Base RI'!AM102</f>
        <v>69</v>
      </c>
      <c r="T102" s="4">
        <f t="shared" si="9"/>
        <v>294363.28000000003</v>
      </c>
      <c r="U102" s="4">
        <f t="shared" si="10"/>
        <v>4594.8315942028985</v>
      </c>
      <c r="V102" s="18">
        <f>'A) Base RI'!O102</f>
        <v>50000</v>
      </c>
      <c r="W102" s="18">
        <v>0</v>
      </c>
      <c r="X102" s="18">
        <f>'A) Base RI'!R102</f>
        <v>23679.55</v>
      </c>
      <c r="Y102" s="4">
        <f t="shared" si="11"/>
        <v>73679.55</v>
      </c>
      <c r="Z102" s="18">
        <v>0</v>
      </c>
      <c r="AA102" s="18">
        <f>'A) Base RI'!S102+'A) Base RI'!T102</f>
        <v>0</v>
      </c>
      <c r="AB102" s="18">
        <f>'A) Base RI'!U102</f>
        <v>510</v>
      </c>
      <c r="AC102" s="18">
        <f>'A) Base RI'!V102</f>
        <v>0</v>
      </c>
      <c r="AD102" s="18">
        <f>'A) Base RI'!W102</f>
        <v>0</v>
      </c>
      <c r="AE102" s="18">
        <f>'A) Base RI'!Y102</f>
        <v>9000</v>
      </c>
      <c r="AF102" s="18">
        <f>'A) Base RI'!Z102</f>
        <v>0</v>
      </c>
      <c r="AG102" s="18">
        <f>'A) Base RI'!AA102</f>
        <v>21600</v>
      </c>
      <c r="AH102" s="18">
        <f>'A) Base RI'!AB102</f>
        <v>0</v>
      </c>
      <c r="AI102" s="18">
        <f>'A) Base RI'!AC102</f>
        <v>18759.75</v>
      </c>
      <c r="AJ102" s="18">
        <f>'A) Base RI'!AD102</f>
        <v>4500</v>
      </c>
      <c r="AK102" s="18">
        <f>'A) Base RI'!AE102</f>
        <v>0</v>
      </c>
      <c r="AL102" s="18">
        <f>'A) Base RI'!AF102</f>
        <v>0</v>
      </c>
      <c r="AM102" s="18">
        <f>'A) Base RI'!AG102</f>
        <v>0</v>
      </c>
      <c r="AN102" s="18">
        <f>'A) Base RI'!AH102</f>
        <v>0</v>
      </c>
      <c r="AO102" s="18">
        <f>'A) Base RI'!AI102</f>
        <v>0</v>
      </c>
      <c r="AP102" s="18">
        <f>'A) Base RI'!AJ102</f>
        <v>0</v>
      </c>
      <c r="AQ102" s="18">
        <f>'A) Base RI'!AK102</f>
        <v>0</v>
      </c>
      <c r="AR102" s="18">
        <f>'A) Base RI'!AN102</f>
        <v>183</v>
      </c>
    </row>
    <row r="103" spans="1:44" x14ac:dyDescent="0.25">
      <c r="A103" s="13">
        <f>'A) Base RI'!A103</f>
        <v>5559</v>
      </c>
      <c r="B103" s="62" t="str">
        <f>'A) Base RI'!B103</f>
        <v>Giez</v>
      </c>
      <c r="C103" s="18">
        <f>'A) Base RI'!C103+'A) Base RI'!D103</f>
        <v>826128.55999999994</v>
      </c>
      <c r="D103" s="18">
        <f>'A) Base RI'!AO103</f>
        <v>-12452.28</v>
      </c>
      <c r="E103" s="61">
        <f>'A) Base RI'!AP103</f>
        <v>0</v>
      </c>
      <c r="F103" s="61">
        <f>'A) Base RI'!AQ103</f>
        <v>-298.44</v>
      </c>
      <c r="G103" s="4">
        <f t="shared" si="6"/>
        <v>813377.84</v>
      </c>
      <c r="H103" s="18">
        <f>'A) Base RI'!E103</f>
        <v>0</v>
      </c>
      <c r="I103" s="18">
        <f>'A) Base RI'!F103</f>
        <v>0</v>
      </c>
      <c r="J103" s="18">
        <f>'A) Base RI'!G103+'A) Base RI'!H103</f>
        <v>63718.05</v>
      </c>
      <c r="K103" s="18">
        <f>'A) Base RI'!I103</f>
        <v>0</v>
      </c>
      <c r="L103" s="18">
        <f>'A) Base RI'!J103</f>
        <v>18561.12</v>
      </c>
      <c r="M103" s="18">
        <f>'A) Base RI'!K103</f>
        <v>2965.5</v>
      </c>
      <c r="N103" s="18">
        <f>'A) Base RI'!Q103</f>
        <v>0</v>
      </c>
      <c r="O103" s="18">
        <f t="shared" si="7"/>
        <v>74798.899999999994</v>
      </c>
      <c r="P103" s="18">
        <f>'A) Base RI'!L103</f>
        <v>74798.899999999994</v>
      </c>
      <c r="Q103" s="64">
        <f>'A) Base RI'!AR103</f>
        <v>1</v>
      </c>
      <c r="R103" s="4">
        <f t="shared" si="8"/>
        <v>973421.41</v>
      </c>
      <c r="S103" s="63">
        <f>'A) Base RI'!AM103</f>
        <v>66</v>
      </c>
      <c r="T103" s="4">
        <f t="shared" si="9"/>
        <v>895657.01</v>
      </c>
      <c r="U103" s="4">
        <f t="shared" si="10"/>
        <v>14748.809242424242</v>
      </c>
      <c r="V103" s="18">
        <f>'A) Base RI'!O103</f>
        <v>92904.1</v>
      </c>
      <c r="W103" s="18">
        <f>'A) Base RI'!P103</f>
        <v>36113.9</v>
      </c>
      <c r="X103" s="18">
        <f>'A) Base RI'!R103</f>
        <v>133581.75</v>
      </c>
      <c r="Y103" s="4">
        <f t="shared" si="11"/>
        <v>262599.75</v>
      </c>
      <c r="Z103" s="18">
        <f>'A) Base RI'!N103</f>
        <v>20125.150000000001</v>
      </c>
      <c r="AA103" s="18">
        <f>'A) Base RI'!S103+'A) Base RI'!T103</f>
        <v>250</v>
      </c>
      <c r="AB103" s="18">
        <f>'A) Base RI'!U103</f>
        <v>900</v>
      </c>
      <c r="AC103" s="18">
        <f>'A) Base RI'!V103</f>
        <v>265.8</v>
      </c>
      <c r="AD103" s="18">
        <f>'A) Base RI'!W103</f>
        <v>0</v>
      </c>
      <c r="AE103" s="18">
        <f>'A) Base RI'!Y103</f>
        <v>0</v>
      </c>
      <c r="AF103" s="18">
        <f>'A) Base RI'!Z103</f>
        <v>0</v>
      </c>
      <c r="AG103" s="18">
        <f>'A) Base RI'!AA103</f>
        <v>80977.649999999994</v>
      </c>
      <c r="AH103" s="18">
        <f>'A) Base RI'!AB103</f>
        <v>0</v>
      </c>
      <c r="AI103" s="18">
        <f>'A) Base RI'!AC103</f>
        <v>24552.799999999999</v>
      </c>
      <c r="AJ103" s="18">
        <f>'A) Base RI'!AD103</f>
        <v>0</v>
      </c>
      <c r="AK103" s="18">
        <f>'A) Base RI'!AE103</f>
        <v>0</v>
      </c>
      <c r="AL103" s="18">
        <f>'A) Base RI'!AF103</f>
        <v>0</v>
      </c>
      <c r="AM103" s="18">
        <f>'A) Base RI'!AG103</f>
        <v>4620.2</v>
      </c>
      <c r="AN103" s="18">
        <f>'A) Base RI'!AH103</f>
        <v>0</v>
      </c>
      <c r="AO103" s="18">
        <f>'A) Base RI'!AI103</f>
        <v>0</v>
      </c>
      <c r="AP103" s="18">
        <f>'A) Base RI'!AJ103</f>
        <v>0</v>
      </c>
      <c r="AQ103" s="18">
        <f>'A) Base RI'!AK103</f>
        <v>0</v>
      </c>
      <c r="AR103" s="18">
        <f>'A) Base RI'!AN103</f>
        <v>384</v>
      </c>
    </row>
    <row r="104" spans="1:44" x14ac:dyDescent="0.25">
      <c r="A104" s="13">
        <f>'A) Base RI'!A104</f>
        <v>5560</v>
      </c>
      <c r="B104" s="62" t="str">
        <f>'A) Base RI'!B104</f>
        <v>Grandevent</v>
      </c>
      <c r="C104" s="18">
        <f>'A) Base RI'!C104+'A) Base RI'!D104</f>
        <v>365321.94</v>
      </c>
      <c r="D104" s="18">
        <f>'A) Base RI'!AO104</f>
        <v>-626.13</v>
      </c>
      <c r="E104" s="61">
        <f>'A) Base RI'!AP104</f>
        <v>0</v>
      </c>
      <c r="F104" s="61">
        <f>'A) Base RI'!AQ104</f>
        <v>0</v>
      </c>
      <c r="G104" s="4">
        <f t="shared" si="6"/>
        <v>364695.81</v>
      </c>
      <c r="H104" s="18">
        <f>'A) Base RI'!E104</f>
        <v>0</v>
      </c>
      <c r="I104" s="18">
        <f>'A) Base RI'!F104</f>
        <v>0</v>
      </c>
      <c r="J104" s="18">
        <f>'A) Base RI'!G104+'A) Base RI'!H104</f>
        <v>888.8</v>
      </c>
      <c r="K104" s="18">
        <f>'A) Base RI'!I104</f>
        <v>0</v>
      </c>
      <c r="L104" s="18">
        <f>'A) Base RI'!J104</f>
        <v>4358.21</v>
      </c>
      <c r="M104" s="18">
        <f>'A) Base RI'!K104</f>
        <v>248</v>
      </c>
      <c r="N104" s="18">
        <f>'A) Base RI'!Q104</f>
        <v>82.14</v>
      </c>
      <c r="O104" s="18">
        <f t="shared" si="7"/>
        <v>33459.75</v>
      </c>
      <c r="P104" s="18">
        <f>'A) Base RI'!L104</f>
        <v>33459.75</v>
      </c>
      <c r="Q104" s="64">
        <f>'A) Base RI'!AR104</f>
        <v>1</v>
      </c>
      <c r="R104" s="4">
        <f t="shared" si="8"/>
        <v>403732.71</v>
      </c>
      <c r="S104" s="63">
        <f>'A) Base RI'!AM104</f>
        <v>66</v>
      </c>
      <c r="T104" s="4">
        <f t="shared" si="9"/>
        <v>370024.96000000002</v>
      </c>
      <c r="U104" s="4">
        <f t="shared" si="10"/>
        <v>6117.1622727272734</v>
      </c>
      <c r="V104" s="18">
        <v>0</v>
      </c>
      <c r="W104" s="18">
        <f>'A) Base RI'!P104</f>
        <v>29814.400000000001</v>
      </c>
      <c r="X104" s="18">
        <f>'A) Base RI'!R104</f>
        <v>62537.95</v>
      </c>
      <c r="Y104" s="4">
        <f t="shared" si="11"/>
        <v>92352.35</v>
      </c>
      <c r="Z104" s="18">
        <v>0</v>
      </c>
      <c r="AA104" s="18">
        <f>'A) Base RI'!S104+'A) Base RI'!T104</f>
        <v>0</v>
      </c>
      <c r="AB104" s="18">
        <f>'A) Base RI'!U104</f>
        <v>1500</v>
      </c>
      <c r="AC104" s="18">
        <f>'A) Base RI'!V104</f>
        <v>0</v>
      </c>
      <c r="AD104" s="18">
        <f>'A) Base RI'!W104</f>
        <v>0</v>
      </c>
      <c r="AE104" s="18">
        <f>'A) Base RI'!Y104</f>
        <v>0</v>
      </c>
      <c r="AF104" s="18">
        <f>'A) Base RI'!Z104</f>
        <v>0</v>
      </c>
      <c r="AG104" s="18">
        <f>'A) Base RI'!AA104</f>
        <v>31614.400000000001</v>
      </c>
      <c r="AH104" s="18">
        <f>'A) Base RI'!AB104</f>
        <v>0</v>
      </c>
      <c r="AI104" s="18">
        <f>'A) Base RI'!AC104</f>
        <v>13153.2</v>
      </c>
      <c r="AJ104" s="18">
        <f>'A) Base RI'!AD104</f>
        <v>0</v>
      </c>
      <c r="AK104" s="18">
        <f>'A) Base RI'!AE104</f>
        <v>0</v>
      </c>
      <c r="AL104" s="18">
        <f>'A) Base RI'!AF104</f>
        <v>0</v>
      </c>
      <c r="AM104" s="18">
        <f>'A) Base RI'!AG104</f>
        <v>0</v>
      </c>
      <c r="AN104" s="18">
        <f>'A) Base RI'!AH104</f>
        <v>0</v>
      </c>
      <c r="AO104" s="18">
        <f>'A) Base RI'!AI104</f>
        <v>0</v>
      </c>
      <c r="AP104" s="18">
        <f>'A) Base RI'!AJ104</f>
        <v>0</v>
      </c>
      <c r="AQ104" s="18">
        <f>'A) Base RI'!AK104</f>
        <v>0</v>
      </c>
      <c r="AR104" s="18">
        <f>'A) Base RI'!AN104</f>
        <v>226</v>
      </c>
    </row>
    <row r="105" spans="1:44" x14ac:dyDescent="0.25">
      <c r="A105" s="13">
        <f>'A) Base RI'!A105</f>
        <v>5561</v>
      </c>
      <c r="B105" s="62" t="str">
        <f>'A) Base RI'!B105</f>
        <v>Grandson</v>
      </c>
      <c r="C105" s="18">
        <f>'A) Base RI'!C105+'A) Base RI'!D105</f>
        <v>6566962.8899999997</v>
      </c>
      <c r="D105" s="18">
        <f>'A) Base RI'!AO105</f>
        <v>-83930.67</v>
      </c>
      <c r="E105" s="61">
        <f>'A) Base RI'!AP105</f>
        <v>-25778.45</v>
      </c>
      <c r="F105" s="61">
        <f>'A) Base RI'!AQ105</f>
        <v>-765.92</v>
      </c>
      <c r="G105" s="4">
        <f t="shared" si="6"/>
        <v>6456487.8499999996</v>
      </c>
      <c r="H105" s="18">
        <f>'A) Base RI'!E105</f>
        <v>0</v>
      </c>
      <c r="I105" s="18">
        <f>'A) Base RI'!F105</f>
        <v>0</v>
      </c>
      <c r="J105" s="18">
        <f>'A) Base RI'!G105+'A) Base RI'!H105</f>
        <v>360687.25</v>
      </c>
      <c r="K105" s="18">
        <f>'A) Base RI'!I105</f>
        <v>28562.65</v>
      </c>
      <c r="L105" s="18">
        <f>'A) Base RI'!J105</f>
        <v>95589.15</v>
      </c>
      <c r="M105" s="18">
        <f>'A) Base RI'!K105</f>
        <v>19056.5</v>
      </c>
      <c r="N105" s="18">
        <f>'A) Base RI'!Q105</f>
        <v>11439.79</v>
      </c>
      <c r="O105" s="18">
        <f t="shared" si="7"/>
        <v>517106.4</v>
      </c>
      <c r="P105" s="18">
        <f>'A) Base RI'!L105</f>
        <v>517106.4</v>
      </c>
      <c r="Q105" s="64">
        <f>'A) Base RI'!AR105</f>
        <v>1</v>
      </c>
      <c r="R105" s="4">
        <f t="shared" si="8"/>
        <v>7488929.5900000008</v>
      </c>
      <c r="S105" s="63">
        <f>'A) Base RI'!AM105</f>
        <v>69</v>
      </c>
      <c r="T105" s="4">
        <f t="shared" si="9"/>
        <v>6952766.6900000004</v>
      </c>
      <c r="U105" s="4">
        <f t="shared" si="10"/>
        <v>108535.21144927538</v>
      </c>
      <c r="V105" s="18">
        <f>'A) Base RI'!O105</f>
        <v>151822.29999999999</v>
      </c>
      <c r="W105" s="18">
        <f>'A) Base RI'!P105</f>
        <v>200210.4</v>
      </c>
      <c r="X105" s="18">
        <f>'A) Base RI'!R105</f>
        <v>182851.5</v>
      </c>
      <c r="Y105" s="4">
        <f t="shared" si="11"/>
        <v>534884.19999999995</v>
      </c>
      <c r="Z105" s="18">
        <f>'A) Base RI'!N105</f>
        <v>291563.84999999998</v>
      </c>
      <c r="AA105" s="18">
        <f>'A) Base RI'!S105+'A) Base RI'!T105</f>
        <v>7868</v>
      </c>
      <c r="AB105" s="18">
        <f>'A) Base RI'!U105</f>
        <v>10038.35</v>
      </c>
      <c r="AC105" s="18">
        <f>'A) Base RI'!V105</f>
        <v>0</v>
      </c>
      <c r="AD105" s="18">
        <f>'A) Base RI'!W105</f>
        <v>0</v>
      </c>
      <c r="AE105" s="18">
        <f>'A) Base RI'!Y105</f>
        <v>32277.85</v>
      </c>
      <c r="AF105" s="18">
        <f>'A) Base RI'!Z105</f>
        <v>0</v>
      </c>
      <c r="AG105" s="18">
        <f>'A) Base RI'!AA105</f>
        <v>481303.5</v>
      </c>
      <c r="AH105" s="18">
        <f>'A) Base RI'!AB105</f>
        <v>0</v>
      </c>
      <c r="AI105" s="18">
        <f>'A) Base RI'!AC105</f>
        <v>285358.90000000002</v>
      </c>
      <c r="AJ105" s="18">
        <f>'A) Base RI'!AD105</f>
        <v>118705.65</v>
      </c>
      <c r="AK105" s="18">
        <f>'A) Base RI'!AE105</f>
        <v>0</v>
      </c>
      <c r="AL105" s="18">
        <f>'A) Base RI'!AF105</f>
        <v>0</v>
      </c>
      <c r="AM105" s="18">
        <f>'A) Base RI'!AG105</f>
        <v>63510.1</v>
      </c>
      <c r="AN105" s="18">
        <f>'A) Base RI'!AH105</f>
        <v>49000</v>
      </c>
      <c r="AO105" s="18">
        <f>'A) Base RI'!AI105</f>
        <v>0</v>
      </c>
      <c r="AP105" s="18">
        <f>'A) Base RI'!AJ105</f>
        <v>0</v>
      </c>
      <c r="AQ105" s="18">
        <f>'A) Base RI'!AK105</f>
        <v>0</v>
      </c>
      <c r="AR105" s="18">
        <f>'A) Base RI'!AN105</f>
        <v>3244</v>
      </c>
    </row>
    <row r="106" spans="1:44" x14ac:dyDescent="0.25">
      <c r="A106" s="13">
        <f>'A) Base RI'!A106</f>
        <v>5562</v>
      </c>
      <c r="B106" s="62" t="str">
        <f>'A) Base RI'!B106</f>
        <v>Mauborget</v>
      </c>
      <c r="C106" s="18">
        <f>'A) Base RI'!C106+'A) Base RI'!D106</f>
        <v>204712.09</v>
      </c>
      <c r="D106" s="18">
        <f>'A) Base RI'!AO106</f>
        <v>-1934.76</v>
      </c>
      <c r="E106" s="61">
        <f>'A) Base RI'!AP106</f>
        <v>0</v>
      </c>
      <c r="F106" s="61">
        <f>'A) Base RI'!AQ106</f>
        <v>-0.03</v>
      </c>
      <c r="G106" s="4">
        <f t="shared" si="6"/>
        <v>202777.3</v>
      </c>
      <c r="H106" s="18">
        <f>'A) Base RI'!E106</f>
        <v>0</v>
      </c>
      <c r="I106" s="18">
        <f>'A) Base RI'!F106</f>
        <v>690</v>
      </c>
      <c r="J106" s="18">
        <f>'A) Base RI'!G106+'A) Base RI'!H106</f>
        <v>2214.1</v>
      </c>
      <c r="K106" s="18">
        <f>'A) Base RI'!I106</f>
        <v>0</v>
      </c>
      <c r="L106" s="18">
        <f>'A) Base RI'!J106</f>
        <v>4164.83</v>
      </c>
      <c r="M106" s="18">
        <f>'A) Base RI'!K106</f>
        <v>1155.5</v>
      </c>
      <c r="N106" s="18">
        <f>'A) Base RI'!Q106</f>
        <v>0</v>
      </c>
      <c r="O106" s="18">
        <f t="shared" si="7"/>
        <v>25458.333333333336</v>
      </c>
      <c r="P106" s="18">
        <f>'A) Base RI'!L106</f>
        <v>30550</v>
      </c>
      <c r="Q106" s="64">
        <f>'A) Base RI'!AR106</f>
        <v>1.2</v>
      </c>
      <c r="R106" s="4">
        <f t="shared" si="8"/>
        <v>236460.06333333332</v>
      </c>
      <c r="S106" s="63">
        <f>'A) Base RI'!AM106</f>
        <v>70</v>
      </c>
      <c r="T106" s="4">
        <f t="shared" si="9"/>
        <v>209156.22999999998</v>
      </c>
      <c r="U106" s="4">
        <f t="shared" si="10"/>
        <v>3378.0009047619046</v>
      </c>
      <c r="V106" s="18">
        <v>0</v>
      </c>
      <c r="W106" s="18">
        <f>'A) Base RI'!P106</f>
        <v>25881.95</v>
      </c>
      <c r="X106" s="18">
        <f>'A) Base RI'!R106</f>
        <v>29574.65</v>
      </c>
      <c r="Y106" s="4">
        <f t="shared" si="11"/>
        <v>55456.600000000006</v>
      </c>
      <c r="Z106" s="18">
        <v>0</v>
      </c>
      <c r="AA106" s="18">
        <f>'A) Base RI'!S106+'A) Base RI'!T106</f>
        <v>225</v>
      </c>
      <c r="AB106" s="18">
        <f>'A) Base RI'!U106</f>
        <v>550</v>
      </c>
      <c r="AC106" s="18">
        <f>'A) Base RI'!V106</f>
        <v>0</v>
      </c>
      <c r="AD106" s="18">
        <f>'A) Base RI'!W106</f>
        <v>0</v>
      </c>
      <c r="AE106" s="18">
        <f>'A) Base RI'!Y106</f>
        <v>7200</v>
      </c>
      <c r="AF106" s="18">
        <f>'A) Base RI'!Z106</f>
        <v>0</v>
      </c>
      <c r="AG106" s="18">
        <f>'A) Base RI'!AA106</f>
        <v>39161.5</v>
      </c>
      <c r="AH106" s="18">
        <f>'A) Base RI'!AB106</f>
        <v>0</v>
      </c>
      <c r="AI106" s="18">
        <f>'A) Base RI'!AC106</f>
        <v>17599.5</v>
      </c>
      <c r="AJ106" s="18">
        <f>'A) Base RI'!AD106</f>
        <v>2700</v>
      </c>
      <c r="AK106" s="18">
        <f>'A) Base RI'!AE106</f>
        <v>0</v>
      </c>
      <c r="AL106" s="18">
        <f>'A) Base RI'!AF106</f>
        <v>0</v>
      </c>
      <c r="AM106" s="18">
        <f>'A) Base RI'!AG106</f>
        <v>7074.1</v>
      </c>
      <c r="AN106" s="18">
        <f>'A) Base RI'!AH106</f>
        <v>0</v>
      </c>
      <c r="AO106" s="18">
        <f>'A) Base RI'!AI106</f>
        <v>0</v>
      </c>
      <c r="AP106" s="18">
        <f>'A) Base RI'!AJ106</f>
        <v>0</v>
      </c>
      <c r="AQ106" s="18">
        <f>'A) Base RI'!AK106</f>
        <v>0</v>
      </c>
      <c r="AR106" s="18">
        <f>'A) Base RI'!AN106</f>
        <v>110</v>
      </c>
    </row>
    <row r="107" spans="1:44" x14ac:dyDescent="0.25">
      <c r="A107" s="13">
        <f>'A) Base RI'!A107</f>
        <v>5563</v>
      </c>
      <c r="B107" s="62" t="str">
        <f>'A) Base RI'!B107</f>
        <v>Mutrux</v>
      </c>
      <c r="C107" s="18">
        <f>'A) Base RI'!C107+'A) Base RI'!D107</f>
        <v>271166.87</v>
      </c>
      <c r="D107" s="18">
        <f>'A) Base RI'!AO107</f>
        <v>-67.069999999999993</v>
      </c>
      <c r="E107" s="61">
        <f>'A) Base RI'!AP107</f>
        <v>0</v>
      </c>
      <c r="F107" s="61">
        <f>'A) Base RI'!AQ107</f>
        <v>0</v>
      </c>
      <c r="G107" s="4">
        <f t="shared" si="6"/>
        <v>271099.8</v>
      </c>
      <c r="H107" s="18">
        <f>'A) Base RI'!E107</f>
        <v>0</v>
      </c>
      <c r="I107" s="18">
        <f>'A) Base RI'!F107</f>
        <v>492</v>
      </c>
      <c r="J107" s="18">
        <f>'A) Base RI'!G107+'A) Base RI'!H107</f>
        <v>967.94999999999993</v>
      </c>
      <c r="K107" s="18">
        <f>'A) Base RI'!I107</f>
        <v>0</v>
      </c>
      <c r="L107" s="18">
        <f>'A) Base RI'!J107</f>
        <v>4888.6899999999996</v>
      </c>
      <c r="M107" s="18">
        <f>'A) Base RI'!K107</f>
        <v>0</v>
      </c>
      <c r="N107" s="18">
        <f>'A) Base RI'!Q107</f>
        <v>0</v>
      </c>
      <c r="O107" s="18">
        <f t="shared" si="7"/>
        <v>15643.5</v>
      </c>
      <c r="P107" s="18">
        <f>'A) Base RI'!L107</f>
        <v>15643.5</v>
      </c>
      <c r="Q107" s="64">
        <f>'A) Base RI'!AR107</f>
        <v>1</v>
      </c>
      <c r="R107" s="4">
        <f t="shared" si="8"/>
        <v>293091.94</v>
      </c>
      <c r="S107" s="63">
        <f>'A) Base RI'!AM107</f>
        <v>78.5</v>
      </c>
      <c r="T107" s="4">
        <f t="shared" si="9"/>
        <v>276956.44</v>
      </c>
      <c r="U107" s="4">
        <f t="shared" si="10"/>
        <v>3733.6552866242037</v>
      </c>
      <c r="V107" s="18">
        <f>'A) Base RI'!O107</f>
        <v>7200</v>
      </c>
      <c r="W107" s="18">
        <f>'A) Base RI'!P107</f>
        <v>10998</v>
      </c>
      <c r="X107" s="18">
        <f>'A) Base RI'!R107</f>
        <v>187.25</v>
      </c>
      <c r="Y107" s="4">
        <f t="shared" si="11"/>
        <v>18385.25</v>
      </c>
      <c r="Z107" s="18">
        <v>0</v>
      </c>
      <c r="AA107" s="18">
        <f>'A) Base RI'!S107+'A) Base RI'!T107</f>
        <v>200</v>
      </c>
      <c r="AB107" s="18">
        <f>'A) Base RI'!U107</f>
        <v>700</v>
      </c>
      <c r="AC107" s="18">
        <f>'A) Base RI'!V107</f>
        <v>0</v>
      </c>
      <c r="AD107" s="18">
        <f>'A) Base RI'!W107</f>
        <v>0</v>
      </c>
      <c r="AE107" s="18">
        <f>'A) Base RI'!Y107</f>
        <v>0</v>
      </c>
      <c r="AF107" s="18">
        <f>'A) Base RI'!Z107</f>
        <v>0</v>
      </c>
      <c r="AG107" s="18">
        <f>'A) Base RI'!AA107</f>
        <v>29140.5</v>
      </c>
      <c r="AH107" s="18">
        <f>'A) Base RI'!AB107</f>
        <v>0</v>
      </c>
      <c r="AI107" s="18">
        <f>'A) Base RI'!AC107</f>
        <v>9465</v>
      </c>
      <c r="AJ107" s="18">
        <f>'A) Base RI'!AD107</f>
        <v>0</v>
      </c>
      <c r="AK107" s="18">
        <f>'A) Base RI'!AE107</f>
        <v>0</v>
      </c>
      <c r="AL107" s="18">
        <f>'A) Base RI'!AF107</f>
        <v>0</v>
      </c>
      <c r="AM107" s="18">
        <f>'A) Base RI'!AG107</f>
        <v>0</v>
      </c>
      <c r="AN107" s="18">
        <f>'A) Base RI'!AH107</f>
        <v>0</v>
      </c>
      <c r="AO107" s="18">
        <f>'A) Base RI'!AI107</f>
        <v>0</v>
      </c>
      <c r="AP107" s="18">
        <f>'A) Base RI'!AJ107</f>
        <v>0</v>
      </c>
      <c r="AQ107" s="18">
        <f>'A) Base RI'!AK107</f>
        <v>0</v>
      </c>
      <c r="AR107" s="18">
        <f>'A) Base RI'!AN107</f>
        <v>149</v>
      </c>
    </row>
    <row r="108" spans="1:44" x14ac:dyDescent="0.25">
      <c r="A108" s="13">
        <f>'A) Base RI'!A108</f>
        <v>5564</v>
      </c>
      <c r="B108" s="62" t="str">
        <f>'A) Base RI'!B108</f>
        <v>Novalles</v>
      </c>
      <c r="C108" s="18">
        <f>'A) Base RI'!C108+'A) Base RI'!D108</f>
        <v>169036.65</v>
      </c>
      <c r="D108" s="18">
        <f>'A) Base RI'!AO108</f>
        <v>-23.16</v>
      </c>
      <c r="E108" s="61">
        <f>'A) Base RI'!AP108</f>
        <v>0</v>
      </c>
      <c r="F108" s="61">
        <f>'A) Base RI'!AQ108</f>
        <v>-8.81</v>
      </c>
      <c r="G108" s="4">
        <f t="shared" si="6"/>
        <v>169004.68</v>
      </c>
      <c r="H108" s="18">
        <f>'A) Base RI'!E108</f>
        <v>0</v>
      </c>
      <c r="I108" s="18">
        <f>'A) Base RI'!F108</f>
        <v>0</v>
      </c>
      <c r="J108" s="18">
        <f>'A) Base RI'!G108+'A) Base RI'!H108</f>
        <v>157.1</v>
      </c>
      <c r="K108" s="18">
        <f>'A) Base RI'!I108</f>
        <v>0</v>
      </c>
      <c r="L108" s="18">
        <f>'A) Base RI'!J108</f>
        <v>1535.14</v>
      </c>
      <c r="M108" s="18">
        <f>'A) Base RI'!K108</f>
        <v>0</v>
      </c>
      <c r="N108" s="18">
        <f>'A) Base RI'!Q108</f>
        <v>0</v>
      </c>
      <c r="O108" s="18">
        <f t="shared" si="7"/>
        <v>11670.9375</v>
      </c>
      <c r="P108" s="18">
        <f>'A) Base RI'!L108</f>
        <v>9336.75</v>
      </c>
      <c r="Q108" s="64">
        <f>'A) Base RI'!AR108</f>
        <v>0.8</v>
      </c>
      <c r="R108" s="4">
        <f t="shared" si="8"/>
        <v>182367.85750000001</v>
      </c>
      <c r="S108" s="63">
        <f>'A) Base RI'!AM108</f>
        <v>76</v>
      </c>
      <c r="T108" s="4">
        <f t="shared" si="9"/>
        <v>170696.92</v>
      </c>
      <c r="U108" s="4">
        <f t="shared" si="10"/>
        <v>2399.5770723684213</v>
      </c>
      <c r="V108" s="18">
        <v>0</v>
      </c>
      <c r="W108" s="18">
        <f>'A) Base RI'!P108</f>
        <v>7150</v>
      </c>
      <c r="X108" s="18">
        <f>'A) Base RI'!R108</f>
        <v>9715.4</v>
      </c>
      <c r="Y108" s="4">
        <f t="shared" si="11"/>
        <v>16865.400000000001</v>
      </c>
      <c r="Z108" s="18">
        <v>0</v>
      </c>
      <c r="AA108" s="18">
        <f>'A) Base RI'!S108+'A) Base RI'!T108</f>
        <v>100</v>
      </c>
      <c r="AB108" s="18">
        <f>'A) Base RI'!U108</f>
        <v>350</v>
      </c>
      <c r="AC108" s="18">
        <f>'A) Base RI'!V108</f>
        <v>0</v>
      </c>
      <c r="AD108" s="18">
        <f>'A) Base RI'!W108</f>
        <v>0</v>
      </c>
      <c r="AE108" s="18">
        <f>'A) Base RI'!Y108</f>
        <v>0</v>
      </c>
      <c r="AF108" s="18">
        <f>'A) Base RI'!Z108</f>
        <v>0</v>
      </c>
      <c r="AG108" s="18">
        <f>'A) Base RI'!AA108</f>
        <v>25460</v>
      </c>
      <c r="AH108" s="18">
        <f>'A) Base RI'!AB108</f>
        <v>0</v>
      </c>
      <c r="AI108" s="18">
        <f>'A) Base RI'!AC108</f>
        <v>8789.7999999999993</v>
      </c>
      <c r="AJ108" s="18">
        <f>'A) Base RI'!AD108</f>
        <v>0</v>
      </c>
      <c r="AK108" s="18">
        <f>'A) Base RI'!AE108</f>
        <v>0</v>
      </c>
      <c r="AL108" s="18">
        <f>'A) Base RI'!AF108</f>
        <v>0</v>
      </c>
      <c r="AM108" s="18">
        <f>'A) Base RI'!AG108</f>
        <v>0</v>
      </c>
      <c r="AN108" s="18">
        <f>'A) Base RI'!AH108</f>
        <v>0</v>
      </c>
      <c r="AO108" s="18">
        <f>'A) Base RI'!AI108</f>
        <v>0</v>
      </c>
      <c r="AP108" s="18">
        <f>'A) Base RI'!AJ108</f>
        <v>0</v>
      </c>
      <c r="AQ108" s="18">
        <f>'A) Base RI'!AK108</f>
        <v>0</v>
      </c>
      <c r="AR108" s="18">
        <f>'A) Base RI'!AN108</f>
        <v>102</v>
      </c>
    </row>
    <row r="109" spans="1:44" x14ac:dyDescent="0.25">
      <c r="A109" s="13">
        <f>'A) Base RI'!A109</f>
        <v>5565</v>
      </c>
      <c r="B109" s="62" t="str">
        <f>'A) Base RI'!B109</f>
        <v>Onnens</v>
      </c>
      <c r="C109" s="18">
        <f>'A) Base RI'!C109+'A) Base RI'!D109</f>
        <v>973722.08</v>
      </c>
      <c r="D109" s="18">
        <f>'A) Base RI'!AO109</f>
        <v>-14882.31</v>
      </c>
      <c r="E109" s="61">
        <f>'A) Base RI'!AP109</f>
        <v>0</v>
      </c>
      <c r="F109" s="61">
        <f>'A) Base RI'!AQ109</f>
        <v>-3.03</v>
      </c>
      <c r="G109" s="4">
        <f t="shared" si="6"/>
        <v>958836.73999999987</v>
      </c>
      <c r="H109" s="18">
        <f>'A) Base RI'!E109</f>
        <v>0</v>
      </c>
      <c r="I109" s="18">
        <f>'A) Base RI'!F109</f>
        <v>0</v>
      </c>
      <c r="J109" s="18">
        <f>'A) Base RI'!G109+'A) Base RI'!H109</f>
        <v>123099.8</v>
      </c>
      <c r="K109" s="18">
        <f>'A) Base RI'!I109</f>
        <v>0</v>
      </c>
      <c r="L109" s="18">
        <f>'A) Base RI'!J109</f>
        <v>-37478.6</v>
      </c>
      <c r="M109" s="18">
        <f>'A) Base RI'!K109</f>
        <v>2026</v>
      </c>
      <c r="N109" s="18">
        <f>'A) Base RI'!Q109</f>
        <v>0</v>
      </c>
      <c r="O109" s="18">
        <f t="shared" si="7"/>
        <v>125338.7</v>
      </c>
      <c r="P109" s="18">
        <f>'A) Base RI'!L109</f>
        <v>62669.35</v>
      </c>
      <c r="Q109" s="64">
        <f>'A) Base RI'!AR109</f>
        <v>0.5</v>
      </c>
      <c r="R109" s="4">
        <f t="shared" si="8"/>
        <v>1171822.6399999999</v>
      </c>
      <c r="S109" s="63">
        <f>'A) Base RI'!AM109</f>
        <v>65</v>
      </c>
      <c r="T109" s="4">
        <f t="shared" si="9"/>
        <v>1044457.9399999998</v>
      </c>
      <c r="U109" s="4">
        <f t="shared" si="10"/>
        <v>18028.040615384612</v>
      </c>
      <c r="V109" s="18">
        <f>'A) Base RI'!O109</f>
        <v>102600</v>
      </c>
      <c r="W109" s="18">
        <f>'A) Base RI'!P109</f>
        <v>452337.25</v>
      </c>
      <c r="X109" s="18">
        <f>'A) Base RI'!R109</f>
        <v>21232.2</v>
      </c>
      <c r="Y109" s="4">
        <f t="shared" si="11"/>
        <v>576169.44999999995</v>
      </c>
      <c r="Z109" s="18">
        <f>'A) Base RI'!N109</f>
        <v>38236.699999999997</v>
      </c>
      <c r="AA109" s="18">
        <f>'A) Base RI'!S109+'A) Base RI'!T109</f>
        <v>2609.9</v>
      </c>
      <c r="AB109" s="18">
        <f>'A) Base RI'!U109</f>
        <v>2280</v>
      </c>
      <c r="AC109" s="18">
        <f>'A) Base RI'!V109</f>
        <v>452.2</v>
      </c>
      <c r="AD109" s="18">
        <f>'A) Base RI'!W109</f>
        <v>0</v>
      </c>
      <c r="AE109" s="18">
        <f>'A) Base RI'!Y109</f>
        <v>4021.6</v>
      </c>
      <c r="AF109" s="18">
        <f>'A) Base RI'!Z109</f>
        <v>0</v>
      </c>
      <c r="AG109" s="18">
        <f>'A) Base RI'!AA109</f>
        <v>77275.399999999994</v>
      </c>
      <c r="AH109" s="18">
        <f>'A) Base RI'!AB109</f>
        <v>0</v>
      </c>
      <c r="AI109" s="18">
        <f>'A) Base RI'!AC109</f>
        <v>26354.45</v>
      </c>
      <c r="AJ109" s="18">
        <f>'A) Base RI'!AD109</f>
        <v>0</v>
      </c>
      <c r="AK109" s="18">
        <f>'A) Base RI'!AE109</f>
        <v>0</v>
      </c>
      <c r="AL109" s="18">
        <f>'A) Base RI'!AF109</f>
        <v>0</v>
      </c>
      <c r="AM109" s="18">
        <f>'A) Base RI'!AG109</f>
        <v>4252.3</v>
      </c>
      <c r="AN109" s="18">
        <f>'A) Base RI'!AH109</f>
        <v>39885.550000000003</v>
      </c>
      <c r="AO109" s="18">
        <f>'A) Base RI'!AI109</f>
        <v>0</v>
      </c>
      <c r="AP109" s="18">
        <f>'A) Base RI'!AJ109</f>
        <v>0</v>
      </c>
      <c r="AQ109" s="18">
        <f>'A) Base RI'!AK109</f>
        <v>0</v>
      </c>
      <c r="AR109" s="18">
        <f>'A) Base RI'!AN109</f>
        <v>500</v>
      </c>
    </row>
    <row r="110" spans="1:44" x14ac:dyDescent="0.25">
      <c r="A110" s="13">
        <f>'A) Base RI'!A110</f>
        <v>5566</v>
      </c>
      <c r="B110" s="62" t="str">
        <f>'A) Base RI'!B110</f>
        <v>Provence</v>
      </c>
      <c r="C110" s="18">
        <f>'A) Base RI'!C110+'A) Base RI'!D110</f>
        <v>490907.81</v>
      </c>
      <c r="D110" s="18">
        <f>'A) Base RI'!AO110</f>
        <v>-5504.07</v>
      </c>
      <c r="E110" s="61">
        <f>'A) Base RI'!AP110</f>
        <v>0</v>
      </c>
      <c r="F110" s="61">
        <f>'A) Base RI'!AQ110</f>
        <v>0</v>
      </c>
      <c r="G110" s="4">
        <f t="shared" si="6"/>
        <v>485403.74</v>
      </c>
      <c r="H110" s="18">
        <f>'A) Base RI'!E110</f>
        <v>0</v>
      </c>
      <c r="I110" s="18">
        <f>'A) Base RI'!F110</f>
        <v>2390</v>
      </c>
      <c r="J110" s="18">
        <f>'A) Base RI'!G110+'A) Base RI'!H110</f>
        <v>8084.7999999999993</v>
      </c>
      <c r="K110" s="18">
        <f>'A) Base RI'!I110</f>
        <v>0</v>
      </c>
      <c r="L110" s="18">
        <f>'A) Base RI'!J110</f>
        <v>19410.66</v>
      </c>
      <c r="M110" s="18">
        <f>'A) Base RI'!K110</f>
        <v>2138</v>
      </c>
      <c r="N110" s="18">
        <f>'A) Base RI'!Q110</f>
        <v>1363.5</v>
      </c>
      <c r="O110" s="18">
        <f t="shared" si="7"/>
        <v>44444.9</v>
      </c>
      <c r="P110" s="18">
        <f>'A) Base RI'!L110</f>
        <v>66667.350000000006</v>
      </c>
      <c r="Q110" s="64">
        <f>'A) Base RI'!AR110</f>
        <v>1.5</v>
      </c>
      <c r="R110" s="4">
        <f t="shared" si="8"/>
        <v>563235.6</v>
      </c>
      <c r="S110" s="63">
        <f>'A) Base RI'!AM110</f>
        <v>81</v>
      </c>
      <c r="T110" s="4">
        <f t="shared" si="9"/>
        <v>514262.69999999995</v>
      </c>
      <c r="U110" s="4">
        <f t="shared" si="10"/>
        <v>6953.5259259259255</v>
      </c>
      <c r="V110" s="18">
        <f>'A) Base RI'!O110</f>
        <v>11757.7</v>
      </c>
      <c r="W110" s="18">
        <f>'A) Base RI'!P110</f>
        <v>8461.5</v>
      </c>
      <c r="X110" s="18">
        <f>'A) Base RI'!R110</f>
        <v>8796.35</v>
      </c>
      <c r="Y110" s="4">
        <f t="shared" si="11"/>
        <v>29015.550000000003</v>
      </c>
      <c r="Z110" s="18">
        <f>'A) Base RI'!N110</f>
        <v>26218.05</v>
      </c>
      <c r="AA110" s="18">
        <f>'A) Base RI'!S110+'A) Base RI'!T110</f>
        <v>1461.25</v>
      </c>
      <c r="AB110" s="18">
        <f>'A) Base RI'!U110</f>
        <v>1570</v>
      </c>
      <c r="AC110" s="18">
        <f>'A) Base RI'!V110</f>
        <v>0</v>
      </c>
      <c r="AD110" s="18">
        <f>'A) Base RI'!W110</f>
        <v>0</v>
      </c>
      <c r="AE110" s="18">
        <f>'A) Base RI'!Y110</f>
        <v>0</v>
      </c>
      <c r="AF110" s="18">
        <f>'A) Base RI'!Z110</f>
        <v>0</v>
      </c>
      <c r="AG110" s="18">
        <f>'A) Base RI'!AA110</f>
        <v>22198.35</v>
      </c>
      <c r="AH110" s="18">
        <f>'A) Base RI'!AB110</f>
        <v>0</v>
      </c>
      <c r="AI110" s="18">
        <f>'A) Base RI'!AC110</f>
        <v>34771.35</v>
      </c>
      <c r="AJ110" s="18">
        <f>'A) Base RI'!AD110</f>
        <v>0</v>
      </c>
      <c r="AK110" s="18">
        <f>'A) Base RI'!AE110</f>
        <v>0</v>
      </c>
      <c r="AL110" s="18">
        <f>'A) Base RI'!AF110</f>
        <v>0</v>
      </c>
      <c r="AM110" s="18">
        <f>'A) Base RI'!AG110</f>
        <v>0</v>
      </c>
      <c r="AN110" s="18">
        <f>'A) Base RI'!AH110</f>
        <v>0</v>
      </c>
      <c r="AO110" s="18">
        <f>'A) Base RI'!AI110</f>
        <v>0</v>
      </c>
      <c r="AP110" s="18">
        <f>'A) Base RI'!AJ110</f>
        <v>0</v>
      </c>
      <c r="AQ110" s="18">
        <f>'A) Base RI'!AK110</f>
        <v>0</v>
      </c>
      <c r="AR110" s="18">
        <f>'A) Base RI'!AN110</f>
        <v>373</v>
      </c>
    </row>
    <row r="111" spans="1:44" x14ac:dyDescent="0.25">
      <c r="A111" s="13">
        <f>'A) Base RI'!A111</f>
        <v>5568</v>
      </c>
      <c r="B111" s="62" t="str">
        <f>'A) Base RI'!B111</f>
        <v>Sainte-Croix</v>
      </c>
      <c r="C111" s="18">
        <f>'A) Base RI'!C111+'A) Base RI'!D111</f>
        <v>5592982.5899999999</v>
      </c>
      <c r="D111" s="18">
        <f>'A) Base RI'!AO111</f>
        <v>-174267.35</v>
      </c>
      <c r="E111" s="61">
        <f>'A) Base RI'!AP111</f>
        <v>-5593.35</v>
      </c>
      <c r="F111" s="61">
        <f>'A) Base RI'!AQ111</f>
        <v>-283.77999999999997</v>
      </c>
      <c r="G111" s="4">
        <f t="shared" si="6"/>
        <v>5412838.1100000003</v>
      </c>
      <c r="H111" s="18">
        <f>'A) Base RI'!E111</f>
        <v>0</v>
      </c>
      <c r="I111" s="18">
        <f>'A) Base RI'!F111</f>
        <v>0</v>
      </c>
      <c r="J111" s="18">
        <f>'A) Base RI'!G111+'A) Base RI'!H111</f>
        <v>473226.95</v>
      </c>
      <c r="K111" s="18">
        <f>'A) Base RI'!I111</f>
        <v>16196.85</v>
      </c>
      <c r="L111" s="18">
        <f>'A) Base RI'!J111</f>
        <v>196625.32</v>
      </c>
      <c r="M111" s="18">
        <f>'A) Base RI'!K111</f>
        <v>32960.5</v>
      </c>
      <c r="N111" s="18">
        <f>'A) Base RI'!Q111</f>
        <v>31441.8</v>
      </c>
      <c r="O111" s="18">
        <f t="shared" si="7"/>
        <v>527150.15</v>
      </c>
      <c r="P111" s="18">
        <f>'A) Base RI'!L111</f>
        <v>527150.15</v>
      </c>
      <c r="Q111" s="64">
        <f>'A) Base RI'!AR111</f>
        <v>1</v>
      </c>
      <c r="R111" s="4">
        <f t="shared" si="8"/>
        <v>6690439.6800000006</v>
      </c>
      <c r="S111" s="63">
        <f>'A) Base RI'!AM111</f>
        <v>70</v>
      </c>
      <c r="T111" s="4">
        <f t="shared" si="9"/>
        <v>6130329.0300000003</v>
      </c>
      <c r="U111" s="4">
        <f t="shared" si="10"/>
        <v>95577.709714285724</v>
      </c>
      <c r="V111" s="18">
        <f>'A) Base RI'!O111</f>
        <v>491795.8</v>
      </c>
      <c r="W111" s="18">
        <f>'A) Base RI'!P111</f>
        <v>196741.1</v>
      </c>
      <c r="X111" s="18">
        <f>'A) Base RI'!R111</f>
        <v>221061.5</v>
      </c>
      <c r="Y111" s="4">
        <f t="shared" si="11"/>
        <v>909598.4</v>
      </c>
      <c r="Z111" s="18">
        <f>'A) Base RI'!N111</f>
        <v>1929513.95</v>
      </c>
      <c r="AA111" s="18">
        <f>'A) Base RI'!S111+'A) Base RI'!T111</f>
        <v>16953.349999999999</v>
      </c>
      <c r="AB111" s="18">
        <f>'A) Base RI'!U111</f>
        <v>18262.5</v>
      </c>
      <c r="AC111" s="18">
        <f>'A) Base RI'!V111</f>
        <v>0</v>
      </c>
      <c r="AD111" s="18">
        <f>'A) Base RI'!W111</f>
        <v>1237.5999999999999</v>
      </c>
      <c r="AE111" s="18">
        <f>'A) Base RI'!Y111</f>
        <v>61428.35</v>
      </c>
      <c r="AF111" s="18">
        <f>'A) Base RI'!Z111</f>
        <v>0</v>
      </c>
      <c r="AG111" s="18">
        <f>'A) Base RI'!AA111</f>
        <v>1376231.9</v>
      </c>
      <c r="AH111" s="18">
        <f>'A) Base RI'!AB111</f>
        <v>0</v>
      </c>
      <c r="AI111" s="18">
        <f>'A) Base RI'!AC111</f>
        <v>567471.97</v>
      </c>
      <c r="AJ111" s="18">
        <f>'A) Base RI'!AD111</f>
        <v>85155</v>
      </c>
      <c r="AK111" s="18">
        <f>'A) Base RI'!AE111</f>
        <v>0</v>
      </c>
      <c r="AL111" s="18">
        <f>'A) Base RI'!AF111</f>
        <v>0</v>
      </c>
      <c r="AM111" s="18">
        <f>'A) Base RI'!AG111</f>
        <v>56179.95</v>
      </c>
      <c r="AN111" s="18">
        <f>'A) Base RI'!AH111</f>
        <v>0</v>
      </c>
      <c r="AO111" s="18">
        <f>'A) Base RI'!AI111</f>
        <v>0</v>
      </c>
      <c r="AP111" s="18">
        <f>'A) Base RI'!AJ111</f>
        <v>88598.5</v>
      </c>
      <c r="AQ111" s="18">
        <f>'A) Base RI'!AK111</f>
        <v>0</v>
      </c>
      <c r="AR111" s="18">
        <f>'A) Base RI'!AN111</f>
        <v>4732</v>
      </c>
    </row>
    <row r="112" spans="1:44" x14ac:dyDescent="0.25">
      <c r="A112" s="13">
        <f>'A) Base RI'!A112</f>
        <v>5571</v>
      </c>
      <c r="B112" s="62" t="str">
        <f>'A) Base RI'!B112</f>
        <v>Tévenon</v>
      </c>
      <c r="C112" s="18">
        <f>'A) Base RI'!C112+'A) Base RI'!D112</f>
        <v>1278728.49</v>
      </c>
      <c r="D112" s="18">
        <f>'A) Base RI'!AO112</f>
        <v>-1216.73</v>
      </c>
      <c r="E112" s="61">
        <f>'A) Base RI'!AP112</f>
        <v>0</v>
      </c>
      <c r="F112" s="61">
        <f>'A) Base RI'!AQ112</f>
        <v>-3.23</v>
      </c>
      <c r="G112" s="4">
        <f t="shared" si="6"/>
        <v>1277508.53</v>
      </c>
      <c r="H112" s="18">
        <f>'A) Base RI'!E112</f>
        <v>0</v>
      </c>
      <c r="I112" s="18">
        <f>'A) Base RI'!F112</f>
        <v>0</v>
      </c>
      <c r="J112" s="18">
        <f>'A) Base RI'!G112+'A) Base RI'!H112</f>
        <v>33294.549999999996</v>
      </c>
      <c r="K112" s="18">
        <f>'A) Base RI'!I112</f>
        <v>0</v>
      </c>
      <c r="L112" s="18">
        <f>'A) Base RI'!J112</f>
        <v>7178.63</v>
      </c>
      <c r="M112" s="18">
        <f>'A) Base RI'!K112</f>
        <v>2771</v>
      </c>
      <c r="N112" s="18">
        <f>'A) Base RI'!Q112</f>
        <v>0</v>
      </c>
      <c r="O112" s="18">
        <f t="shared" si="7"/>
        <v>120738.91666666669</v>
      </c>
      <c r="P112" s="18">
        <f>'A) Base RI'!L112</f>
        <v>144886.70000000001</v>
      </c>
      <c r="Q112" s="64">
        <f>'A) Base RI'!AR112</f>
        <v>1.2</v>
      </c>
      <c r="R112" s="4">
        <f t="shared" si="8"/>
        <v>1441491.6266666667</v>
      </c>
      <c r="S112" s="63">
        <f>'A) Base RI'!AM112</f>
        <v>73</v>
      </c>
      <c r="T112" s="4">
        <f>(G112+H112+J112+K112+L112+N112)</f>
        <v>1317981.71</v>
      </c>
      <c r="U112" s="4">
        <f t="shared" si="10"/>
        <v>19746.460639269408</v>
      </c>
      <c r="V112" s="18">
        <f>'A) Base RI'!O112</f>
        <v>4549.8</v>
      </c>
      <c r="W112" s="18">
        <f>'A) Base RI'!P112</f>
        <v>68108.149999999994</v>
      </c>
      <c r="X112" s="18">
        <f>'A) Base RI'!R112</f>
        <v>43299.85</v>
      </c>
      <c r="Y112" s="4">
        <f t="shared" si="11"/>
        <v>115957.79999999999</v>
      </c>
      <c r="Z112" s="18">
        <f>'A) Base RI'!N112</f>
        <v>53770.7</v>
      </c>
      <c r="AA112" s="18">
        <f>'A) Base RI'!S112+'A) Base RI'!T112</f>
        <v>280</v>
      </c>
      <c r="AB112" s="18">
        <f>'A) Base RI'!U112</f>
        <v>9650</v>
      </c>
      <c r="AC112" s="18">
        <f>'A) Base RI'!V112</f>
        <v>0</v>
      </c>
      <c r="AD112" s="18">
        <f>'A) Base RI'!W112</f>
        <v>0</v>
      </c>
      <c r="AE112" s="18">
        <f>'A) Base RI'!Y112</f>
        <v>21935</v>
      </c>
      <c r="AF112" s="18">
        <f>'A) Base RI'!Z112</f>
        <v>0</v>
      </c>
      <c r="AG112" s="18">
        <f>'A) Base RI'!AA112</f>
        <v>99270.2</v>
      </c>
      <c r="AH112" s="18">
        <f>'A) Base RI'!AB112</f>
        <v>0</v>
      </c>
      <c r="AI112" s="18">
        <f>'A) Base RI'!AC112</f>
        <v>21727.4</v>
      </c>
      <c r="AJ112" s="18">
        <f>'A) Base RI'!AD112</f>
        <v>39389</v>
      </c>
      <c r="AK112" s="18">
        <f>'A) Base RI'!AE112</f>
        <v>0</v>
      </c>
      <c r="AL112" s="18">
        <f>'A) Base RI'!AF112</f>
        <v>0</v>
      </c>
      <c r="AM112" s="18">
        <f>'A) Base RI'!AG112</f>
        <v>14923.1</v>
      </c>
      <c r="AN112" s="18">
        <f>'A) Base RI'!AH112</f>
        <v>25846</v>
      </c>
      <c r="AO112" s="18">
        <f>'A) Base RI'!AI112</f>
        <v>0</v>
      </c>
      <c r="AP112" s="18">
        <f>'A) Base RI'!AJ112</f>
        <v>0</v>
      </c>
      <c r="AQ112" s="18">
        <f>'A) Base RI'!AK112</f>
        <v>0</v>
      </c>
      <c r="AR112" s="18">
        <f>'A) Base RI'!AN112</f>
        <v>760</v>
      </c>
    </row>
    <row r="113" spans="1:44" x14ac:dyDescent="0.25">
      <c r="A113" s="13">
        <f>'A) Base RI'!A113</f>
        <v>5581</v>
      </c>
      <c r="B113" s="62" t="str">
        <f>'A) Base RI'!B113</f>
        <v>Belmont-sur-Lausanne</v>
      </c>
      <c r="C113" s="18">
        <f>'A) Base RI'!C113+'A) Base RI'!D113</f>
        <v>11332902.58</v>
      </c>
      <c r="D113" s="18">
        <f>'A) Base RI'!AO113</f>
        <v>-106170.32</v>
      </c>
      <c r="E113" s="61">
        <f>'A) Base RI'!AP113</f>
        <v>0</v>
      </c>
      <c r="F113" s="61">
        <f>'A) Base RI'!AQ113</f>
        <v>-2861.52</v>
      </c>
      <c r="G113" s="4">
        <f t="shared" si="6"/>
        <v>11223870.74</v>
      </c>
      <c r="H113" s="18">
        <f>'A) Base RI'!E113</f>
        <v>0</v>
      </c>
      <c r="I113" s="18">
        <f>'A) Base RI'!F113</f>
        <v>0</v>
      </c>
      <c r="J113" s="18">
        <f>'A) Base RI'!G113+'A) Base RI'!H113</f>
        <v>248789.6</v>
      </c>
      <c r="K113" s="18">
        <f>'A) Base RI'!I113</f>
        <v>29027</v>
      </c>
      <c r="L113" s="18">
        <f>'A) Base RI'!J113</f>
        <v>226687.05</v>
      </c>
      <c r="M113" s="18">
        <f>'A) Base RI'!K113</f>
        <v>19871.5</v>
      </c>
      <c r="N113" s="18">
        <f>'A) Base RI'!Q113</f>
        <v>8718.5</v>
      </c>
      <c r="O113" s="18">
        <f t="shared" si="7"/>
        <v>768362.66666666663</v>
      </c>
      <c r="P113" s="18">
        <f>'A) Base RI'!L113</f>
        <v>1152544</v>
      </c>
      <c r="Q113" s="64">
        <f>'A) Base RI'!AR113</f>
        <v>1.5</v>
      </c>
      <c r="R113" s="4">
        <f t="shared" si="8"/>
        <v>12525327.056666667</v>
      </c>
      <c r="S113" s="63">
        <f>'A) Base RI'!AM113</f>
        <v>69.5</v>
      </c>
      <c r="T113" s="4">
        <f t="shared" si="9"/>
        <v>11737092.890000001</v>
      </c>
      <c r="U113" s="4">
        <f t="shared" si="10"/>
        <v>180220.53318944844</v>
      </c>
      <c r="V113" s="18">
        <f>'A) Base RI'!O113</f>
        <v>249427.8</v>
      </c>
      <c r="W113" s="18">
        <f>'A) Base RI'!P113</f>
        <v>537502.85</v>
      </c>
      <c r="X113" s="18">
        <f>'A) Base RI'!R113</f>
        <v>332776.55</v>
      </c>
      <c r="Y113" s="4">
        <f t="shared" si="11"/>
        <v>1119707.2</v>
      </c>
      <c r="Z113" s="18">
        <f>'A) Base RI'!N113</f>
        <v>416.35</v>
      </c>
      <c r="AA113" s="18">
        <f>'A) Base RI'!S113+'A) Base RI'!T113</f>
        <v>281.25</v>
      </c>
      <c r="AB113" s="18">
        <f>'A) Base RI'!U113</f>
        <v>13890</v>
      </c>
      <c r="AC113" s="18">
        <f>'A) Base RI'!V113</f>
        <v>374.9</v>
      </c>
      <c r="AD113" s="18">
        <f>'A) Base RI'!W113</f>
        <v>0</v>
      </c>
      <c r="AE113" s="18">
        <f>'A) Base RI'!Y113</f>
        <v>35170.25</v>
      </c>
      <c r="AF113" s="18">
        <f>'A) Base RI'!Z113</f>
        <v>0</v>
      </c>
      <c r="AG113" s="18">
        <f>'A) Base RI'!AA113</f>
        <v>629103.05000000005</v>
      </c>
      <c r="AH113" s="18">
        <f>'A) Base RI'!AB113</f>
        <v>0</v>
      </c>
      <c r="AI113" s="18">
        <f>'A) Base RI'!AC113</f>
        <v>516537.25</v>
      </c>
      <c r="AJ113" s="18">
        <f>'A) Base RI'!AD113</f>
        <v>54256.25</v>
      </c>
      <c r="AK113" s="18">
        <f>'A) Base RI'!AE113</f>
        <v>0</v>
      </c>
      <c r="AL113" s="18">
        <f>'A) Base RI'!AF113</f>
        <v>0</v>
      </c>
      <c r="AM113" s="18">
        <f>'A) Base RI'!AG113</f>
        <v>10783.4</v>
      </c>
      <c r="AN113" s="18">
        <f>'A) Base RI'!AH113</f>
        <v>0</v>
      </c>
      <c r="AO113" s="18">
        <f>'A) Base RI'!AI113</f>
        <v>71843.45</v>
      </c>
      <c r="AP113" s="18">
        <f>'A) Base RI'!AJ113</f>
        <v>0</v>
      </c>
      <c r="AQ113" s="18">
        <f>'A) Base RI'!AK113</f>
        <v>0</v>
      </c>
      <c r="AR113" s="18">
        <f>'A) Base RI'!AN113</f>
        <v>3554</v>
      </c>
    </row>
    <row r="114" spans="1:44" x14ac:dyDescent="0.25">
      <c r="A114" s="13">
        <f>'A) Base RI'!A114</f>
        <v>5582</v>
      </c>
      <c r="B114" s="62" t="str">
        <f>'A) Base RI'!B114</f>
        <v>Cheseaux-sur-Lausanne</v>
      </c>
      <c r="C114" s="18">
        <f>'A) Base RI'!C114+'A) Base RI'!D114</f>
        <v>8395718.4900000002</v>
      </c>
      <c r="D114" s="18">
        <f>'A) Base RI'!AO114</f>
        <v>-152387.74</v>
      </c>
      <c r="E114" s="61">
        <f>'A) Base RI'!AP114</f>
        <v>0</v>
      </c>
      <c r="F114" s="61">
        <f>'A) Base RI'!AQ114</f>
        <v>-62398.67</v>
      </c>
      <c r="G114" s="4">
        <f t="shared" si="6"/>
        <v>8180932.0800000001</v>
      </c>
      <c r="H114" s="18">
        <f>'A) Base RI'!E114</f>
        <v>0</v>
      </c>
      <c r="I114" s="18">
        <f>'A) Base RI'!F114</f>
        <v>0</v>
      </c>
      <c r="J114" s="18">
        <f>'A) Base RI'!G114+'A) Base RI'!H114</f>
        <v>1443270.5899999999</v>
      </c>
      <c r="K114" s="18">
        <f>'A) Base RI'!I114</f>
        <v>29636.35</v>
      </c>
      <c r="L114" s="18">
        <f>'A) Base RI'!J114</f>
        <v>379517.92</v>
      </c>
      <c r="M114" s="18">
        <f>'A) Base RI'!K114</f>
        <v>39314</v>
      </c>
      <c r="N114" s="18">
        <f>'A) Base RI'!Q114</f>
        <v>25862.44</v>
      </c>
      <c r="O114" s="18">
        <f t="shared" si="7"/>
        <v>732901.9</v>
      </c>
      <c r="P114" s="18">
        <f>'A) Base RI'!L114</f>
        <v>732901.9</v>
      </c>
      <c r="Q114" s="64">
        <f>'A) Base RI'!AR114</f>
        <v>1</v>
      </c>
      <c r="R114" s="4">
        <f t="shared" si="8"/>
        <v>10831435.279999999</v>
      </c>
      <c r="S114" s="63">
        <f>'A) Base RI'!AM114</f>
        <v>74.5</v>
      </c>
      <c r="T114" s="4">
        <f t="shared" si="9"/>
        <v>10059219.379999999</v>
      </c>
      <c r="U114" s="4">
        <f t="shared" si="10"/>
        <v>145388.39302013422</v>
      </c>
      <c r="V114" s="18">
        <f>'A) Base RI'!O114</f>
        <v>29855.599999999999</v>
      </c>
      <c r="W114" s="18">
        <f>'A) Base RI'!P114</f>
        <v>154958.6</v>
      </c>
      <c r="X114" s="18">
        <f>'A) Base RI'!R114</f>
        <v>98617.55</v>
      </c>
      <c r="Y114" s="4">
        <f t="shared" si="11"/>
        <v>283431.75</v>
      </c>
      <c r="Z114" s="18">
        <f>'A) Base RI'!N114</f>
        <v>603155.1</v>
      </c>
      <c r="AA114" s="18">
        <f>'A) Base RI'!S114+'A) Base RI'!T114</f>
        <v>1254</v>
      </c>
      <c r="AB114" s="18">
        <f>'A) Base RI'!U114</f>
        <v>16000</v>
      </c>
      <c r="AC114" s="18">
        <f>'A) Base RI'!V114</f>
        <v>0</v>
      </c>
      <c r="AD114" s="18">
        <f>'A) Base RI'!W114</f>
        <v>0</v>
      </c>
      <c r="AE114" s="18">
        <f>'A) Base RI'!Y114</f>
        <v>366187.8</v>
      </c>
      <c r="AF114" s="18">
        <f>'A) Base RI'!Z114</f>
        <v>80116.45</v>
      </c>
      <c r="AG114" s="18">
        <f>'A) Base RI'!AA114</f>
        <v>408206.3</v>
      </c>
      <c r="AH114" s="18">
        <f>'A) Base RI'!AB114</f>
        <v>205593.8</v>
      </c>
      <c r="AI114" s="18">
        <f>'A) Base RI'!AC114</f>
        <v>425728.95</v>
      </c>
      <c r="AJ114" s="18">
        <f>'A) Base RI'!AD114</f>
        <v>0</v>
      </c>
      <c r="AK114" s="18">
        <f>'A) Base RI'!AE114</f>
        <v>0</v>
      </c>
      <c r="AL114" s="18">
        <f>'A) Base RI'!AF114</f>
        <v>0</v>
      </c>
      <c r="AM114" s="18">
        <f>'A) Base RI'!AG114</f>
        <v>0</v>
      </c>
      <c r="AN114" s="18">
        <f>'A) Base RI'!AH114</f>
        <v>195238.55</v>
      </c>
      <c r="AO114" s="18">
        <f>'A) Base RI'!AI114</f>
        <v>0</v>
      </c>
      <c r="AP114" s="18">
        <f>'A) Base RI'!AJ114</f>
        <v>0</v>
      </c>
      <c r="AQ114" s="18">
        <f>'A) Base RI'!AK114</f>
        <v>0</v>
      </c>
      <c r="AR114" s="18">
        <f>'A) Base RI'!AN114</f>
        <v>4080</v>
      </c>
    </row>
    <row r="115" spans="1:44" x14ac:dyDescent="0.25">
      <c r="A115" s="13">
        <f>'A) Base RI'!A115</f>
        <v>5583</v>
      </c>
      <c r="B115" s="62" t="str">
        <f>'A) Base RI'!B115</f>
        <v>Crissier</v>
      </c>
      <c r="C115" s="18">
        <f>'A) Base RI'!C115+'A) Base RI'!D115</f>
        <v>12152444.460000001</v>
      </c>
      <c r="D115" s="18">
        <f>'A) Base RI'!AO115</f>
        <v>-415769.77</v>
      </c>
      <c r="E115" s="61">
        <f>'A) Base RI'!AP115</f>
        <v>0</v>
      </c>
      <c r="F115" s="61">
        <f>'A) Base RI'!AQ115</f>
        <v>-1679.21</v>
      </c>
      <c r="G115" s="4">
        <f t="shared" si="6"/>
        <v>11734995.48</v>
      </c>
      <c r="H115" s="18">
        <f>'A) Base RI'!E115</f>
        <v>0</v>
      </c>
      <c r="I115" s="18">
        <f>'A) Base RI'!F115</f>
        <v>0</v>
      </c>
      <c r="J115" s="18">
        <f>'A) Base RI'!G115+'A) Base RI'!H115</f>
        <v>4749076.5999999996</v>
      </c>
      <c r="K115" s="18">
        <f>'A) Base RI'!I115</f>
        <v>-23493.19</v>
      </c>
      <c r="L115" s="18">
        <f>'A) Base RI'!J115</f>
        <v>750916.92</v>
      </c>
      <c r="M115" s="18">
        <f>'A) Base RI'!K115</f>
        <v>236085</v>
      </c>
      <c r="N115" s="18">
        <f>'A) Base RI'!Q115</f>
        <v>101142.17</v>
      </c>
      <c r="O115" s="18">
        <f t="shared" si="7"/>
        <v>1990962.65</v>
      </c>
      <c r="P115" s="18">
        <f>'A) Base RI'!L115</f>
        <v>1990962.65</v>
      </c>
      <c r="Q115" s="64">
        <f>'A) Base RI'!AR115</f>
        <v>1</v>
      </c>
      <c r="R115" s="4">
        <f t="shared" si="8"/>
        <v>19539685.630000003</v>
      </c>
      <c r="S115" s="63">
        <f>'A) Base RI'!AM115</f>
        <v>65</v>
      </c>
      <c r="T115" s="4">
        <f t="shared" si="9"/>
        <v>17312637.980000004</v>
      </c>
      <c r="U115" s="4">
        <f t="shared" si="10"/>
        <v>300610.54815384618</v>
      </c>
      <c r="V115" s="18">
        <f>'A) Base RI'!O115</f>
        <v>96135.7</v>
      </c>
      <c r="W115" s="18">
        <f>'A) Base RI'!P115</f>
        <v>619170.30000000005</v>
      </c>
      <c r="X115" s="18">
        <f>'A) Base RI'!R115</f>
        <v>870793.9</v>
      </c>
      <c r="Y115" s="4">
        <f t="shared" si="11"/>
        <v>1586099.9</v>
      </c>
      <c r="Z115" s="18">
        <f>'A) Base RI'!N115</f>
        <v>1202082.8500000001</v>
      </c>
      <c r="AA115" s="18">
        <f>'A) Base RI'!S115+'A) Base RI'!T115</f>
        <v>550</v>
      </c>
      <c r="AB115" s="18">
        <f>'A) Base RI'!U115</f>
        <v>45600</v>
      </c>
      <c r="AC115" s="18">
        <f>'A) Base RI'!V115</f>
        <v>3492.1</v>
      </c>
      <c r="AD115" s="18">
        <f>'A) Base RI'!W115</f>
        <v>147313.15</v>
      </c>
      <c r="AE115" s="18">
        <f>'A) Base RI'!Y115</f>
        <v>209479</v>
      </c>
      <c r="AF115" s="18">
        <f>'A) Base RI'!Z115</f>
        <v>19788.2</v>
      </c>
      <c r="AG115" s="18">
        <f>'A) Base RI'!AA115</f>
        <v>356438.8</v>
      </c>
      <c r="AH115" s="18">
        <f>'A) Base RI'!AB115</f>
        <v>0</v>
      </c>
      <c r="AI115" s="18">
        <f>'A) Base RI'!AC115</f>
        <v>919099.6</v>
      </c>
      <c r="AJ115" s="18">
        <f>'A) Base RI'!AD115</f>
        <v>285365.01</v>
      </c>
      <c r="AK115" s="18">
        <f>'A) Base RI'!AE115</f>
        <v>258939.39</v>
      </c>
      <c r="AL115" s="18">
        <f>'A) Base RI'!AF115</f>
        <v>0</v>
      </c>
      <c r="AM115" s="18">
        <f>'A) Base RI'!AG115</f>
        <v>150509.5</v>
      </c>
      <c r="AN115" s="18">
        <f>'A) Base RI'!AH115</f>
        <v>541208.9</v>
      </c>
      <c r="AO115" s="18">
        <f>'A) Base RI'!AI115</f>
        <v>0</v>
      </c>
      <c r="AP115" s="18">
        <f>'A) Base RI'!AJ115</f>
        <v>37872.199999999997</v>
      </c>
      <c r="AQ115" s="18">
        <f>'A) Base RI'!AK115</f>
        <v>722061.85</v>
      </c>
      <c r="AR115" s="18">
        <f>'A) Base RI'!AN115</f>
        <v>7407</v>
      </c>
    </row>
    <row r="116" spans="1:44" x14ac:dyDescent="0.25">
      <c r="A116" s="13">
        <f>'A) Base RI'!A116</f>
        <v>5584</v>
      </c>
      <c r="B116" s="62" t="str">
        <f>'A) Base RI'!B116</f>
        <v>Epalinges</v>
      </c>
      <c r="C116" s="18">
        <f>'A) Base RI'!C116+'A) Base RI'!D116</f>
        <v>26334067.870000001</v>
      </c>
      <c r="D116" s="18">
        <f>'A) Base RI'!AO116</f>
        <v>-227700.12</v>
      </c>
      <c r="E116" s="61">
        <f>'A) Base RI'!AP116</f>
        <v>0</v>
      </c>
      <c r="F116" s="61">
        <f>'A) Base RI'!AQ116</f>
        <v>-9546.69</v>
      </c>
      <c r="G116" s="4">
        <f t="shared" si="6"/>
        <v>26096821.059999999</v>
      </c>
      <c r="H116" s="18">
        <f>'A) Base RI'!E116</f>
        <v>0</v>
      </c>
      <c r="I116" s="18">
        <f>'A) Base RI'!F116</f>
        <v>0</v>
      </c>
      <c r="J116" s="18">
        <f>'A) Base RI'!G116+'A) Base RI'!H116</f>
        <v>875305.7</v>
      </c>
      <c r="K116" s="18">
        <f>'A) Base RI'!I116</f>
        <v>565475.63</v>
      </c>
      <c r="L116" s="18">
        <f>'A) Base RI'!J116</f>
        <v>842802.72</v>
      </c>
      <c r="M116" s="18">
        <f>'A) Base RI'!K116</f>
        <v>169451.5</v>
      </c>
      <c r="N116" s="18">
        <f>'A) Base RI'!Q116</f>
        <v>52077.760000000002</v>
      </c>
      <c r="O116" s="18">
        <f t="shared" si="7"/>
        <v>1857503.6</v>
      </c>
      <c r="P116" s="18">
        <f>'A) Base RI'!L116</f>
        <v>1857503.6</v>
      </c>
      <c r="Q116" s="64">
        <f>'A) Base RI'!AR116</f>
        <v>1</v>
      </c>
      <c r="R116" s="4">
        <f t="shared" si="8"/>
        <v>30459437.969999999</v>
      </c>
      <c r="S116" s="63">
        <f>'A) Base RI'!AM116</f>
        <v>66</v>
      </c>
      <c r="T116" s="4">
        <f t="shared" si="9"/>
        <v>28432482.869999997</v>
      </c>
      <c r="U116" s="4">
        <f t="shared" si="10"/>
        <v>461506.63590909087</v>
      </c>
      <c r="V116" s="18">
        <f>'A) Base RI'!O116</f>
        <v>291951.8</v>
      </c>
      <c r="W116" s="18">
        <f>'A) Base RI'!P116</f>
        <v>810901.95</v>
      </c>
      <c r="X116" s="18">
        <f>'A) Base RI'!R116</f>
        <v>827912.25</v>
      </c>
      <c r="Y116" s="4">
        <f t="shared" si="11"/>
        <v>1930766</v>
      </c>
      <c r="Z116" s="18">
        <f>'A) Base RI'!N116</f>
        <v>149168.79999999999</v>
      </c>
      <c r="AA116" s="18">
        <f>'A) Base RI'!S116+'A) Base RI'!T116</f>
        <v>29237.75</v>
      </c>
      <c r="AB116" s="18">
        <f>'A) Base RI'!U116</f>
        <v>34560</v>
      </c>
      <c r="AC116" s="18">
        <f>'A) Base RI'!V116</f>
        <v>0</v>
      </c>
      <c r="AD116" s="18">
        <f>'A) Base RI'!W116</f>
        <v>0</v>
      </c>
      <c r="AE116" s="18">
        <f>'A) Base RI'!Y116</f>
        <v>484168.4</v>
      </c>
      <c r="AF116" s="18">
        <f>'A) Base RI'!Z116</f>
        <v>0</v>
      </c>
      <c r="AG116" s="18">
        <f>'A) Base RI'!AA116</f>
        <v>456518.34</v>
      </c>
      <c r="AH116" s="18">
        <f>'A) Base RI'!AB116</f>
        <v>0</v>
      </c>
      <c r="AI116" s="18">
        <f>'A) Base RI'!AC116</f>
        <v>680909.15</v>
      </c>
      <c r="AJ116" s="18">
        <f>'A) Base RI'!AD116</f>
        <v>0</v>
      </c>
      <c r="AK116" s="18">
        <f>'A) Base RI'!AE116</f>
        <v>0</v>
      </c>
      <c r="AL116" s="18">
        <f>'A) Base RI'!AF116</f>
        <v>0</v>
      </c>
      <c r="AM116" s="18">
        <f>'A) Base RI'!AG116</f>
        <v>0</v>
      </c>
      <c r="AN116" s="18">
        <f>'A) Base RI'!AH116</f>
        <v>275444.38</v>
      </c>
      <c r="AO116" s="18">
        <f>'A) Base RI'!AI116</f>
        <v>0</v>
      </c>
      <c r="AP116" s="18">
        <f>'A) Base RI'!AJ116</f>
        <v>0</v>
      </c>
      <c r="AQ116" s="18">
        <f>'A) Base RI'!AK116</f>
        <v>0</v>
      </c>
      <c r="AR116" s="18">
        <f>'A) Base RI'!AN116</f>
        <v>8912</v>
      </c>
    </row>
    <row r="117" spans="1:44" x14ac:dyDescent="0.25">
      <c r="A117" s="13">
        <f>'A) Base RI'!A117</f>
        <v>5585</v>
      </c>
      <c r="B117" s="62" t="str">
        <f>'A) Base RI'!B117</f>
        <v>Jouxtens-Mézery</v>
      </c>
      <c r="C117" s="18">
        <f>'A) Base RI'!C117+'A) Base RI'!D117</f>
        <v>9401670.9900000002</v>
      </c>
      <c r="D117" s="18">
        <f>'A) Base RI'!AO117</f>
        <v>-28655.47</v>
      </c>
      <c r="E117" s="61">
        <f>'A) Base RI'!AP117</f>
        <v>0</v>
      </c>
      <c r="F117" s="61">
        <f>'A) Base RI'!AQ117</f>
        <v>-3901.83</v>
      </c>
      <c r="G117" s="4">
        <f t="shared" si="6"/>
        <v>9369113.6899999995</v>
      </c>
      <c r="H117" s="18">
        <f>'A) Base RI'!E117</f>
        <v>0</v>
      </c>
      <c r="I117" s="18">
        <f>'A) Base RI'!F117</f>
        <v>0</v>
      </c>
      <c r="J117" s="18">
        <f>'A) Base RI'!G117+'A) Base RI'!H117</f>
        <v>-2030.7000000000003</v>
      </c>
      <c r="K117" s="18">
        <f>'A) Base RI'!I117</f>
        <v>519968.55</v>
      </c>
      <c r="L117" s="18">
        <f>'A) Base RI'!J117</f>
        <v>193998.56</v>
      </c>
      <c r="M117" s="18">
        <f>'A) Base RI'!K117</f>
        <v>5098</v>
      </c>
      <c r="N117" s="18">
        <f>'A) Base RI'!Q117</f>
        <v>2030.2</v>
      </c>
      <c r="O117" s="18">
        <f t="shared" si="7"/>
        <v>447917.33333333337</v>
      </c>
      <c r="P117" s="18">
        <f>'A) Base RI'!L117</f>
        <v>268750.40000000002</v>
      </c>
      <c r="Q117" s="64">
        <f>'A) Base RI'!AR117</f>
        <v>0.6</v>
      </c>
      <c r="R117" s="4">
        <f t="shared" si="8"/>
        <v>10536095.633333335</v>
      </c>
      <c r="S117" s="63">
        <f>'A) Base RI'!AM117</f>
        <v>55</v>
      </c>
      <c r="T117" s="4">
        <f t="shared" si="9"/>
        <v>10083080.300000001</v>
      </c>
      <c r="U117" s="4">
        <f t="shared" si="10"/>
        <v>191565.37515151518</v>
      </c>
      <c r="V117" s="18">
        <f>'A) Base RI'!O117</f>
        <v>1287</v>
      </c>
      <c r="W117" s="18">
        <f>'A) Base RI'!P117</f>
        <v>442028.79999999999</v>
      </c>
      <c r="X117" s="18">
        <f>'A) Base RI'!R117</f>
        <v>336633.1</v>
      </c>
      <c r="Y117" s="4">
        <f t="shared" si="11"/>
        <v>779948.89999999991</v>
      </c>
      <c r="Z117" s="18">
        <f>'A) Base RI'!N117</f>
        <v>1223.3499999999999</v>
      </c>
      <c r="AA117" s="18">
        <f>'A) Base RI'!S117+'A) Base RI'!T117</f>
        <v>0</v>
      </c>
      <c r="AB117" s="18">
        <f>'A) Base RI'!U117</f>
        <v>6570</v>
      </c>
      <c r="AC117" s="18">
        <f>'A) Base RI'!V117</f>
        <v>0</v>
      </c>
      <c r="AD117" s="18">
        <f>'A) Base RI'!W117</f>
        <v>0</v>
      </c>
      <c r="AE117" s="18">
        <f>'A) Base RI'!Y117</f>
        <v>142351.35</v>
      </c>
      <c r="AF117" s="18">
        <f>'A) Base RI'!Z117</f>
        <v>0</v>
      </c>
      <c r="AG117" s="18">
        <f>'A) Base RI'!AA117</f>
        <v>230157.3</v>
      </c>
      <c r="AH117" s="18">
        <f>'A) Base RI'!AB117</f>
        <v>0</v>
      </c>
      <c r="AI117" s="18">
        <f>'A) Base RI'!AC117</f>
        <v>141337.79999999999</v>
      </c>
      <c r="AJ117" s="18">
        <f>'A) Base RI'!AD117</f>
        <v>0</v>
      </c>
      <c r="AK117" s="18">
        <f>'A) Base RI'!AE117</f>
        <v>0</v>
      </c>
      <c r="AL117" s="18">
        <f>'A) Base RI'!AF117</f>
        <v>0</v>
      </c>
      <c r="AM117" s="18">
        <f>'A) Base RI'!AG117</f>
        <v>0</v>
      </c>
      <c r="AN117" s="18">
        <f>'A) Base RI'!AH117</f>
        <v>0</v>
      </c>
      <c r="AO117" s="18">
        <f>'A) Base RI'!AI117</f>
        <v>0</v>
      </c>
      <c r="AP117" s="18">
        <f>'A) Base RI'!AJ117</f>
        <v>0</v>
      </c>
      <c r="AQ117" s="18">
        <f>'A) Base RI'!AK117</f>
        <v>0</v>
      </c>
      <c r="AR117" s="18">
        <f>'A) Base RI'!AN117</f>
        <v>1398</v>
      </c>
    </row>
    <row r="118" spans="1:44" x14ac:dyDescent="0.25">
      <c r="A118" s="13">
        <f>'A) Base RI'!A118</f>
        <v>5586</v>
      </c>
      <c r="B118" s="62" t="str">
        <f>'A) Base RI'!B118</f>
        <v>Lausanne</v>
      </c>
      <c r="C118" s="18">
        <f>'A) Base RI'!C118+'A) Base RI'!D118</f>
        <v>308953202.40999997</v>
      </c>
      <c r="D118" s="18">
        <f>'A) Base RI'!AO118</f>
        <v>-8539950.0099999998</v>
      </c>
      <c r="E118" s="61">
        <f>'A) Base RI'!AP118</f>
        <v>0</v>
      </c>
      <c r="F118" s="61">
        <f>'A) Base RI'!AQ118</f>
        <v>-3319063.82</v>
      </c>
      <c r="G118" s="4">
        <f t="shared" si="6"/>
        <v>297094188.57999998</v>
      </c>
      <c r="H118" s="18">
        <f>'A) Base RI'!E118</f>
        <v>0</v>
      </c>
      <c r="I118" s="18">
        <f>'A) Base RI'!F118</f>
        <v>0</v>
      </c>
      <c r="J118" s="18">
        <f>'A) Base RI'!G118+'A) Base RI'!H118</f>
        <v>112433929.69999999</v>
      </c>
      <c r="K118" s="18">
        <f>'A) Base RI'!I118</f>
        <v>5762907.4100000001</v>
      </c>
      <c r="L118" s="18">
        <f>'A) Base RI'!J118</f>
        <v>32764285.02</v>
      </c>
      <c r="M118" s="18">
        <f>'A) Base RI'!K118</f>
        <v>4220222</v>
      </c>
      <c r="N118" s="18">
        <f>'A) Base RI'!Q118</f>
        <v>2650193.5099999998</v>
      </c>
      <c r="O118" s="18">
        <f t="shared" si="7"/>
        <v>21906692.266666666</v>
      </c>
      <c r="P118" s="18">
        <f>'A) Base RI'!L118</f>
        <v>32860038.399999999</v>
      </c>
      <c r="Q118" s="64">
        <f>'A) Base RI'!AR118</f>
        <v>1.5</v>
      </c>
      <c r="R118" s="4">
        <f t="shared" si="8"/>
        <v>476832418.48666662</v>
      </c>
      <c r="S118" s="63">
        <f>'A) Base RI'!AM118</f>
        <v>79</v>
      </c>
      <c r="T118" s="4">
        <f t="shared" si="9"/>
        <v>450705504.21999997</v>
      </c>
      <c r="U118" s="4">
        <f t="shared" si="10"/>
        <v>6035853.3985654004</v>
      </c>
      <c r="V118" s="18">
        <f>'A) Base RI'!O118</f>
        <v>13880149.800000001</v>
      </c>
      <c r="W118" s="18">
        <f>'A) Base RI'!P118</f>
        <v>8428370.4499999993</v>
      </c>
      <c r="X118" s="18">
        <f>'A) Base RI'!R118</f>
        <v>7772322.0499999998</v>
      </c>
      <c r="Y118" s="4">
        <f t="shared" si="11"/>
        <v>30080842.300000001</v>
      </c>
      <c r="Z118" s="18">
        <f>'A) Base RI'!N118</f>
        <v>8728359.1500000004</v>
      </c>
      <c r="AA118" s="18">
        <f>'A) Base RI'!S118+'A) Base RI'!T118</f>
        <v>0</v>
      </c>
      <c r="AB118" s="18">
        <f>'A) Base RI'!U118</f>
        <v>346290</v>
      </c>
      <c r="AC118" s="18">
        <f>'A) Base RI'!V118</f>
        <v>5488810.5999999996</v>
      </c>
      <c r="AD118" s="18">
        <f>'A) Base RI'!W118</f>
        <v>0</v>
      </c>
      <c r="AE118" s="18">
        <f>'A) Base RI'!Y118</f>
        <v>2543029.5</v>
      </c>
      <c r="AF118" s="18">
        <f>'A) Base RI'!Z118</f>
        <v>0</v>
      </c>
      <c r="AG118" s="18">
        <f>'A) Base RI'!AA118</f>
        <v>13614793.42</v>
      </c>
      <c r="AH118" s="18">
        <f>'A) Base RI'!AB118</f>
        <v>0</v>
      </c>
      <c r="AI118" s="18">
        <f>'A) Base RI'!AC118</f>
        <v>21353517.84</v>
      </c>
      <c r="AJ118" s="18">
        <f>'A) Base RI'!AD118</f>
        <v>6169056.6500000004</v>
      </c>
      <c r="AK118" s="18">
        <f>'A) Base RI'!AE118</f>
        <v>0</v>
      </c>
      <c r="AL118" s="18">
        <f>'A) Base RI'!AF118</f>
        <v>0</v>
      </c>
      <c r="AM118" s="18">
        <f>'A) Base RI'!AG118</f>
        <v>3195823.41</v>
      </c>
      <c r="AN118" s="18">
        <f>'A) Base RI'!AH118</f>
        <v>7911627.8399999999</v>
      </c>
      <c r="AO118" s="18">
        <f>'A) Base RI'!AI118</f>
        <v>6071394.1399999997</v>
      </c>
      <c r="AP118" s="18">
        <f>'A) Base RI'!AJ118</f>
        <v>1664154.95</v>
      </c>
      <c r="AQ118" s="18">
        <f>'A) Base RI'!AK118</f>
        <v>1664154.41</v>
      </c>
      <c r="AR118" s="18">
        <f>'A) Base RI'!AN118</f>
        <v>133521</v>
      </c>
    </row>
    <row r="119" spans="1:44" x14ac:dyDescent="0.25">
      <c r="A119" s="13">
        <f>'A) Base RI'!A119</f>
        <v>5587</v>
      </c>
      <c r="B119" s="62" t="str">
        <f>'A) Base RI'!B119</f>
        <v>Le Mont-sur-Lausanne</v>
      </c>
      <c r="C119" s="18">
        <f>'A) Base RI'!C119+'A) Base RI'!D119</f>
        <v>21913188.66</v>
      </c>
      <c r="D119" s="18">
        <f>'A) Base RI'!AO119</f>
        <v>-192448.73</v>
      </c>
      <c r="E119" s="61">
        <f>'A) Base RI'!AP119</f>
        <v>0</v>
      </c>
      <c r="F119" s="61">
        <f>'A) Base RI'!AQ119</f>
        <v>-7820.76</v>
      </c>
      <c r="G119" s="4">
        <f t="shared" si="6"/>
        <v>21712919.169999998</v>
      </c>
      <c r="H119" s="18">
        <f>'A) Base RI'!E119</f>
        <v>0</v>
      </c>
      <c r="I119" s="18">
        <f>'A) Base RI'!F119</f>
        <v>0</v>
      </c>
      <c r="J119" s="18">
        <f>'A) Base RI'!G119+'A) Base RI'!H119</f>
        <v>2080220.55</v>
      </c>
      <c r="K119" s="18">
        <f>'A) Base RI'!I119</f>
        <v>142654.39999999999</v>
      </c>
      <c r="L119" s="18">
        <f>'A) Base RI'!J119</f>
        <v>387850.74</v>
      </c>
      <c r="M119" s="18">
        <f>'A) Base RI'!K119</f>
        <v>169651.5</v>
      </c>
      <c r="N119" s="18">
        <f>'A) Base RI'!Q119</f>
        <v>27971.85</v>
      </c>
      <c r="O119" s="18">
        <f t="shared" si="7"/>
        <v>1657585.6666666667</v>
      </c>
      <c r="P119" s="18">
        <f>'A) Base RI'!L119</f>
        <v>1989102.8</v>
      </c>
      <c r="Q119" s="64">
        <f>'A) Base RI'!AR119</f>
        <v>1.2</v>
      </c>
      <c r="R119" s="4">
        <f t="shared" si="8"/>
        <v>26178853.876666665</v>
      </c>
      <c r="S119" s="63">
        <f>'A) Base RI'!AM119</f>
        <v>75</v>
      </c>
      <c r="T119" s="4">
        <f t="shared" si="9"/>
        <v>24351616.709999997</v>
      </c>
      <c r="U119" s="4">
        <f t="shared" si="10"/>
        <v>349051.38502222218</v>
      </c>
      <c r="V119" s="18">
        <f>'A) Base RI'!O119</f>
        <v>320791.5</v>
      </c>
      <c r="W119" s="18">
        <f>'A) Base RI'!P119</f>
        <v>1024280.05</v>
      </c>
      <c r="X119" s="18">
        <f>'A) Base RI'!R119</f>
        <v>717228.6</v>
      </c>
      <c r="Y119" s="4">
        <f t="shared" si="11"/>
        <v>2062300.15</v>
      </c>
      <c r="Z119" s="18">
        <f>'A) Base RI'!N119</f>
        <v>392235.1</v>
      </c>
      <c r="AA119" s="18">
        <f>'A) Base RI'!S119+'A) Base RI'!T119</f>
        <v>2302.5</v>
      </c>
      <c r="AB119" s="18">
        <f>'A) Base RI'!U119</f>
        <v>32750</v>
      </c>
      <c r="AC119" s="18">
        <f>'A) Base RI'!V119</f>
        <v>0</v>
      </c>
      <c r="AD119" s="18">
        <f>'A) Base RI'!W119</f>
        <v>0</v>
      </c>
      <c r="AE119" s="18">
        <f>'A) Base RI'!Y119</f>
        <v>530236</v>
      </c>
      <c r="AF119" s="18">
        <f>'A) Base RI'!Z119</f>
        <v>0</v>
      </c>
      <c r="AG119" s="18">
        <f>'A) Base RI'!AA119</f>
        <v>1244564.7</v>
      </c>
      <c r="AH119" s="18">
        <f>'A) Base RI'!AB119</f>
        <v>0</v>
      </c>
      <c r="AI119" s="18">
        <f>'A) Base RI'!AC119</f>
        <v>587122.22</v>
      </c>
      <c r="AJ119" s="18">
        <f>'A) Base RI'!AD119</f>
        <v>0</v>
      </c>
      <c r="AK119" s="18">
        <f>'A) Base RI'!AE119</f>
        <v>0</v>
      </c>
      <c r="AL119" s="18">
        <f>'A) Base RI'!AF119</f>
        <v>0</v>
      </c>
      <c r="AM119" s="18">
        <f>'A) Base RI'!AG119</f>
        <v>0</v>
      </c>
      <c r="AN119" s="18">
        <f>'A) Base RI'!AH119</f>
        <v>290835.48</v>
      </c>
      <c r="AO119" s="18">
        <f>'A) Base RI'!AI119</f>
        <v>0</v>
      </c>
      <c r="AP119" s="18">
        <f>'A) Base RI'!AJ119</f>
        <v>0</v>
      </c>
      <c r="AQ119" s="18">
        <f>'A) Base RI'!AK119</f>
        <v>0</v>
      </c>
      <c r="AR119" s="18">
        <f>'A) Base RI'!AN119</f>
        <v>6937</v>
      </c>
    </row>
    <row r="120" spans="1:44" x14ac:dyDescent="0.25">
      <c r="A120" s="13">
        <f>'A) Base RI'!A120</f>
        <v>5588</v>
      </c>
      <c r="B120" s="62" t="str">
        <f>'A) Base RI'!B120</f>
        <v>Paudex</v>
      </c>
      <c r="C120" s="18">
        <f>'A) Base RI'!C120+'A) Base RI'!D120</f>
        <v>7414221.9500000002</v>
      </c>
      <c r="D120" s="18">
        <f>'A) Base RI'!AO120</f>
        <v>-124070.14</v>
      </c>
      <c r="E120" s="61">
        <f>'A) Base RI'!AP120</f>
        <v>0</v>
      </c>
      <c r="F120" s="61">
        <f>'A) Base RI'!AQ120</f>
        <v>-3025.08</v>
      </c>
      <c r="G120" s="4">
        <f t="shared" si="6"/>
        <v>7287126.7300000004</v>
      </c>
      <c r="H120" s="18">
        <f>'A) Base RI'!E120</f>
        <v>0</v>
      </c>
      <c r="I120" s="18">
        <f>'A) Base RI'!F120</f>
        <v>0</v>
      </c>
      <c r="J120" s="18">
        <f>'A) Base RI'!G120+'A) Base RI'!H120</f>
        <v>716379</v>
      </c>
      <c r="K120" s="18">
        <f>'A) Base RI'!I120</f>
        <v>625320.78</v>
      </c>
      <c r="L120" s="18">
        <f>'A) Base RI'!J120</f>
        <v>232875.13</v>
      </c>
      <c r="M120" s="18">
        <f>'A) Base RI'!K120</f>
        <v>36739.5</v>
      </c>
      <c r="N120" s="18">
        <f>'A) Base RI'!Q120</f>
        <v>12339.17</v>
      </c>
      <c r="O120" s="18">
        <f t="shared" si="7"/>
        <v>471065.35714285716</v>
      </c>
      <c r="P120" s="18">
        <f>'A) Base RI'!L120</f>
        <v>329745.75</v>
      </c>
      <c r="Q120" s="64">
        <f>'A) Base RI'!AR120</f>
        <v>0.7</v>
      </c>
      <c r="R120" s="4">
        <f t="shared" si="8"/>
        <v>9381845.6671428569</v>
      </c>
      <c r="S120" s="63">
        <f>'A) Base RI'!AM120</f>
        <v>61.5</v>
      </c>
      <c r="T120" s="4">
        <f t="shared" si="9"/>
        <v>8874040.8100000005</v>
      </c>
      <c r="U120" s="4">
        <f t="shared" si="10"/>
        <v>152550.33605110337</v>
      </c>
      <c r="V120" s="18">
        <v>0</v>
      </c>
      <c r="W120" s="18">
        <f>'A) Base RI'!P120</f>
        <v>46200</v>
      </c>
      <c r="X120" s="18">
        <f>'A) Base RI'!R120</f>
        <v>69700.800000000003</v>
      </c>
      <c r="Y120" s="4">
        <f t="shared" si="11"/>
        <v>115900.8</v>
      </c>
      <c r="Z120" s="18">
        <f>'A) Base RI'!N120</f>
        <v>16776.75</v>
      </c>
      <c r="AA120" s="18">
        <f>'A) Base RI'!S120+'A) Base RI'!T120</f>
        <v>677.5</v>
      </c>
      <c r="AB120" s="18">
        <f>'A) Base RI'!U120</f>
        <v>5400</v>
      </c>
      <c r="AC120" s="18">
        <f>'A) Base RI'!V120</f>
        <v>0</v>
      </c>
      <c r="AD120" s="18">
        <f>'A) Base RI'!W120</f>
        <v>0</v>
      </c>
      <c r="AE120" s="18">
        <f>'A) Base RI'!Y120</f>
        <v>6196</v>
      </c>
      <c r="AF120" s="18">
        <f>'A) Base RI'!Z120</f>
        <v>5962</v>
      </c>
      <c r="AG120" s="18">
        <f>'A) Base RI'!AA120</f>
        <v>110665</v>
      </c>
      <c r="AH120" s="18">
        <f>'A) Base RI'!AB120</f>
        <v>0</v>
      </c>
      <c r="AI120" s="18">
        <f>'A) Base RI'!AC120</f>
        <v>129405</v>
      </c>
      <c r="AJ120" s="18">
        <f>'A) Base RI'!AD120</f>
        <v>6050</v>
      </c>
      <c r="AK120" s="18">
        <f>'A) Base RI'!AE120</f>
        <v>5822</v>
      </c>
      <c r="AL120" s="18">
        <f>'A) Base RI'!AF120</f>
        <v>0</v>
      </c>
      <c r="AM120" s="18">
        <f>'A) Base RI'!AG120</f>
        <v>0</v>
      </c>
      <c r="AN120" s="18">
        <f>'A) Base RI'!AH120</f>
        <v>0</v>
      </c>
      <c r="AO120" s="18">
        <f>'A) Base RI'!AI120</f>
        <v>31949</v>
      </c>
      <c r="AP120" s="18">
        <f>'A) Base RI'!AJ120</f>
        <v>0</v>
      </c>
      <c r="AQ120" s="18">
        <f>'A) Base RI'!AK120</f>
        <v>15974</v>
      </c>
      <c r="AR120" s="18">
        <f>'A) Base RI'!AN120</f>
        <v>1454</v>
      </c>
    </row>
    <row r="121" spans="1:44" x14ac:dyDescent="0.25">
      <c r="A121" s="13">
        <f>'A) Base RI'!A121</f>
        <v>5589</v>
      </c>
      <c r="B121" s="62" t="str">
        <f>'A) Base RI'!B121</f>
        <v>Prilly</v>
      </c>
      <c r="C121" s="18">
        <f>'A) Base RI'!C121+'A) Base RI'!D121</f>
        <v>20122805.120000001</v>
      </c>
      <c r="D121" s="18">
        <f>'A) Base RI'!AO121</f>
        <v>-705351.11</v>
      </c>
      <c r="E121" s="61">
        <f>'A) Base RI'!AP121</f>
        <v>0</v>
      </c>
      <c r="F121" s="61">
        <f>'A) Base RI'!AQ121</f>
        <v>-4776.3100000000004</v>
      </c>
      <c r="G121" s="4">
        <f t="shared" si="6"/>
        <v>19412677.700000003</v>
      </c>
      <c r="H121" s="18">
        <f>'A) Base RI'!E121</f>
        <v>0</v>
      </c>
      <c r="I121" s="18">
        <f>'A) Base RI'!F121</f>
        <v>0</v>
      </c>
      <c r="J121" s="18">
        <f>'A) Base RI'!G121+'A) Base RI'!H121</f>
        <v>6925566.5</v>
      </c>
      <c r="K121" s="18">
        <f>'A) Base RI'!I121</f>
        <v>31261.95</v>
      </c>
      <c r="L121" s="18">
        <f>'A) Base RI'!J121</f>
        <v>1367119</v>
      </c>
      <c r="M121" s="18">
        <f>'A) Base RI'!K121</f>
        <v>331194.5</v>
      </c>
      <c r="N121" s="18">
        <f>'A) Base RI'!Q121</f>
        <v>262944.86</v>
      </c>
      <c r="O121" s="18">
        <f t="shared" si="7"/>
        <v>1801590.1</v>
      </c>
      <c r="P121" s="18">
        <f>'A) Base RI'!L121</f>
        <v>1801590.1</v>
      </c>
      <c r="Q121" s="64">
        <f>'A) Base RI'!AR121</f>
        <v>1</v>
      </c>
      <c r="R121" s="4">
        <f t="shared" si="8"/>
        <v>30132354.610000003</v>
      </c>
      <c r="S121" s="63">
        <f>'A) Base RI'!AM121</f>
        <v>73.5</v>
      </c>
      <c r="T121" s="4">
        <f t="shared" si="9"/>
        <v>27999570.010000002</v>
      </c>
      <c r="U121" s="4">
        <f t="shared" si="10"/>
        <v>409964.00829931977</v>
      </c>
      <c r="V121" s="18">
        <f>'A) Base RI'!O121</f>
        <v>269171.90000000002</v>
      </c>
      <c r="W121" s="18">
        <f>'A) Base RI'!P121</f>
        <v>370130.95</v>
      </c>
      <c r="X121" s="18">
        <f>'A) Base RI'!R121</f>
        <v>413891.2</v>
      </c>
      <c r="Y121" s="4">
        <f t="shared" si="11"/>
        <v>1053194.05</v>
      </c>
      <c r="Z121" s="18">
        <f>'A) Base RI'!N121</f>
        <v>1191428.1000000001</v>
      </c>
      <c r="AA121" s="18">
        <f>'A) Base RI'!S121+'A) Base RI'!T121</f>
        <v>437.5</v>
      </c>
      <c r="AB121" s="18">
        <f>'A) Base RI'!U121</f>
        <v>38400</v>
      </c>
      <c r="AC121" s="18">
        <f>'A) Base RI'!V121</f>
        <v>0</v>
      </c>
      <c r="AD121" s="18">
        <f>'A) Base RI'!W121</f>
        <v>0</v>
      </c>
      <c r="AE121" s="18">
        <f>'A) Base RI'!Y121</f>
        <v>-102940.5</v>
      </c>
      <c r="AF121" s="18">
        <f>'A) Base RI'!Z121</f>
        <v>0</v>
      </c>
      <c r="AG121" s="18">
        <f>'A) Base RI'!AA121</f>
        <v>1250521.8</v>
      </c>
      <c r="AH121" s="18">
        <f>'A) Base RI'!AB121</f>
        <v>0</v>
      </c>
      <c r="AI121" s="18">
        <f>'A) Base RI'!AC121</f>
        <v>828842.6</v>
      </c>
      <c r="AJ121" s="18">
        <f>'A) Base RI'!AD121</f>
        <v>0</v>
      </c>
      <c r="AK121" s="18">
        <f>'A) Base RI'!AE121</f>
        <v>0</v>
      </c>
      <c r="AL121" s="18">
        <f>'A) Base RI'!AF121</f>
        <v>0</v>
      </c>
      <c r="AM121" s="18">
        <f>'A) Base RI'!AG121</f>
        <v>0</v>
      </c>
      <c r="AN121" s="18">
        <f>'A) Base RI'!AH121</f>
        <v>353858.62</v>
      </c>
      <c r="AO121" s="18">
        <f>'A) Base RI'!AI121</f>
        <v>0</v>
      </c>
      <c r="AP121" s="18">
        <f>'A) Base RI'!AJ121</f>
        <v>90992.2</v>
      </c>
      <c r="AQ121" s="18">
        <f>'A) Base RI'!AK121</f>
        <v>0</v>
      </c>
      <c r="AR121" s="18">
        <f>'A) Base RI'!AN121</f>
        <v>11824</v>
      </c>
    </row>
    <row r="122" spans="1:44" x14ac:dyDescent="0.25">
      <c r="A122" s="13">
        <f>'A) Base RI'!A122</f>
        <v>5590</v>
      </c>
      <c r="B122" s="62" t="str">
        <f>'A) Base RI'!B122</f>
        <v>Pully</v>
      </c>
      <c r="C122" s="18">
        <f>'A) Base RI'!C122+'A) Base RI'!D122</f>
        <v>75604789.549999997</v>
      </c>
      <c r="D122" s="18">
        <f>'A) Base RI'!AO122</f>
        <v>-875026.25</v>
      </c>
      <c r="E122" s="61">
        <f>'A) Base RI'!AP122</f>
        <v>0</v>
      </c>
      <c r="F122" s="61">
        <f>'A) Base RI'!AQ122</f>
        <v>-50853.81</v>
      </c>
      <c r="G122" s="4">
        <f t="shared" si="6"/>
        <v>74678909.489999995</v>
      </c>
      <c r="H122" s="18">
        <f>'A) Base RI'!E122</f>
        <v>0</v>
      </c>
      <c r="I122" s="18">
        <f>'A) Base RI'!F122</f>
        <v>0</v>
      </c>
      <c r="J122" s="18">
        <f>'A) Base RI'!G122+'A) Base RI'!H122</f>
        <v>5738359.25</v>
      </c>
      <c r="K122" s="18">
        <f>'A) Base RI'!I122</f>
        <v>2723948.54</v>
      </c>
      <c r="L122" s="18">
        <f>'A) Base RI'!J122</f>
        <v>973366.42</v>
      </c>
      <c r="M122" s="18">
        <f>'A) Base RI'!K122</f>
        <v>419466.5</v>
      </c>
      <c r="N122" s="18">
        <f>'A) Base RI'!Q122</f>
        <v>187288.87</v>
      </c>
      <c r="O122" s="18">
        <f t="shared" si="7"/>
        <v>4249037.0714285718</v>
      </c>
      <c r="P122" s="18">
        <f>'A) Base RI'!L122</f>
        <v>2974325.95</v>
      </c>
      <c r="Q122" s="64">
        <f>'A) Base RI'!AR122</f>
        <v>0.7</v>
      </c>
      <c r="R122" s="4">
        <f t="shared" si="8"/>
        <v>88970376.141428575</v>
      </c>
      <c r="S122" s="63">
        <f>'A) Base RI'!AM122</f>
        <v>63</v>
      </c>
      <c r="T122" s="4">
        <f t="shared" si="9"/>
        <v>84301872.570000008</v>
      </c>
      <c r="U122" s="4">
        <f t="shared" si="10"/>
        <v>1412228.1927210884</v>
      </c>
      <c r="V122" s="18">
        <f>'A) Base RI'!O122</f>
        <v>5142323.4000000004</v>
      </c>
      <c r="W122" s="18">
        <f>'A) Base RI'!P122</f>
        <v>3040740.4</v>
      </c>
      <c r="X122" s="18">
        <f>'A) Base RI'!R122</f>
        <v>3075050.35</v>
      </c>
      <c r="Y122" s="4">
        <f t="shared" si="11"/>
        <v>11258114.15</v>
      </c>
      <c r="Z122" s="18">
        <f>'A) Base RI'!N122</f>
        <v>126947.3</v>
      </c>
      <c r="AA122" s="18">
        <f>'A) Base RI'!S122+'A) Base RI'!T122</f>
        <v>68033.95</v>
      </c>
      <c r="AB122" s="18">
        <f>'A) Base RI'!U122</f>
        <v>47050</v>
      </c>
      <c r="AC122" s="18">
        <f>'A) Base RI'!V122</f>
        <v>4794</v>
      </c>
      <c r="AD122" s="18">
        <f>'A) Base RI'!W122</f>
        <v>2547.6</v>
      </c>
      <c r="AE122" s="18">
        <f>'A) Base RI'!Y122</f>
        <v>340789.19</v>
      </c>
      <c r="AF122" s="18">
        <f>'A) Base RI'!Z122</f>
        <v>0</v>
      </c>
      <c r="AG122" s="18">
        <f>'A) Base RI'!AA122</f>
        <v>3253161.37</v>
      </c>
      <c r="AH122" s="18">
        <f>'A) Base RI'!AB122</f>
        <v>0</v>
      </c>
      <c r="AI122" s="18">
        <f>'A) Base RI'!AC122</f>
        <v>2064216.11</v>
      </c>
      <c r="AJ122" s="18">
        <f>'A) Base RI'!AD122</f>
        <v>250431.65</v>
      </c>
      <c r="AK122" s="18">
        <f>'A) Base RI'!AE122</f>
        <v>0</v>
      </c>
      <c r="AL122" s="18">
        <f>'A) Base RI'!AF122</f>
        <v>0</v>
      </c>
      <c r="AM122" s="18">
        <f>'A) Base RI'!AG122</f>
        <v>38613.599999999999</v>
      </c>
      <c r="AN122" s="18">
        <f>'A) Base RI'!AH122</f>
        <v>367116.34</v>
      </c>
      <c r="AO122" s="18">
        <f>'A) Base RI'!AI122</f>
        <v>540168.66</v>
      </c>
      <c r="AP122" s="18">
        <f>'A) Base RI'!AJ122</f>
        <v>0</v>
      </c>
      <c r="AQ122" s="18">
        <f>'A) Base RI'!AK122</f>
        <v>0</v>
      </c>
      <c r="AR122" s="18">
        <f>'A) Base RI'!AN122</f>
        <v>17598</v>
      </c>
    </row>
    <row r="123" spans="1:44" x14ac:dyDescent="0.25">
      <c r="A123" s="13">
        <f>'A) Base RI'!A123</f>
        <v>5591</v>
      </c>
      <c r="B123" s="62" t="str">
        <f>'A) Base RI'!B123</f>
        <v>Renens</v>
      </c>
      <c r="C123" s="18">
        <f>'A) Base RI'!C123+'A) Base RI'!D123</f>
        <v>30688913.25</v>
      </c>
      <c r="D123" s="18">
        <f>'A) Base RI'!AO123</f>
        <v>-1789934.7</v>
      </c>
      <c r="E123" s="61">
        <f>'A) Base RI'!AP123</f>
        <v>0</v>
      </c>
      <c r="F123" s="61">
        <f>'A) Base RI'!AQ123</f>
        <v>-6570.09</v>
      </c>
      <c r="G123" s="4">
        <f t="shared" si="6"/>
        <v>28892408.460000001</v>
      </c>
      <c r="H123" s="18">
        <f>'A) Base RI'!E123</f>
        <v>0</v>
      </c>
      <c r="I123" s="18">
        <f>'A) Base RI'!F123</f>
        <v>0</v>
      </c>
      <c r="J123" s="18">
        <f>'A) Base RI'!G123+'A) Base RI'!H123</f>
        <v>4424876.75</v>
      </c>
      <c r="K123" s="18">
        <f>'A) Base RI'!I123</f>
        <v>0</v>
      </c>
      <c r="L123" s="18">
        <f>'A) Base RI'!J123</f>
        <v>2234737.71</v>
      </c>
      <c r="M123" s="18">
        <f>'A) Base RI'!K123</f>
        <v>559826.5</v>
      </c>
      <c r="N123" s="18">
        <f>'A) Base RI'!Q123</f>
        <v>522689.94</v>
      </c>
      <c r="O123" s="18">
        <f t="shared" si="7"/>
        <v>3182616.9642857146</v>
      </c>
      <c r="P123" s="18">
        <f>'A) Base RI'!L123</f>
        <v>4455663.75</v>
      </c>
      <c r="Q123" s="64">
        <f>'A) Base RI'!AR123</f>
        <v>1.4</v>
      </c>
      <c r="R123" s="4">
        <f t="shared" si="8"/>
        <v>39817156.324285716</v>
      </c>
      <c r="S123" s="63">
        <f>'A) Base RI'!AM123</f>
        <v>78.5</v>
      </c>
      <c r="T123" s="4">
        <f t="shared" si="9"/>
        <v>36074712.859999999</v>
      </c>
      <c r="U123" s="4">
        <f t="shared" si="10"/>
        <v>507224.92132848047</v>
      </c>
      <c r="V123" s="18">
        <f>'A) Base RI'!O123</f>
        <v>1674363.1</v>
      </c>
      <c r="W123" s="18">
        <f>'A) Base RI'!P123</f>
        <v>805967.7</v>
      </c>
      <c r="X123" s="18">
        <f>'A) Base RI'!R123</f>
        <v>908090</v>
      </c>
      <c r="Y123" s="4">
        <f t="shared" si="11"/>
        <v>3388420.8</v>
      </c>
      <c r="Z123" s="18">
        <f>'A) Base RI'!N123</f>
        <v>1880338.75</v>
      </c>
      <c r="AA123" s="18">
        <f>'A) Base RI'!S123+'A) Base RI'!T123</f>
        <v>2387.5</v>
      </c>
      <c r="AB123" s="18">
        <f>'A) Base RI'!U123</f>
        <v>44550</v>
      </c>
      <c r="AC123" s="18">
        <f>'A) Base RI'!V123</f>
        <v>62059.5</v>
      </c>
      <c r="AD123" s="18">
        <f>'A) Base RI'!W123</f>
        <v>64071.3</v>
      </c>
      <c r="AE123" s="18">
        <f>'A) Base RI'!Y123</f>
        <v>14407.2</v>
      </c>
      <c r="AF123" s="18">
        <f>'A) Base RI'!Z123</f>
        <v>0</v>
      </c>
      <c r="AG123" s="18">
        <f>'A) Base RI'!AA123</f>
        <v>1344649.84</v>
      </c>
      <c r="AH123" s="18">
        <f>'A) Base RI'!AB123</f>
        <v>25824</v>
      </c>
      <c r="AI123" s="18">
        <f>'A) Base RI'!AC123</f>
        <v>2243418.23</v>
      </c>
      <c r="AJ123" s="18">
        <f>'A) Base RI'!AD123</f>
        <v>0</v>
      </c>
      <c r="AK123" s="18">
        <f>'A) Base RI'!AE123</f>
        <v>0</v>
      </c>
      <c r="AL123" s="18">
        <f>'A) Base RI'!AF123</f>
        <v>0</v>
      </c>
      <c r="AM123" s="18">
        <f>'A) Base RI'!AG123</f>
        <v>1858.2</v>
      </c>
      <c r="AN123" s="18">
        <f>'A) Base RI'!AH123</f>
        <v>594869.19999999995</v>
      </c>
      <c r="AO123" s="18">
        <f>'A) Base RI'!AI123</f>
        <v>0</v>
      </c>
      <c r="AP123" s="18">
        <f>'A) Base RI'!AJ123</f>
        <v>0</v>
      </c>
      <c r="AQ123" s="18">
        <f>'A) Base RI'!AK123</f>
        <v>94981.31</v>
      </c>
      <c r="AR123" s="18">
        <f>'A) Base RI'!AN123</f>
        <v>20307</v>
      </c>
    </row>
    <row r="124" spans="1:44" x14ac:dyDescent="0.25">
      <c r="A124" s="13">
        <f>'A) Base RI'!A124</f>
        <v>5592</v>
      </c>
      <c r="B124" s="62" t="str">
        <f>'A) Base RI'!B124</f>
        <v>Romanel-sur-Lausanne</v>
      </c>
      <c r="C124" s="18">
        <f>'A) Base RI'!C124+'A) Base RI'!D124</f>
        <v>6265864.1600000001</v>
      </c>
      <c r="D124" s="18">
        <f>'A) Base RI'!AO124</f>
        <v>-96124.15</v>
      </c>
      <c r="E124" s="61">
        <f>'A) Base RI'!AP124</f>
        <v>0</v>
      </c>
      <c r="F124" s="61">
        <f>'A) Base RI'!AQ124</f>
        <v>-2366.02</v>
      </c>
      <c r="G124" s="4">
        <f t="shared" si="6"/>
        <v>6167373.9900000002</v>
      </c>
      <c r="H124" s="18">
        <f>'A) Base RI'!E124</f>
        <v>0</v>
      </c>
      <c r="I124" s="18">
        <f>'A) Base RI'!F124</f>
        <v>0</v>
      </c>
      <c r="J124" s="18">
        <f>'A) Base RI'!G124+'A) Base RI'!H124</f>
        <v>906305.14999999991</v>
      </c>
      <c r="K124" s="18">
        <f>'A) Base RI'!I124</f>
        <v>0</v>
      </c>
      <c r="L124" s="18">
        <f>'A) Base RI'!J124</f>
        <v>226938.52</v>
      </c>
      <c r="M124" s="18">
        <f>'A) Base RI'!K124</f>
        <v>104748</v>
      </c>
      <c r="N124" s="18">
        <f>'A) Base RI'!Q124</f>
        <v>40446.36</v>
      </c>
      <c r="O124" s="18">
        <f t="shared" si="7"/>
        <v>636910.19999999995</v>
      </c>
      <c r="P124" s="18">
        <f>'A) Base RI'!L124</f>
        <v>636910.19999999995</v>
      </c>
      <c r="Q124" s="64">
        <f>'A) Base RI'!AR124</f>
        <v>1</v>
      </c>
      <c r="R124" s="4">
        <f t="shared" si="8"/>
        <v>8082722.2200000007</v>
      </c>
      <c r="S124" s="63">
        <f>'A) Base RI'!AM124</f>
        <v>70</v>
      </c>
      <c r="T124" s="4">
        <f t="shared" si="9"/>
        <v>7341064.0200000005</v>
      </c>
      <c r="U124" s="4">
        <f t="shared" si="10"/>
        <v>115467.46028571429</v>
      </c>
      <c r="V124" s="18">
        <f>'A) Base RI'!O124</f>
        <v>57984</v>
      </c>
      <c r="W124" s="18">
        <f>'A) Base RI'!P124</f>
        <v>345305.35</v>
      </c>
      <c r="X124" s="18">
        <f>'A) Base RI'!R124</f>
        <v>107135.7</v>
      </c>
      <c r="Y124" s="4">
        <f t="shared" si="11"/>
        <v>510425.05</v>
      </c>
      <c r="Z124" s="18">
        <f>'A) Base RI'!N124</f>
        <v>216205.4</v>
      </c>
      <c r="AA124" s="18">
        <f>'A) Base RI'!S124+'A) Base RI'!T124</f>
        <v>1353.75</v>
      </c>
      <c r="AB124" s="18">
        <f>'A) Base RI'!U124</f>
        <v>16725</v>
      </c>
      <c r="AC124" s="18">
        <f>'A) Base RI'!V124</f>
        <v>0</v>
      </c>
      <c r="AD124" s="18">
        <f>'A) Base RI'!W124</f>
        <v>0</v>
      </c>
      <c r="AE124" s="18">
        <f>'A) Base RI'!Y124</f>
        <v>31421.200000000001</v>
      </c>
      <c r="AF124" s="18">
        <f>'A) Base RI'!Z124</f>
        <v>6760.05</v>
      </c>
      <c r="AG124" s="18">
        <f>'A) Base RI'!AA124</f>
        <v>175790.49</v>
      </c>
      <c r="AH124" s="18">
        <f>'A) Base RI'!AB124</f>
        <v>0</v>
      </c>
      <c r="AI124" s="18">
        <f>'A) Base RI'!AC124</f>
        <v>219053.95</v>
      </c>
      <c r="AJ124" s="18">
        <f>'A) Base RI'!AD124</f>
        <v>16982.8</v>
      </c>
      <c r="AK124" s="18">
        <f>'A) Base RI'!AE124</f>
        <v>0</v>
      </c>
      <c r="AL124" s="18">
        <f>'A) Base RI'!AF124</f>
        <v>0</v>
      </c>
      <c r="AM124" s="18">
        <f>'A) Base RI'!AG124</f>
        <v>0</v>
      </c>
      <c r="AN124" s="18">
        <f>'A) Base RI'!AH124</f>
        <v>104564.02</v>
      </c>
      <c r="AO124" s="18">
        <f>'A) Base RI'!AI124</f>
        <v>59749.95</v>
      </c>
      <c r="AP124" s="18">
        <f>'A) Base RI'!AJ124</f>
        <v>44811.9</v>
      </c>
      <c r="AQ124" s="18">
        <f>'A) Base RI'!AK124</f>
        <v>0</v>
      </c>
      <c r="AR124" s="18">
        <f>'A) Base RI'!AN124</f>
        <v>3290</v>
      </c>
    </row>
    <row r="125" spans="1:44" x14ac:dyDescent="0.25">
      <c r="A125" s="13">
        <f>'A) Base RI'!A125</f>
        <v>5601</v>
      </c>
      <c r="B125" s="62" t="str">
        <f>'A) Base RI'!B125</f>
        <v>Chexbres</v>
      </c>
      <c r="C125" s="18">
        <f>'A) Base RI'!C125+'A) Base RI'!D125</f>
        <v>5836358.8200000003</v>
      </c>
      <c r="D125" s="18">
        <f>'A) Base RI'!AO125</f>
        <v>-65533.62</v>
      </c>
      <c r="E125" s="61">
        <f>'A) Base RI'!AP125</f>
        <v>0</v>
      </c>
      <c r="F125" s="61">
        <f>'A) Base RI'!AQ125</f>
        <v>-2565.85</v>
      </c>
      <c r="G125" s="4">
        <f t="shared" si="6"/>
        <v>5768259.3500000006</v>
      </c>
      <c r="H125" s="18">
        <f>'A) Base RI'!E125</f>
        <v>0</v>
      </c>
      <c r="I125" s="18">
        <f>'A) Base RI'!F125</f>
        <v>0</v>
      </c>
      <c r="J125" s="18">
        <f>'A) Base RI'!G125+'A) Base RI'!H125</f>
        <v>84793.9</v>
      </c>
      <c r="K125" s="18">
        <f>'A) Base RI'!I125</f>
        <v>94697.1</v>
      </c>
      <c r="L125" s="18">
        <f>'A) Base RI'!J125</f>
        <v>161267.17000000001</v>
      </c>
      <c r="M125" s="18">
        <f>'A) Base RI'!K125</f>
        <v>17147.5</v>
      </c>
      <c r="N125" s="18">
        <f>'A) Base RI'!Q125</f>
        <v>3282.15</v>
      </c>
      <c r="O125" s="18">
        <f t="shared" si="7"/>
        <v>398870.8</v>
      </c>
      <c r="P125" s="18">
        <f>'A) Base RI'!L125</f>
        <v>398870.8</v>
      </c>
      <c r="Q125" s="64">
        <f>'A) Base RI'!AR125</f>
        <v>1</v>
      </c>
      <c r="R125" s="4">
        <f t="shared" si="8"/>
        <v>6528317.9700000007</v>
      </c>
      <c r="S125" s="63">
        <f>'A) Base RI'!AM125</f>
        <v>64</v>
      </c>
      <c r="T125" s="4">
        <f t="shared" si="9"/>
        <v>6112299.6700000009</v>
      </c>
      <c r="U125" s="4">
        <f t="shared" si="10"/>
        <v>102004.96828125001</v>
      </c>
      <c r="V125" s="18">
        <f>'A) Base RI'!O125</f>
        <v>284463.8</v>
      </c>
      <c r="W125" s="18">
        <f>'A) Base RI'!P125</f>
        <v>184074.35</v>
      </c>
      <c r="X125" s="18">
        <f>'A) Base RI'!R125</f>
        <v>233316.35</v>
      </c>
      <c r="Y125" s="4">
        <f t="shared" si="11"/>
        <v>701854.5</v>
      </c>
      <c r="Z125" s="18">
        <f>'A) Base RI'!N125</f>
        <v>49358.35</v>
      </c>
      <c r="AA125" s="18">
        <f>'A) Base RI'!S125+'A) Base RI'!T125</f>
        <v>437.5</v>
      </c>
      <c r="AB125" s="18">
        <f>'A) Base RI'!U125</f>
        <v>7725</v>
      </c>
      <c r="AC125" s="18">
        <f>'A) Base RI'!V125</f>
        <v>0</v>
      </c>
      <c r="AD125" s="18">
        <f>'A) Base RI'!W125</f>
        <v>0</v>
      </c>
      <c r="AE125" s="18">
        <f>'A) Base RI'!Y125</f>
        <v>0</v>
      </c>
      <c r="AF125" s="18">
        <f>'A) Base RI'!Z125</f>
        <v>15245</v>
      </c>
      <c r="AG125" s="18">
        <f>'A) Base RI'!AA125</f>
        <v>277905</v>
      </c>
      <c r="AH125" s="18">
        <f>'A) Base RI'!AB125</f>
        <v>243789.55</v>
      </c>
      <c r="AI125" s="18">
        <f>'A) Base RI'!AC125</f>
        <v>124156.25</v>
      </c>
      <c r="AJ125" s="18">
        <f>'A) Base RI'!AD125</f>
        <v>0</v>
      </c>
      <c r="AK125" s="18">
        <f>'A) Base RI'!AE125</f>
        <v>25408.3</v>
      </c>
      <c r="AL125" s="18">
        <f>'A) Base RI'!AF125</f>
        <v>0</v>
      </c>
      <c r="AM125" s="18">
        <f>'A) Base RI'!AG125</f>
        <v>56298.85</v>
      </c>
      <c r="AN125" s="18">
        <f>'A) Base RI'!AH125</f>
        <v>50175</v>
      </c>
      <c r="AO125" s="18">
        <f>'A) Base RI'!AI125</f>
        <v>0</v>
      </c>
      <c r="AP125" s="18">
        <f>'A) Base RI'!AJ125</f>
        <v>0</v>
      </c>
      <c r="AQ125" s="18">
        <f>'A) Base RI'!AK125</f>
        <v>0</v>
      </c>
      <c r="AR125" s="18">
        <f>'A) Base RI'!AN125</f>
        <v>2180</v>
      </c>
    </row>
    <row r="126" spans="1:44" x14ac:dyDescent="0.25">
      <c r="A126" s="13">
        <f>'A) Base RI'!A126</f>
        <v>5604</v>
      </c>
      <c r="B126" s="62" t="str">
        <f>'A) Base RI'!B126</f>
        <v>Forel (Lavaux)</v>
      </c>
      <c r="C126" s="18">
        <f>'A) Base RI'!C126+'A) Base RI'!D126</f>
        <v>4086505.1799999997</v>
      </c>
      <c r="D126" s="18">
        <f>'A) Base RI'!AO126</f>
        <v>-161619.66</v>
      </c>
      <c r="E126" s="61">
        <f>'A) Base RI'!AP126</f>
        <v>0</v>
      </c>
      <c r="F126" s="61">
        <f>'A) Base RI'!AQ126</f>
        <v>-55.47</v>
      </c>
      <c r="G126" s="4">
        <f t="shared" si="6"/>
        <v>3924830.0499999993</v>
      </c>
      <c r="H126" s="18">
        <f>'A) Base RI'!E126</f>
        <v>0</v>
      </c>
      <c r="I126" s="18">
        <f>'A) Base RI'!F126</f>
        <v>0</v>
      </c>
      <c r="J126" s="18">
        <f>'A) Base RI'!G126+'A) Base RI'!H126</f>
        <v>450619.2</v>
      </c>
      <c r="K126" s="18">
        <f>'A) Base RI'!I126</f>
        <v>16422.099999999999</v>
      </c>
      <c r="L126" s="18">
        <f>'A) Base RI'!J126</f>
        <v>91387.76</v>
      </c>
      <c r="M126" s="18">
        <f>'A) Base RI'!K126</f>
        <v>23671</v>
      </c>
      <c r="N126" s="18">
        <f>'A) Base RI'!Q126</f>
        <v>27774.55</v>
      </c>
      <c r="O126" s="18">
        <f t="shared" si="7"/>
        <v>328121.55</v>
      </c>
      <c r="P126" s="18">
        <f>'A) Base RI'!L126</f>
        <v>328121.55</v>
      </c>
      <c r="Q126" s="64">
        <f>'A) Base RI'!AR126</f>
        <v>1</v>
      </c>
      <c r="R126" s="4">
        <f t="shared" si="8"/>
        <v>4862826.2099999981</v>
      </c>
      <c r="S126" s="63">
        <f>'A) Base RI'!AM126</f>
        <v>66</v>
      </c>
      <c r="T126" s="4">
        <f t="shared" si="9"/>
        <v>4511033.6599999983</v>
      </c>
      <c r="U126" s="4">
        <f t="shared" si="10"/>
        <v>73679.184999999969</v>
      </c>
      <c r="V126" s="18">
        <v>0</v>
      </c>
      <c r="W126" s="18">
        <f>'A) Base RI'!P126</f>
        <v>172812.5</v>
      </c>
      <c r="X126" s="18">
        <f>'A) Base RI'!R126</f>
        <v>170245.45</v>
      </c>
      <c r="Y126" s="4">
        <f t="shared" si="11"/>
        <v>343057.95</v>
      </c>
      <c r="Z126" s="18">
        <f>'A) Base RI'!N126</f>
        <v>3939.6</v>
      </c>
      <c r="AA126" s="18">
        <f>'A) Base RI'!S126+'A) Base RI'!T126</f>
        <v>1980</v>
      </c>
      <c r="AB126" s="18">
        <f>'A) Base RI'!U126</f>
        <v>10275</v>
      </c>
      <c r="AC126" s="18">
        <f>'A) Base RI'!V126</f>
        <v>755.2</v>
      </c>
      <c r="AD126" s="18">
        <f>'A) Base RI'!W126</f>
        <v>0</v>
      </c>
      <c r="AE126" s="18">
        <f>'A) Base RI'!Y126</f>
        <v>184453.2</v>
      </c>
      <c r="AF126" s="18">
        <f>'A) Base RI'!Z126</f>
        <v>2450.4</v>
      </c>
      <c r="AG126" s="18">
        <f>'A) Base RI'!AA126</f>
        <v>340973.5</v>
      </c>
      <c r="AH126" s="18">
        <f>'A) Base RI'!AB126</f>
        <v>0</v>
      </c>
      <c r="AI126" s="18">
        <f>'A) Base RI'!AC126</f>
        <v>101479.8</v>
      </c>
      <c r="AJ126" s="18">
        <f>'A) Base RI'!AD126</f>
        <v>196039.3</v>
      </c>
      <c r="AK126" s="18">
        <f>'A) Base RI'!AE126</f>
        <v>4275.45</v>
      </c>
      <c r="AL126" s="18">
        <f>'A) Base RI'!AF126</f>
        <v>0</v>
      </c>
      <c r="AM126" s="18">
        <f>'A) Base RI'!AG126</f>
        <v>11215.75</v>
      </c>
      <c r="AN126" s="18">
        <f>'A) Base RI'!AH126</f>
        <v>0</v>
      </c>
      <c r="AO126" s="18">
        <f>'A) Base RI'!AI126</f>
        <v>0</v>
      </c>
      <c r="AP126" s="18">
        <f>'A) Base RI'!AJ126</f>
        <v>0</v>
      </c>
      <c r="AQ126" s="18">
        <f>'A) Base RI'!AK126</f>
        <v>0</v>
      </c>
      <c r="AR126" s="18">
        <f>'A) Base RI'!AN126</f>
        <v>2072</v>
      </c>
    </row>
    <row r="127" spans="1:44" x14ac:dyDescent="0.25">
      <c r="A127" s="13">
        <f>'A) Base RI'!A127</f>
        <v>5606</v>
      </c>
      <c r="B127" s="62" t="str">
        <f>'A) Base RI'!B127</f>
        <v>Lutry</v>
      </c>
      <c r="C127" s="18">
        <f>'A) Base RI'!C127+'A) Base RI'!D127</f>
        <v>38619459.960000001</v>
      </c>
      <c r="D127" s="18">
        <f>'A) Base RI'!AO127</f>
        <v>-383076.98</v>
      </c>
      <c r="E127" s="61">
        <f>'A) Base RI'!AP127</f>
        <v>0</v>
      </c>
      <c r="F127" s="61">
        <f>'A) Base RI'!AQ127</f>
        <v>-44741.440000000002</v>
      </c>
      <c r="G127" s="4">
        <f t="shared" si="6"/>
        <v>38191641.540000007</v>
      </c>
      <c r="H127" s="18">
        <f>'A) Base RI'!E127</f>
        <v>0</v>
      </c>
      <c r="I127" s="18">
        <f>'A) Base RI'!F127</f>
        <v>0</v>
      </c>
      <c r="J127" s="18">
        <f>'A) Base RI'!G127+'A) Base RI'!H127</f>
        <v>1934377.7000000002</v>
      </c>
      <c r="K127" s="18">
        <f>'A) Base RI'!I127</f>
        <v>1456319.57</v>
      </c>
      <c r="L127" s="18">
        <f>'A) Base RI'!J127</f>
        <v>1137909.05</v>
      </c>
      <c r="M127" s="18">
        <f>'A) Base RI'!K127</f>
        <v>125479</v>
      </c>
      <c r="N127" s="18">
        <f>'A) Base RI'!Q127</f>
        <v>16787.2</v>
      </c>
      <c r="O127" s="18">
        <f t="shared" si="7"/>
        <v>2551928.8571428573</v>
      </c>
      <c r="P127" s="18">
        <f>'A) Base RI'!L127</f>
        <v>1786350.2</v>
      </c>
      <c r="Q127" s="64">
        <f>'A) Base RI'!AR127</f>
        <v>0.7</v>
      </c>
      <c r="R127" s="4">
        <f t="shared" si="8"/>
        <v>45414442.917142868</v>
      </c>
      <c r="S127" s="63">
        <f>'A) Base RI'!AM127</f>
        <v>56</v>
      </c>
      <c r="T127" s="4">
        <f t="shared" si="9"/>
        <v>42737035.06000001</v>
      </c>
      <c r="U127" s="4">
        <f t="shared" si="10"/>
        <v>810972.19494897977</v>
      </c>
      <c r="V127" s="18">
        <f>'A) Base RI'!O127</f>
        <v>2122787.9</v>
      </c>
      <c r="W127" s="18">
        <f>'A) Base RI'!P127</f>
        <v>1576253.85</v>
      </c>
      <c r="X127" s="18">
        <f>'A) Base RI'!R127</f>
        <v>1838821.5</v>
      </c>
      <c r="Y127" s="4">
        <f t="shared" si="11"/>
        <v>5537863.25</v>
      </c>
      <c r="Z127" s="18">
        <f>'A) Base RI'!N127</f>
        <v>90406.399999999994</v>
      </c>
      <c r="AA127" s="18">
        <f>'A) Base RI'!S127+'A) Base RI'!T127</f>
        <v>1487.5</v>
      </c>
      <c r="AB127" s="18">
        <f>'A) Base RI'!U127</f>
        <v>40300</v>
      </c>
      <c r="AC127" s="18">
        <f>'A) Base RI'!V127</f>
        <v>711.6</v>
      </c>
      <c r="AD127" s="18">
        <f>'A) Base RI'!W127</f>
        <v>5810.65</v>
      </c>
      <c r="AE127" s="18">
        <f>'A) Base RI'!Y127</f>
        <v>131267.25</v>
      </c>
      <c r="AF127" s="18">
        <f>'A) Base RI'!Z127</f>
        <v>0</v>
      </c>
      <c r="AG127" s="18">
        <f>'A) Base RI'!AA127</f>
        <v>1153027.56</v>
      </c>
      <c r="AH127" s="18">
        <f>'A) Base RI'!AB127</f>
        <v>0</v>
      </c>
      <c r="AI127" s="18">
        <f>'A) Base RI'!AC127</f>
        <v>1571537.91</v>
      </c>
      <c r="AJ127" s="18">
        <f>'A) Base RI'!AD127</f>
        <v>91772.6</v>
      </c>
      <c r="AK127" s="18">
        <f>'A) Base RI'!AE127</f>
        <v>0</v>
      </c>
      <c r="AL127" s="18">
        <f>'A) Base RI'!AF127</f>
        <v>0</v>
      </c>
      <c r="AM127" s="18">
        <f>'A) Base RI'!AG127</f>
        <v>16638.5</v>
      </c>
      <c r="AN127" s="18">
        <f>'A) Base RI'!AH127</f>
        <v>279491.75</v>
      </c>
      <c r="AO127" s="18">
        <f>'A) Base RI'!AI127</f>
        <v>198972.45</v>
      </c>
      <c r="AP127" s="18">
        <f>'A) Base RI'!AJ127</f>
        <v>79589</v>
      </c>
      <c r="AQ127" s="18">
        <f>'A) Base RI'!AK127</f>
        <v>0</v>
      </c>
      <c r="AR127" s="18">
        <f>'A) Base RI'!AN127</f>
        <v>9648</v>
      </c>
    </row>
    <row r="128" spans="1:44" x14ac:dyDescent="0.25">
      <c r="A128" s="13">
        <f>'A) Base RI'!A128</f>
        <v>5607</v>
      </c>
      <c r="B128" s="62" t="str">
        <f>'A) Base RI'!B128</f>
        <v>Puidoux</v>
      </c>
      <c r="C128" s="18">
        <f>'A) Base RI'!C128+'A) Base RI'!D128</f>
        <v>5067723.0600000005</v>
      </c>
      <c r="D128" s="18">
        <f>'A) Base RI'!AO128</f>
        <v>-131467.76</v>
      </c>
      <c r="E128" s="61">
        <f>'A) Base RI'!AP128</f>
        <v>0</v>
      </c>
      <c r="F128" s="61">
        <f>'A) Base RI'!AQ128</f>
        <v>-460.22</v>
      </c>
      <c r="G128" s="4">
        <f t="shared" si="6"/>
        <v>4935795.080000001</v>
      </c>
      <c r="H128" s="18">
        <f>'A) Base RI'!E128</f>
        <v>0</v>
      </c>
      <c r="I128" s="18">
        <f>'A) Base RI'!F128</f>
        <v>0</v>
      </c>
      <c r="J128" s="18">
        <f>'A) Base RI'!G128+'A) Base RI'!H128</f>
        <v>1107546.3999999999</v>
      </c>
      <c r="K128" s="18">
        <f>'A) Base RI'!I128</f>
        <v>30938.95</v>
      </c>
      <c r="L128" s="18">
        <f>'A) Base RI'!J128</f>
        <v>231811.91</v>
      </c>
      <c r="M128" s="18">
        <f>'A) Base RI'!K128</f>
        <v>71473.5</v>
      </c>
      <c r="N128" s="18">
        <f>'A) Base RI'!Q128</f>
        <v>26502.9</v>
      </c>
      <c r="O128" s="18">
        <f t="shared" si="7"/>
        <v>535124.21739130432</v>
      </c>
      <c r="P128" s="18">
        <f>'A) Base RI'!L128</f>
        <v>615392.85</v>
      </c>
      <c r="Q128" s="64">
        <f>'A) Base RI'!AR128</f>
        <v>1.1499999999999999</v>
      </c>
      <c r="R128" s="4">
        <f t="shared" si="8"/>
        <v>6939192.9573913058</v>
      </c>
      <c r="S128" s="63">
        <f>'A) Base RI'!AM128</f>
        <v>68</v>
      </c>
      <c r="T128" s="4">
        <f t="shared" si="9"/>
        <v>6332595.2400000012</v>
      </c>
      <c r="U128" s="4">
        <f t="shared" si="10"/>
        <v>102046.9552557545</v>
      </c>
      <c r="V128" s="18">
        <f>'A) Base RI'!O128</f>
        <v>49917.7</v>
      </c>
      <c r="W128" s="18">
        <f>'A) Base RI'!P128</f>
        <v>429094.3</v>
      </c>
      <c r="X128" s="18">
        <f>'A) Base RI'!R128</f>
        <v>103573.6</v>
      </c>
      <c r="Y128" s="4">
        <f t="shared" si="11"/>
        <v>582585.59999999998</v>
      </c>
      <c r="Z128" s="18">
        <f>'A) Base RI'!N128</f>
        <v>95405.4</v>
      </c>
      <c r="AA128" s="18">
        <f>'A) Base RI'!S128+'A) Base RI'!T128</f>
        <v>106.25</v>
      </c>
      <c r="AB128" s="18">
        <f>'A) Base RI'!U128</f>
        <v>19600</v>
      </c>
      <c r="AC128" s="18">
        <f>'A) Base RI'!V128</f>
        <v>2148.85</v>
      </c>
      <c r="AD128" s="18">
        <f>'A) Base RI'!W128</f>
        <v>0</v>
      </c>
      <c r="AE128" s="18">
        <f>'A) Base RI'!Y128</f>
        <v>91912.1</v>
      </c>
      <c r="AF128" s="18">
        <f>'A) Base RI'!Z128</f>
        <v>0</v>
      </c>
      <c r="AG128" s="18">
        <f>'A) Base RI'!AA128</f>
        <v>184166.6</v>
      </c>
      <c r="AH128" s="18">
        <f>'A) Base RI'!AB128</f>
        <v>341879.85</v>
      </c>
      <c r="AI128" s="18">
        <f>'A) Base RI'!AC128</f>
        <v>152820.1</v>
      </c>
      <c r="AJ128" s="18">
        <f>'A) Base RI'!AD128</f>
        <v>171010.95</v>
      </c>
      <c r="AK128" s="18">
        <f>'A) Base RI'!AE128</f>
        <v>0</v>
      </c>
      <c r="AL128" s="18">
        <f>'A) Base RI'!AF128</f>
        <v>0</v>
      </c>
      <c r="AM128" s="18">
        <f>'A) Base RI'!AG128</f>
        <v>41799.199999999997</v>
      </c>
      <c r="AN128" s="18">
        <f>'A) Base RI'!AH128</f>
        <v>152698.85</v>
      </c>
      <c r="AO128" s="18">
        <f>'A) Base RI'!AI128</f>
        <v>0</v>
      </c>
      <c r="AP128" s="18">
        <f>'A) Base RI'!AJ128</f>
        <v>0</v>
      </c>
      <c r="AQ128" s="18">
        <f>'A) Base RI'!AK128</f>
        <v>0</v>
      </c>
      <c r="AR128" s="18">
        <f>'A) Base RI'!AN128</f>
        <v>2815</v>
      </c>
    </row>
    <row r="129" spans="1:44" x14ac:dyDescent="0.25">
      <c r="A129" s="13">
        <f>'A) Base RI'!A129</f>
        <v>5609</v>
      </c>
      <c r="B129" s="62" t="str">
        <f>'A) Base RI'!B129</f>
        <v>Rivaz</v>
      </c>
      <c r="C129" s="18">
        <f>'A) Base RI'!C129+'A) Base RI'!D129</f>
        <v>1003949.34</v>
      </c>
      <c r="D129" s="18">
        <f>'A) Base RI'!AO129</f>
        <v>-3298.38</v>
      </c>
      <c r="E129" s="61">
        <f>'A) Base RI'!AP129</f>
        <v>0</v>
      </c>
      <c r="F129" s="61">
        <f>'A) Base RI'!AQ129</f>
        <v>-2155.25</v>
      </c>
      <c r="G129" s="4">
        <f t="shared" si="6"/>
        <v>998495.71</v>
      </c>
      <c r="H129" s="18">
        <f>'A) Base RI'!E129</f>
        <v>0</v>
      </c>
      <c r="I129" s="18">
        <f>'A) Base RI'!F129</f>
        <v>0</v>
      </c>
      <c r="J129" s="18">
        <f>'A) Base RI'!G129+'A) Base RI'!H129</f>
        <v>9192.85</v>
      </c>
      <c r="K129" s="18">
        <f>'A) Base RI'!I129</f>
        <v>0</v>
      </c>
      <c r="L129" s="18">
        <f>'A) Base RI'!J129</f>
        <v>50360.6</v>
      </c>
      <c r="M129" s="18">
        <f>'A) Base RI'!K129</f>
        <v>1104</v>
      </c>
      <c r="N129" s="18">
        <f>'A) Base RI'!Q129</f>
        <v>1012.8</v>
      </c>
      <c r="O129" s="18">
        <f t="shared" si="7"/>
        <v>48390.400000000001</v>
      </c>
      <c r="P129" s="18">
        <f>'A) Base RI'!L129</f>
        <v>48390.400000000001</v>
      </c>
      <c r="Q129" s="64">
        <f>'A) Base RI'!AR129</f>
        <v>1</v>
      </c>
      <c r="R129" s="4">
        <f t="shared" si="8"/>
        <v>1108556.3599999999</v>
      </c>
      <c r="S129" s="63">
        <f>'A) Base RI'!AM129</f>
        <v>63.5</v>
      </c>
      <c r="T129" s="4">
        <f t="shared" si="9"/>
        <v>1059061.96</v>
      </c>
      <c r="U129" s="4">
        <f t="shared" si="10"/>
        <v>17457.580472440943</v>
      </c>
      <c r="V129" s="18">
        <f>'A) Base RI'!O129</f>
        <v>-446.7</v>
      </c>
      <c r="W129" s="18">
        <f>'A) Base RI'!P129</f>
        <v>14403.4</v>
      </c>
      <c r="X129" s="18">
        <f>'A) Base RI'!R129</f>
        <v>32607.7</v>
      </c>
      <c r="Y129" s="4">
        <f t="shared" si="11"/>
        <v>46564.4</v>
      </c>
      <c r="Z129" s="18">
        <v>0</v>
      </c>
      <c r="AA129" s="18">
        <f>'A) Base RI'!S129+'A) Base RI'!T129</f>
        <v>93.75</v>
      </c>
      <c r="AB129" s="18">
        <f>'A) Base RI'!U129</f>
        <v>600</v>
      </c>
      <c r="AC129" s="18">
        <f>'A) Base RI'!V129</f>
        <v>0</v>
      </c>
      <c r="AD129" s="18">
        <f>'A) Base RI'!W129</f>
        <v>0</v>
      </c>
      <c r="AE129" s="18">
        <f>'A) Base RI'!Y129</f>
        <v>0</v>
      </c>
      <c r="AF129" s="18">
        <f>'A) Base RI'!Z129</f>
        <v>1000.35</v>
      </c>
      <c r="AG129" s="18">
        <f>'A) Base RI'!AA129</f>
        <v>34806</v>
      </c>
      <c r="AH129" s="18">
        <f>'A) Base RI'!AB129</f>
        <v>35837.800000000003</v>
      </c>
      <c r="AI129" s="18">
        <f>'A) Base RI'!AC129</f>
        <v>20343.75</v>
      </c>
      <c r="AJ129" s="18">
        <f>'A) Base RI'!AD129</f>
        <v>0</v>
      </c>
      <c r="AK129" s="18">
        <f>'A) Base RI'!AE129</f>
        <v>2329.3000000000002</v>
      </c>
      <c r="AL129" s="18">
        <f>'A) Base RI'!AF129</f>
        <v>0</v>
      </c>
      <c r="AM129" s="18">
        <f>'A) Base RI'!AG129</f>
        <v>8857</v>
      </c>
      <c r="AN129" s="18">
        <f>'A) Base RI'!AH129</f>
        <v>6803.25</v>
      </c>
      <c r="AO129" s="18">
        <f>'A) Base RI'!AI129</f>
        <v>0</v>
      </c>
      <c r="AP129" s="18">
        <f>'A) Base RI'!AJ129</f>
        <v>0</v>
      </c>
      <c r="AQ129" s="18">
        <f>'A) Base RI'!AK129</f>
        <v>0</v>
      </c>
      <c r="AR129" s="18">
        <f>'A) Base RI'!AN129</f>
        <v>345</v>
      </c>
    </row>
    <row r="130" spans="1:44" x14ac:dyDescent="0.25">
      <c r="A130" s="13">
        <f>'A) Base RI'!A130</f>
        <v>5610</v>
      </c>
      <c r="B130" s="62" t="str">
        <f>'A) Base RI'!B130</f>
        <v>St-Saphorin (Lavaux)</v>
      </c>
      <c r="C130" s="18">
        <f>'A) Base RI'!C130+'A) Base RI'!D130</f>
        <v>1014484.86</v>
      </c>
      <c r="D130" s="18">
        <f>'A) Base RI'!AO130</f>
        <v>-9922.19</v>
      </c>
      <c r="E130" s="61">
        <f>'A) Base RI'!AP130</f>
        <v>0</v>
      </c>
      <c r="F130" s="61">
        <f>'A) Base RI'!AQ130</f>
        <v>483.98</v>
      </c>
      <c r="G130" s="4">
        <f t="shared" si="6"/>
        <v>1005046.65</v>
      </c>
      <c r="H130" s="18">
        <f>'A) Base RI'!E130</f>
        <v>0</v>
      </c>
      <c r="I130" s="18">
        <f>'A) Base RI'!F130</f>
        <v>0</v>
      </c>
      <c r="J130" s="18">
        <f>'A) Base RI'!G130+'A) Base RI'!H130</f>
        <v>7348.75</v>
      </c>
      <c r="K130" s="18">
        <f>'A) Base RI'!I130</f>
        <v>79641.649999999994</v>
      </c>
      <c r="L130" s="18">
        <f>'A) Base RI'!J130</f>
        <v>27496.38</v>
      </c>
      <c r="M130" s="18">
        <f>'A) Base RI'!K130</f>
        <v>6706.5</v>
      </c>
      <c r="N130" s="18">
        <f>'A) Base RI'!Q130</f>
        <v>16480.13</v>
      </c>
      <c r="O130" s="18">
        <f t="shared" si="7"/>
        <v>78625.25</v>
      </c>
      <c r="P130" s="18">
        <f>'A) Base RI'!L130</f>
        <v>78625.25</v>
      </c>
      <c r="Q130" s="64">
        <f>'A) Base RI'!AR130</f>
        <v>1</v>
      </c>
      <c r="R130" s="4">
        <f t="shared" si="8"/>
        <v>1221345.3099999998</v>
      </c>
      <c r="S130" s="63">
        <f>'A) Base RI'!AM130</f>
        <v>60</v>
      </c>
      <c r="T130" s="4">
        <f t="shared" si="9"/>
        <v>1136013.5599999998</v>
      </c>
      <c r="U130" s="4">
        <f t="shared" si="10"/>
        <v>20355.755166666662</v>
      </c>
      <c r="V130" s="18">
        <f>'A) Base RI'!O130</f>
        <v>30369.9</v>
      </c>
      <c r="W130" s="18">
        <f>'A) Base RI'!P130</f>
        <v>21670</v>
      </c>
      <c r="X130" s="18">
        <f>'A) Base RI'!R130</f>
        <v>17879.150000000001</v>
      </c>
      <c r="Y130" s="4">
        <f t="shared" si="11"/>
        <v>69919.05</v>
      </c>
      <c r="Z130" s="18">
        <v>0</v>
      </c>
      <c r="AA130" s="18">
        <f>'A) Base RI'!S130+'A) Base RI'!T130</f>
        <v>31.25</v>
      </c>
      <c r="AB130" s="18">
        <f>'A) Base RI'!U130</f>
        <v>4275</v>
      </c>
      <c r="AC130" s="18">
        <f>'A) Base RI'!V130</f>
        <v>0</v>
      </c>
      <c r="AD130" s="18">
        <f>'A) Base RI'!W130</f>
        <v>0</v>
      </c>
      <c r="AE130" s="18">
        <f>'A) Base RI'!Y130</f>
        <v>0</v>
      </c>
      <c r="AF130" s="18">
        <f>'A) Base RI'!Z130</f>
        <v>0</v>
      </c>
      <c r="AG130" s="18">
        <f>'A) Base RI'!AA130</f>
        <v>0</v>
      </c>
      <c r="AH130" s="18">
        <f>'A) Base RI'!AB130</f>
        <v>47966.8</v>
      </c>
      <c r="AI130" s="18">
        <f>'A) Base RI'!AC130</f>
        <v>0</v>
      </c>
      <c r="AJ130" s="18">
        <f>'A) Base RI'!AD130</f>
        <v>0</v>
      </c>
      <c r="AK130" s="18">
        <f>'A) Base RI'!AE130</f>
        <v>0</v>
      </c>
      <c r="AL130" s="18">
        <f>'A) Base RI'!AF130</f>
        <v>0</v>
      </c>
      <c r="AM130" s="18">
        <f>'A) Base RI'!AG130</f>
        <v>0</v>
      </c>
      <c r="AN130" s="18">
        <f>'A) Base RI'!AH130</f>
        <v>0</v>
      </c>
      <c r="AO130" s="18">
        <f>'A) Base RI'!AI130</f>
        <v>0</v>
      </c>
      <c r="AP130" s="18">
        <f>'A) Base RI'!AJ130</f>
        <v>0</v>
      </c>
      <c r="AQ130" s="18">
        <f>'A) Base RI'!AK130</f>
        <v>0</v>
      </c>
      <c r="AR130" s="18">
        <f>'A) Base RI'!AN130</f>
        <v>378</v>
      </c>
    </row>
    <row r="131" spans="1:44" x14ac:dyDescent="0.25">
      <c r="A131" s="13">
        <f>'A) Base RI'!A131</f>
        <v>5611</v>
      </c>
      <c r="B131" s="62" t="str">
        <f>'A) Base RI'!B131</f>
        <v>Savigny</v>
      </c>
      <c r="C131" s="18">
        <f>'A) Base RI'!C131+'A) Base RI'!D131</f>
        <v>7959372.9899999993</v>
      </c>
      <c r="D131" s="18">
        <f>'A) Base RI'!AO131</f>
        <v>-238442.75</v>
      </c>
      <c r="E131" s="61">
        <f>'A) Base RI'!AP131</f>
        <v>0</v>
      </c>
      <c r="F131" s="61">
        <f>'A) Base RI'!AQ131</f>
        <v>-681.53</v>
      </c>
      <c r="G131" s="4">
        <f t="shared" si="6"/>
        <v>7720248.709999999</v>
      </c>
      <c r="H131" s="18">
        <f>'A) Base RI'!E131</f>
        <v>0</v>
      </c>
      <c r="I131" s="18">
        <f>'A) Base RI'!F131</f>
        <v>0</v>
      </c>
      <c r="J131" s="18">
        <f>'A) Base RI'!G131+'A) Base RI'!H131</f>
        <v>485592.75</v>
      </c>
      <c r="K131" s="18">
        <f>'A) Base RI'!I131</f>
        <v>31177.3</v>
      </c>
      <c r="L131" s="18">
        <f>'A) Base RI'!J131</f>
        <v>110467.93</v>
      </c>
      <c r="M131" s="18">
        <f>'A) Base RI'!K131</f>
        <v>13616.5</v>
      </c>
      <c r="N131" s="18">
        <f>'A) Base RI'!Q131</f>
        <v>4796.78</v>
      </c>
      <c r="O131" s="18">
        <f t="shared" si="7"/>
        <v>588584.1</v>
      </c>
      <c r="P131" s="18">
        <f>'A) Base RI'!L131</f>
        <v>588584.1</v>
      </c>
      <c r="Q131" s="64">
        <f>'A) Base RI'!AR131</f>
        <v>1</v>
      </c>
      <c r="R131" s="4">
        <f t="shared" si="8"/>
        <v>8954484.0699999984</v>
      </c>
      <c r="S131" s="63">
        <f>'A) Base RI'!AM131</f>
        <v>67</v>
      </c>
      <c r="T131" s="4">
        <f t="shared" si="9"/>
        <v>8352283.4699999988</v>
      </c>
      <c r="U131" s="4">
        <f t="shared" si="10"/>
        <v>133649.01597014922</v>
      </c>
      <c r="V131" s="18">
        <f>'A) Base RI'!O131</f>
        <v>39891.199999999997</v>
      </c>
      <c r="W131" s="18">
        <f>'A) Base RI'!P131</f>
        <v>144971</v>
      </c>
      <c r="X131" s="18">
        <f>'A) Base RI'!R131</f>
        <v>208684.3</v>
      </c>
      <c r="Y131" s="4">
        <f t="shared" si="11"/>
        <v>393546.5</v>
      </c>
      <c r="Z131" s="18">
        <f>'A) Base RI'!N131</f>
        <v>69571.100000000006</v>
      </c>
      <c r="AA131" s="18">
        <f>'A) Base RI'!S131+'A) Base RI'!T131</f>
        <v>725</v>
      </c>
      <c r="AB131" s="18">
        <f>'A) Base RI'!U131</f>
        <v>22995</v>
      </c>
      <c r="AC131" s="18">
        <f>'A) Base RI'!V131</f>
        <v>604.75</v>
      </c>
      <c r="AD131" s="18">
        <f>'A) Base RI'!W131</f>
        <v>2641.15</v>
      </c>
      <c r="AE131" s="18">
        <f>'A) Base RI'!Y131</f>
        <v>101174.2</v>
      </c>
      <c r="AF131" s="18">
        <f>'A) Base RI'!Z131</f>
        <v>0</v>
      </c>
      <c r="AG131" s="18">
        <f>'A) Base RI'!AA131</f>
        <v>0</v>
      </c>
      <c r="AH131" s="18">
        <f>'A) Base RI'!AB131</f>
        <v>0</v>
      </c>
      <c r="AI131" s="18">
        <f>'A) Base RI'!AC131</f>
        <v>308027.3</v>
      </c>
      <c r="AJ131" s="18">
        <f>'A) Base RI'!AD131</f>
        <v>30028.400000000001</v>
      </c>
      <c r="AK131" s="18">
        <f>'A) Base RI'!AE131</f>
        <v>376.45</v>
      </c>
      <c r="AL131" s="18">
        <f>'A) Base RI'!AF131</f>
        <v>0</v>
      </c>
      <c r="AM131" s="18">
        <f>'A) Base RI'!AG131</f>
        <v>0</v>
      </c>
      <c r="AN131" s="18">
        <f>'A) Base RI'!AH131</f>
        <v>0</v>
      </c>
      <c r="AO131" s="18">
        <f>'A) Base RI'!AI131</f>
        <v>0</v>
      </c>
      <c r="AP131" s="18">
        <f>'A) Base RI'!AJ131</f>
        <v>0</v>
      </c>
      <c r="AQ131" s="18">
        <f>'A) Base RI'!AK131</f>
        <v>0</v>
      </c>
      <c r="AR131" s="18">
        <f>'A) Base RI'!AN131</f>
        <v>3304</v>
      </c>
    </row>
    <row r="132" spans="1:44" x14ac:dyDescent="0.25">
      <c r="A132" s="13">
        <f>'A) Base RI'!A132</f>
        <v>5613</v>
      </c>
      <c r="B132" s="62" t="str">
        <f>'A) Base RI'!B132</f>
        <v>Bourg-en-Lavaux</v>
      </c>
      <c r="C132" s="18">
        <f>'A) Base RI'!C132+'A) Base RI'!D132</f>
        <v>17638457.75</v>
      </c>
      <c r="D132" s="18">
        <f>'A) Base RI'!AO132</f>
        <v>-224379.25</v>
      </c>
      <c r="E132" s="61">
        <f>'A) Base RI'!AP132</f>
        <v>0</v>
      </c>
      <c r="F132" s="61">
        <f>'A) Base RI'!AQ132</f>
        <v>-8525.2800000000007</v>
      </c>
      <c r="G132" s="4">
        <f t="shared" si="6"/>
        <v>17405553.219999999</v>
      </c>
      <c r="H132" s="18">
        <f>'A) Base RI'!E132</f>
        <v>0</v>
      </c>
      <c r="I132" s="18">
        <f>'A) Base RI'!F132</f>
        <v>0</v>
      </c>
      <c r="J132" s="18">
        <f>'A) Base RI'!G132+'A) Base RI'!H132</f>
        <v>272395.3</v>
      </c>
      <c r="K132" s="18">
        <f>'A) Base RI'!I132</f>
        <v>346014.77</v>
      </c>
      <c r="L132" s="18">
        <f>'A) Base RI'!J132</f>
        <v>231142.36</v>
      </c>
      <c r="M132" s="18">
        <f>'A) Base RI'!K132</f>
        <v>23046.5</v>
      </c>
      <c r="N132" s="18">
        <f>'A) Base RI'!Q132</f>
        <v>47215.71</v>
      </c>
      <c r="O132" s="18">
        <f t="shared" si="7"/>
        <v>1144097.7666666666</v>
      </c>
      <c r="P132" s="18">
        <f>'A) Base RI'!L132</f>
        <v>1716146.65</v>
      </c>
      <c r="Q132" s="64">
        <f>'A) Base RI'!AR132</f>
        <v>1.5</v>
      </c>
      <c r="R132" s="4">
        <f t="shared" si="8"/>
        <v>19469465.626666665</v>
      </c>
      <c r="S132" s="63">
        <f>'A) Base RI'!AM132</f>
        <v>61</v>
      </c>
      <c r="T132" s="4">
        <f t="shared" si="9"/>
        <v>18302321.359999999</v>
      </c>
      <c r="U132" s="4">
        <f t="shared" si="10"/>
        <v>319171.56765027321</v>
      </c>
      <c r="V132" s="18">
        <f>'A) Base RI'!O132</f>
        <v>444267.8</v>
      </c>
      <c r="W132" s="18">
        <f>'A) Base RI'!P132</f>
        <v>641715.30000000005</v>
      </c>
      <c r="X132" s="18">
        <f>'A) Base RI'!R132</f>
        <v>547110.1</v>
      </c>
      <c r="Y132" s="4">
        <f t="shared" si="11"/>
        <v>1633093.2000000002</v>
      </c>
      <c r="Z132" s="18">
        <f>'A) Base RI'!N132</f>
        <v>24518.75</v>
      </c>
      <c r="AA132" s="18">
        <f>'A) Base RI'!S132+'A) Base RI'!T132</f>
        <v>1025</v>
      </c>
      <c r="AB132" s="18">
        <f>'A) Base RI'!U132</f>
        <v>25500</v>
      </c>
      <c r="AC132" s="18">
        <f>'A) Base RI'!V132</f>
        <v>0</v>
      </c>
      <c r="AD132" s="18">
        <f>'A) Base RI'!W132</f>
        <v>0</v>
      </c>
      <c r="AE132" s="18">
        <f>'A) Base RI'!Y132</f>
        <v>14800</v>
      </c>
      <c r="AF132" s="18">
        <f>'A) Base RI'!Z132</f>
        <v>0</v>
      </c>
      <c r="AG132" s="18">
        <f>'A) Base RI'!AA132</f>
        <v>744460.6</v>
      </c>
      <c r="AH132" s="18">
        <f>'A) Base RI'!AB132</f>
        <v>0</v>
      </c>
      <c r="AI132" s="18">
        <f>'A) Base RI'!AC132</f>
        <v>332695.59999999998</v>
      </c>
      <c r="AJ132" s="18">
        <f>'A) Base RI'!AD132</f>
        <v>120516.75</v>
      </c>
      <c r="AK132" s="18">
        <f>'A) Base RI'!AE132</f>
        <v>0</v>
      </c>
      <c r="AL132" s="18">
        <f>'A) Base RI'!AF132</f>
        <v>0</v>
      </c>
      <c r="AM132" s="18">
        <f>'A) Base RI'!AG132</f>
        <v>145085.5</v>
      </c>
      <c r="AN132" s="18">
        <f>'A) Base RI'!AH132</f>
        <v>0</v>
      </c>
      <c r="AO132" s="18">
        <f>'A) Base RI'!AI132</f>
        <v>0</v>
      </c>
      <c r="AP132" s="18">
        <f>'A) Base RI'!AJ132</f>
        <v>0</v>
      </c>
      <c r="AQ132" s="18">
        <f>'A) Base RI'!AK132</f>
        <v>0</v>
      </c>
      <c r="AR132" s="18">
        <f>'A) Base RI'!AN132</f>
        <v>5184</v>
      </c>
    </row>
    <row r="133" spans="1:44" x14ac:dyDescent="0.25">
      <c r="A133" s="13">
        <f>'A) Base RI'!A133</f>
        <v>5621</v>
      </c>
      <c r="B133" s="62" t="str">
        <f>'A) Base RI'!B133</f>
        <v>Aclens</v>
      </c>
      <c r="C133" s="18">
        <f>'A) Base RI'!C133+'A) Base RI'!D133</f>
        <v>1343456</v>
      </c>
      <c r="D133" s="18">
        <f>'A) Base RI'!AO133</f>
        <v>-19000.41</v>
      </c>
      <c r="E133" s="61">
        <f>'A) Base RI'!AP133</f>
        <v>0</v>
      </c>
      <c r="F133" s="61">
        <f>'A) Base RI'!AQ133</f>
        <v>-0.81</v>
      </c>
      <c r="G133" s="4">
        <f t="shared" si="6"/>
        <v>1324454.78</v>
      </c>
      <c r="H133" s="18">
        <v>0</v>
      </c>
      <c r="I133" s="18">
        <f>'A) Base RI'!F133</f>
        <v>0</v>
      </c>
      <c r="J133" s="18">
        <f>'A) Base RI'!G133+'A) Base RI'!H133</f>
        <v>849431.9</v>
      </c>
      <c r="K133" s="18">
        <f>'A) Base RI'!I133</f>
        <v>0</v>
      </c>
      <c r="L133" s="18">
        <f>'A) Base RI'!J133</f>
        <v>41487.47</v>
      </c>
      <c r="M133" s="18">
        <f>'A) Base RI'!K133</f>
        <v>14314.5</v>
      </c>
      <c r="N133" s="18">
        <f>'A) Base RI'!Q133</f>
        <v>29263.35</v>
      </c>
      <c r="O133" s="18">
        <f t="shared" si="7"/>
        <v>267380.27272727271</v>
      </c>
      <c r="P133" s="18">
        <f>'A) Base RI'!L133</f>
        <v>294118.3</v>
      </c>
      <c r="Q133" s="64">
        <f>'A) Base RI'!AR133</f>
        <v>1.1000000000000001</v>
      </c>
      <c r="R133" s="4">
        <f t="shared" si="8"/>
        <v>2526332.2727272734</v>
      </c>
      <c r="S133" s="63">
        <f>'A) Base RI'!AM133</f>
        <v>62</v>
      </c>
      <c r="T133" s="4">
        <f t="shared" si="9"/>
        <v>2244637.5000000005</v>
      </c>
      <c r="U133" s="4">
        <f t="shared" si="10"/>
        <v>40747.294721407634</v>
      </c>
      <c r="V133" s="18">
        <v>0</v>
      </c>
      <c r="W133" s="18">
        <f>'A) Base RI'!P133</f>
        <v>43919.7</v>
      </c>
      <c r="X133" s="18">
        <f>'A) Base RI'!R133</f>
        <v>-5100.8</v>
      </c>
      <c r="Y133" s="4">
        <f t="shared" si="11"/>
        <v>38818.899999999994</v>
      </c>
      <c r="Z133" s="18">
        <f>'A) Base RI'!N133</f>
        <v>168131.9</v>
      </c>
      <c r="AA133" s="18">
        <f>'A) Base RI'!S133+'A) Base RI'!T133</f>
        <v>830</v>
      </c>
      <c r="AB133" s="18">
        <f>'A) Base RI'!U133</f>
        <v>2160</v>
      </c>
      <c r="AC133" s="18">
        <f>'A) Base RI'!V133</f>
        <v>0</v>
      </c>
      <c r="AD133" s="18">
        <f>'A) Base RI'!W133</f>
        <v>0</v>
      </c>
      <c r="AE133" s="18">
        <f>'A) Base RI'!Y133</f>
        <v>19028.2</v>
      </c>
      <c r="AF133" s="18">
        <f>'A) Base RI'!Z133</f>
        <v>0</v>
      </c>
      <c r="AG133" s="18">
        <f>'A) Base RI'!AA133</f>
        <v>166426.95000000001</v>
      </c>
      <c r="AH133" s="18">
        <f>'A) Base RI'!AB133</f>
        <v>0</v>
      </c>
      <c r="AI133" s="18">
        <f>'A) Base RI'!AC133</f>
        <v>42622.95</v>
      </c>
      <c r="AJ133" s="18">
        <f>'A) Base RI'!AD133</f>
        <v>14817.05</v>
      </c>
      <c r="AK133" s="18">
        <f>'A) Base RI'!AE133</f>
        <v>0</v>
      </c>
      <c r="AL133" s="18">
        <f>'A) Base RI'!AF133</f>
        <v>0</v>
      </c>
      <c r="AM133" s="18">
        <f>'A) Base RI'!AG133</f>
        <v>0</v>
      </c>
      <c r="AN133" s="18">
        <f>'A) Base RI'!AH133</f>
        <v>97165.7</v>
      </c>
      <c r="AO133" s="18">
        <f>'A) Base RI'!AI133</f>
        <v>0</v>
      </c>
      <c r="AP133" s="18">
        <f>'A) Base RI'!AJ133</f>
        <v>0</v>
      </c>
      <c r="AQ133" s="18">
        <f>'A) Base RI'!AK133</f>
        <v>0</v>
      </c>
      <c r="AR133" s="18">
        <f>'A) Base RI'!AN133</f>
        <v>538</v>
      </c>
    </row>
    <row r="134" spans="1:44" x14ac:dyDescent="0.25">
      <c r="A134" s="13">
        <f>'A) Base RI'!A134</f>
        <v>5622</v>
      </c>
      <c r="B134" s="62" t="str">
        <f>'A) Base RI'!B134</f>
        <v>Bremblens</v>
      </c>
      <c r="C134" s="18">
        <f>'A) Base RI'!C134+'A) Base RI'!D134</f>
        <v>1549247.54</v>
      </c>
      <c r="D134" s="18">
        <f>'A) Base RI'!AO134</f>
        <v>-3973.1</v>
      </c>
      <c r="E134" s="61">
        <f>'A) Base RI'!AP134</f>
        <v>0</v>
      </c>
      <c r="F134" s="61">
        <f>'A) Base RI'!AQ134</f>
        <v>-22.29</v>
      </c>
      <c r="G134" s="4">
        <f t="shared" si="6"/>
        <v>1545252.15</v>
      </c>
      <c r="H134" s="18">
        <f>'A) Base RI'!E134</f>
        <v>0</v>
      </c>
      <c r="I134" s="18">
        <f>'A) Base RI'!F134</f>
        <v>0</v>
      </c>
      <c r="J134" s="18">
        <f>'A) Base RI'!G134+'A) Base RI'!H134</f>
        <v>35680.35</v>
      </c>
      <c r="K134" s="18">
        <f>'A) Base RI'!I134</f>
        <v>-36771.949999999997</v>
      </c>
      <c r="L134" s="18">
        <f>'A) Base RI'!J134</f>
        <v>31045.31</v>
      </c>
      <c r="M134" s="18">
        <f>'A) Base RI'!K134</f>
        <v>4315.5</v>
      </c>
      <c r="N134" s="18">
        <f>'A) Base RI'!Q134</f>
        <v>0</v>
      </c>
      <c r="O134" s="18">
        <f t="shared" si="7"/>
        <v>123628.5</v>
      </c>
      <c r="P134" s="18">
        <f>'A) Base RI'!L134</f>
        <v>123628.5</v>
      </c>
      <c r="Q134" s="64">
        <f>'A) Base RI'!AR134</f>
        <v>1</v>
      </c>
      <c r="R134" s="4">
        <f t="shared" si="8"/>
        <v>1703149.86</v>
      </c>
      <c r="S134" s="63">
        <f>'A) Base RI'!AM134</f>
        <v>66</v>
      </c>
      <c r="T134" s="4">
        <f t="shared" si="9"/>
        <v>1575205.86</v>
      </c>
      <c r="U134" s="4">
        <f t="shared" si="10"/>
        <v>25805.300909090911</v>
      </c>
      <c r="V134" s="18">
        <v>0</v>
      </c>
      <c r="W134" s="18">
        <f>'A) Base RI'!P134</f>
        <v>55770</v>
      </c>
      <c r="X134" s="18">
        <f>'A) Base RI'!R134</f>
        <v>41907.65</v>
      </c>
      <c r="Y134" s="4">
        <f t="shared" si="11"/>
        <v>97677.65</v>
      </c>
      <c r="Z134" s="18">
        <f>'A) Base RI'!N134</f>
        <v>22445.8</v>
      </c>
      <c r="AA134" s="18">
        <f>'A) Base RI'!S134+'A) Base RI'!T134</f>
        <v>0</v>
      </c>
      <c r="AB134" s="18">
        <f>'A) Base RI'!U134</f>
        <v>2260</v>
      </c>
      <c r="AC134" s="18">
        <f>'A) Base RI'!V134</f>
        <v>0</v>
      </c>
      <c r="AD134" s="18">
        <f>'A) Base RI'!W134</f>
        <v>0</v>
      </c>
      <c r="AE134" s="18">
        <f>'A) Base RI'!Y134</f>
        <v>40584.25</v>
      </c>
      <c r="AF134" s="18">
        <f>'A) Base RI'!Z134</f>
        <v>0</v>
      </c>
      <c r="AG134" s="18">
        <f>'A) Base RI'!AA134</f>
        <v>170083.25</v>
      </c>
      <c r="AH134" s="18">
        <f>'A) Base RI'!AB134</f>
        <v>0</v>
      </c>
      <c r="AI134" s="18">
        <f>'A) Base RI'!AC134</f>
        <v>58784.05</v>
      </c>
      <c r="AJ134" s="18">
        <f>'A) Base RI'!AD134</f>
        <v>38886.449999999997</v>
      </c>
      <c r="AK134" s="18">
        <f>'A) Base RI'!AE134</f>
        <v>0</v>
      </c>
      <c r="AL134" s="18">
        <f>'A) Base RI'!AF134</f>
        <v>0</v>
      </c>
      <c r="AM134" s="18">
        <f>'A) Base RI'!AG134</f>
        <v>0</v>
      </c>
      <c r="AN134" s="18">
        <f>'A) Base RI'!AH134</f>
        <v>0</v>
      </c>
      <c r="AO134" s="18">
        <f>'A) Base RI'!AI134</f>
        <v>0</v>
      </c>
      <c r="AP134" s="18">
        <f>'A) Base RI'!AJ134</f>
        <v>0</v>
      </c>
      <c r="AQ134" s="18">
        <f>'A) Base RI'!AK134</f>
        <v>0</v>
      </c>
      <c r="AR134" s="18">
        <f>'A) Base RI'!AN134</f>
        <v>495</v>
      </c>
    </row>
    <row r="135" spans="1:44" x14ac:dyDescent="0.25">
      <c r="A135" s="13">
        <f>'A) Base RI'!A135</f>
        <v>5623</v>
      </c>
      <c r="B135" s="62" t="str">
        <f>'A) Base RI'!B135</f>
        <v>Buchillon</v>
      </c>
      <c r="C135" s="18">
        <f>'A) Base RI'!C135+'A) Base RI'!D135</f>
        <v>4119387.0900000003</v>
      </c>
      <c r="D135" s="18">
        <f>'A) Base RI'!AO135</f>
        <v>-2145.25</v>
      </c>
      <c r="E135" s="61">
        <f>'A) Base RI'!AP135</f>
        <v>0</v>
      </c>
      <c r="F135" s="61">
        <f>'A) Base RI'!AQ135</f>
        <v>-14356.25</v>
      </c>
      <c r="G135" s="4">
        <f t="shared" si="6"/>
        <v>4102885.5900000003</v>
      </c>
      <c r="H135" s="18">
        <f>'A) Base RI'!E135</f>
        <v>0</v>
      </c>
      <c r="I135" s="18">
        <f>'A) Base RI'!F135</f>
        <v>0</v>
      </c>
      <c r="J135" s="18">
        <f>'A) Base RI'!G135+'A) Base RI'!H135</f>
        <v>261949.95</v>
      </c>
      <c r="K135" s="18">
        <f>'A) Base RI'!I135</f>
        <v>211141.7</v>
      </c>
      <c r="L135" s="18">
        <f>'A) Base RI'!J135</f>
        <v>-311.93</v>
      </c>
      <c r="M135" s="18">
        <f>'A) Base RI'!K135</f>
        <v>4146.5</v>
      </c>
      <c r="N135" s="18">
        <f>'A) Base RI'!Q135</f>
        <v>602.5</v>
      </c>
      <c r="O135" s="18">
        <f t="shared" si="7"/>
        <v>280515</v>
      </c>
      <c r="P135" s="18">
        <f>'A) Base RI'!L135</f>
        <v>224412</v>
      </c>
      <c r="Q135" s="64">
        <f>'A) Base RI'!AR135</f>
        <v>0.8</v>
      </c>
      <c r="R135" s="4">
        <f t="shared" si="8"/>
        <v>4860929.3100000005</v>
      </c>
      <c r="S135" s="63">
        <f>'A) Base RI'!AM135</f>
        <v>53</v>
      </c>
      <c r="T135" s="4">
        <f t="shared" si="9"/>
        <v>4576267.8100000005</v>
      </c>
      <c r="U135" s="4">
        <f t="shared" si="10"/>
        <v>91715.647358490576</v>
      </c>
      <c r="V135" s="18">
        <f>'A) Base RI'!O135</f>
        <v>38.200000000000003</v>
      </c>
      <c r="W135" s="18">
        <f>'A) Base RI'!P135</f>
        <v>195525</v>
      </c>
      <c r="X135" s="18">
        <f>'A) Base RI'!R135</f>
        <v>54846.2</v>
      </c>
      <c r="Y135" s="4">
        <f t="shared" si="11"/>
        <v>250409.40000000002</v>
      </c>
      <c r="Z135" s="18">
        <f>'A) Base RI'!N135</f>
        <v>5813.35</v>
      </c>
      <c r="AA135" s="18">
        <f>'A) Base RI'!S135+'A) Base RI'!T135</f>
        <v>700</v>
      </c>
      <c r="AB135" s="18">
        <f>'A) Base RI'!U135</f>
        <v>1225</v>
      </c>
      <c r="AC135" s="18">
        <f>'A) Base RI'!V135</f>
        <v>0</v>
      </c>
      <c r="AD135" s="18">
        <f>'A) Base RI'!W135</f>
        <v>0</v>
      </c>
      <c r="AE135" s="18">
        <f>'A) Base RI'!Y135</f>
        <v>27960</v>
      </c>
      <c r="AF135" s="18">
        <f>'A) Base RI'!Z135</f>
        <v>0</v>
      </c>
      <c r="AG135" s="18">
        <f>'A) Base RI'!AA135</f>
        <v>130756</v>
      </c>
      <c r="AH135" s="18">
        <f>'A) Base RI'!AB135</f>
        <v>0</v>
      </c>
      <c r="AI135" s="18">
        <f>'A) Base RI'!AC135</f>
        <v>96031.85</v>
      </c>
      <c r="AJ135" s="18">
        <f>'A) Base RI'!AD135</f>
        <v>34235</v>
      </c>
      <c r="AK135" s="18">
        <f>'A) Base RI'!AE135</f>
        <v>0</v>
      </c>
      <c r="AL135" s="18">
        <f>'A) Base RI'!AF135</f>
        <v>0</v>
      </c>
      <c r="AM135" s="18">
        <f>'A) Base RI'!AG135</f>
        <v>0</v>
      </c>
      <c r="AN135" s="18">
        <f>'A) Base RI'!AH135</f>
        <v>0</v>
      </c>
      <c r="AO135" s="18">
        <f>'A) Base RI'!AI135</f>
        <v>0</v>
      </c>
      <c r="AP135" s="18">
        <f>'A) Base RI'!AJ135</f>
        <v>0</v>
      </c>
      <c r="AQ135" s="18">
        <f>'A) Base RI'!AK135</f>
        <v>0</v>
      </c>
      <c r="AR135" s="18">
        <f>'A) Base RI'!AN135</f>
        <v>616</v>
      </c>
    </row>
    <row r="136" spans="1:44" x14ac:dyDescent="0.25">
      <c r="A136" s="13">
        <f>'A) Base RI'!A136</f>
        <v>5624</v>
      </c>
      <c r="B136" s="62" t="str">
        <f>'A) Base RI'!B136</f>
        <v>Bussigny</v>
      </c>
      <c r="C136" s="18">
        <f>'A) Base RI'!C136+'A) Base RI'!D136</f>
        <v>13313497.42</v>
      </c>
      <c r="D136" s="18">
        <f>'A) Base RI'!AO136</f>
        <v>-230988.45</v>
      </c>
      <c r="E136" s="61">
        <f>'A) Base RI'!AP136</f>
        <v>0</v>
      </c>
      <c r="F136" s="61">
        <f>'A) Base RI'!AQ136</f>
        <v>0</v>
      </c>
      <c r="G136" s="4">
        <f t="shared" ref="G136:G199" si="12">SUM(C136:F136)</f>
        <v>13082508.970000001</v>
      </c>
      <c r="H136" s="18">
        <f>'A) Base RI'!E136</f>
        <v>0</v>
      </c>
      <c r="I136" s="18">
        <f>'A) Base RI'!F136</f>
        <v>0</v>
      </c>
      <c r="J136" s="18">
        <f>'A) Base RI'!G136+'A) Base RI'!H136</f>
        <v>5986407.75</v>
      </c>
      <c r="K136" s="18">
        <f>'A) Base RI'!I136</f>
        <v>0</v>
      </c>
      <c r="L136" s="18">
        <f>'A) Base RI'!J136</f>
        <v>1052559.69</v>
      </c>
      <c r="M136" s="18">
        <f>'A) Base RI'!K136</f>
        <v>243985</v>
      </c>
      <c r="N136" s="18">
        <f>'A) Base RI'!Q136</f>
        <v>65555.149999999994</v>
      </c>
      <c r="O136" s="18">
        <f t="shared" ref="O136:O199" si="13">P136/Q136*1</f>
        <v>1680191.6</v>
      </c>
      <c r="P136" s="18">
        <f>'A) Base RI'!L136</f>
        <v>1680191.6</v>
      </c>
      <c r="Q136" s="64">
        <f>'A) Base RI'!AR136</f>
        <v>1</v>
      </c>
      <c r="R136" s="4">
        <f t="shared" ref="R136:R199" si="14">SUM(G136:O136)</f>
        <v>22111208.16</v>
      </c>
      <c r="S136" s="63">
        <f>'A) Base RI'!AM136</f>
        <v>62</v>
      </c>
      <c r="T136" s="4">
        <f t="shared" ref="T136:T199" si="15">(G136+H136+J136+K136+L136+N136)</f>
        <v>20187031.559999999</v>
      </c>
      <c r="U136" s="4">
        <f t="shared" ref="U136:U199" si="16">R136/S136</f>
        <v>356632.38967741939</v>
      </c>
      <c r="V136" s="18">
        <f>'A) Base RI'!O136</f>
        <v>199421.7</v>
      </c>
      <c r="W136" s="18">
        <f>'A) Base RI'!P136</f>
        <v>673604.5</v>
      </c>
      <c r="X136" s="18">
        <f>'A) Base RI'!R136</f>
        <v>313410.8</v>
      </c>
      <c r="Y136" s="4">
        <f t="shared" ref="Y136:Y199" si="17">SUM(V136:X136)</f>
        <v>1186437</v>
      </c>
      <c r="Z136" s="18">
        <f>'A) Base RI'!N136</f>
        <v>1048244.2</v>
      </c>
      <c r="AA136" s="18">
        <f>'A) Base RI'!S136+'A) Base RI'!T136</f>
        <v>0</v>
      </c>
      <c r="AB136" s="18">
        <f>'A) Base RI'!U136</f>
        <v>29800</v>
      </c>
      <c r="AC136" s="18">
        <f>'A) Base RI'!V136</f>
        <v>0</v>
      </c>
      <c r="AD136" s="18">
        <f>'A) Base RI'!W136</f>
        <v>0</v>
      </c>
      <c r="AE136" s="18">
        <f>'A) Base RI'!Y136</f>
        <v>25013.75</v>
      </c>
      <c r="AF136" s="18">
        <f>'A) Base RI'!Z136</f>
        <v>0</v>
      </c>
      <c r="AG136" s="18">
        <f>'A) Base RI'!AA136</f>
        <v>1476470.99</v>
      </c>
      <c r="AH136" s="18">
        <f>'A) Base RI'!AB136</f>
        <v>0</v>
      </c>
      <c r="AI136" s="18">
        <f>'A) Base RI'!AC136</f>
        <v>932952.4</v>
      </c>
      <c r="AJ136" s="18">
        <f>'A) Base RI'!AD136</f>
        <v>734.4</v>
      </c>
      <c r="AK136" s="18">
        <f>'A) Base RI'!AE136</f>
        <v>0</v>
      </c>
      <c r="AL136" s="18">
        <f>'A) Base RI'!AF136</f>
        <v>0</v>
      </c>
      <c r="AM136" s="18">
        <f>'A) Base RI'!AG136</f>
        <v>247360.8</v>
      </c>
      <c r="AN136" s="18">
        <f>'A) Base RI'!AH136</f>
        <v>502186.99</v>
      </c>
      <c r="AO136" s="18">
        <f>'A) Base RI'!AI136</f>
        <v>0</v>
      </c>
      <c r="AP136" s="18">
        <f>'A) Base RI'!AJ136</f>
        <v>0</v>
      </c>
      <c r="AQ136" s="18">
        <f>'A) Base RI'!AK136</f>
        <v>0</v>
      </c>
      <c r="AR136" s="18">
        <f>'A) Base RI'!AN136</f>
        <v>8208</v>
      </c>
    </row>
    <row r="137" spans="1:44" x14ac:dyDescent="0.25">
      <c r="A137" s="13">
        <f>'A) Base RI'!A137</f>
        <v>5625</v>
      </c>
      <c r="B137" s="62" t="str">
        <f>'A) Base RI'!B137</f>
        <v>Bussy-Chardonney</v>
      </c>
      <c r="C137" s="18">
        <f>'A) Base RI'!C137+'A) Base RI'!D137</f>
        <v>852563.6100000001</v>
      </c>
      <c r="D137" s="18">
        <f>'A) Base RI'!AO137</f>
        <v>-4909.24</v>
      </c>
      <c r="E137" s="61">
        <f>'A) Base RI'!AP137</f>
        <v>0</v>
      </c>
      <c r="F137" s="61">
        <f>'A) Base RI'!AQ137</f>
        <v>0</v>
      </c>
      <c r="G137" s="4">
        <f t="shared" si="12"/>
        <v>847654.37000000011</v>
      </c>
      <c r="H137" s="18">
        <f>'A) Base RI'!E137</f>
        <v>0</v>
      </c>
      <c r="I137" s="18">
        <f>'A) Base RI'!F137</f>
        <v>0</v>
      </c>
      <c r="J137" s="18">
        <f>'A) Base RI'!G137+'A) Base RI'!H137</f>
        <v>-2044</v>
      </c>
      <c r="K137" s="18">
        <f>'A) Base RI'!I137</f>
        <v>47396.05</v>
      </c>
      <c r="L137" s="18">
        <f>'A) Base RI'!J137</f>
        <v>13558.67</v>
      </c>
      <c r="M137" s="18">
        <f>'A) Base RI'!K137</f>
        <v>11190</v>
      </c>
      <c r="N137" s="18">
        <f>'A) Base RI'!Q137</f>
        <v>0</v>
      </c>
      <c r="O137" s="18">
        <f t="shared" si="13"/>
        <v>80898.583333333343</v>
      </c>
      <c r="P137" s="18">
        <f>'A) Base RI'!L137</f>
        <v>97078.3</v>
      </c>
      <c r="Q137" s="64">
        <f>'A) Base RI'!AR137</f>
        <v>1.2</v>
      </c>
      <c r="R137" s="4">
        <f t="shared" si="14"/>
        <v>998653.67333333357</v>
      </c>
      <c r="S137" s="63">
        <f>'A) Base RI'!AM137</f>
        <v>72</v>
      </c>
      <c r="T137" s="4">
        <f t="shared" si="15"/>
        <v>906565.0900000002</v>
      </c>
      <c r="U137" s="4">
        <f t="shared" si="16"/>
        <v>13870.18990740741</v>
      </c>
      <c r="V137" s="18">
        <f>'A) Base RI'!O137</f>
        <v>0</v>
      </c>
      <c r="W137" s="18">
        <f>'A) Base RI'!P137</f>
        <v>11660</v>
      </c>
      <c r="X137" s="18">
        <f>'A) Base RI'!R137</f>
        <v>0</v>
      </c>
      <c r="Y137" s="4">
        <f t="shared" si="17"/>
        <v>11660</v>
      </c>
      <c r="Z137" s="18">
        <f>'A) Base RI'!N137</f>
        <v>0</v>
      </c>
      <c r="AA137" s="18">
        <f>'A) Base RI'!S137+'A) Base RI'!T137</f>
        <v>1700</v>
      </c>
      <c r="AB137" s="18">
        <f>'A) Base RI'!U137</f>
        <v>720</v>
      </c>
      <c r="AC137" s="18">
        <f>'A) Base RI'!V137</f>
        <v>0</v>
      </c>
      <c r="AD137" s="18">
        <f>'A) Base RI'!W137</f>
        <v>0</v>
      </c>
      <c r="AE137" s="18">
        <f>'A) Base RI'!Y137</f>
        <v>23358</v>
      </c>
      <c r="AF137" s="18">
        <f>'A) Base RI'!Z137</f>
        <v>0</v>
      </c>
      <c r="AG137" s="18">
        <f>'A) Base RI'!AA137</f>
        <v>50264.800000000003</v>
      </c>
      <c r="AH137" s="18">
        <f>'A) Base RI'!AB137</f>
        <v>0</v>
      </c>
      <c r="AI137" s="18">
        <f>'A) Base RI'!AC137</f>
        <v>44434.85</v>
      </c>
      <c r="AJ137" s="18">
        <f>'A) Base RI'!AD137</f>
        <v>0</v>
      </c>
      <c r="AK137" s="18">
        <f>'A) Base RI'!AE137</f>
        <v>0</v>
      </c>
      <c r="AL137" s="18">
        <f>'A) Base RI'!AF137</f>
        <v>0</v>
      </c>
      <c r="AM137" s="18">
        <f>'A) Base RI'!AG137</f>
        <v>0</v>
      </c>
      <c r="AN137" s="18">
        <f>'A) Base RI'!AH137</f>
        <v>0</v>
      </c>
      <c r="AO137" s="18">
        <f>'A) Base RI'!AI137</f>
        <v>0</v>
      </c>
      <c r="AP137" s="18">
        <f>'A) Base RI'!AJ137</f>
        <v>0</v>
      </c>
      <c r="AQ137" s="18">
        <f>'A) Base RI'!AK137</f>
        <v>0</v>
      </c>
      <c r="AR137" s="18">
        <f>'A) Base RI'!AN137</f>
        <v>388</v>
      </c>
    </row>
    <row r="138" spans="1:44" x14ac:dyDescent="0.25">
      <c r="A138" s="13">
        <f>'A) Base RI'!A138</f>
        <v>5627</v>
      </c>
      <c r="B138" s="62" t="str">
        <f>'A) Base RI'!B138</f>
        <v>Chavannes-près-Renens</v>
      </c>
      <c r="C138" s="18">
        <f>'A) Base RI'!C138+'A) Base RI'!D138</f>
        <v>9828393.1999999993</v>
      </c>
      <c r="D138" s="18">
        <f>'A) Base RI'!AO138</f>
        <v>-424737.95</v>
      </c>
      <c r="E138" s="61">
        <f>'A) Base RI'!AP138</f>
        <v>0</v>
      </c>
      <c r="F138" s="61">
        <f>'A) Base RI'!AQ138</f>
        <v>-550.29</v>
      </c>
      <c r="G138" s="4">
        <f t="shared" si="12"/>
        <v>9403104.9600000009</v>
      </c>
      <c r="H138" s="18">
        <f>'A) Base RI'!E138</f>
        <v>0</v>
      </c>
      <c r="I138" s="18">
        <f>'A) Base RI'!F138</f>
        <v>0</v>
      </c>
      <c r="J138" s="18">
        <f>'A) Base RI'!G138+'A) Base RI'!H138</f>
        <v>2458908.0499999998</v>
      </c>
      <c r="K138" s="18">
        <f>'A) Base RI'!I138</f>
        <v>0</v>
      </c>
      <c r="L138" s="18">
        <f>'A) Base RI'!J138</f>
        <v>635625.28</v>
      </c>
      <c r="M138" s="18">
        <f>'A) Base RI'!K138</f>
        <v>170274</v>
      </c>
      <c r="N138" s="18">
        <f>'A) Base RI'!Q138</f>
        <v>36322.019999999997</v>
      </c>
      <c r="O138" s="18">
        <f t="shared" si="13"/>
        <v>780223.53333333333</v>
      </c>
      <c r="P138" s="18">
        <f>'A) Base RI'!L138</f>
        <v>1170335.3</v>
      </c>
      <c r="Q138" s="64">
        <f>'A) Base RI'!AR138</f>
        <v>1.5</v>
      </c>
      <c r="R138" s="4">
        <f t="shared" si="14"/>
        <v>13484457.843333334</v>
      </c>
      <c r="S138" s="63">
        <f>'A) Base RI'!AM138</f>
        <v>79</v>
      </c>
      <c r="T138" s="4">
        <f t="shared" si="15"/>
        <v>12533960.310000001</v>
      </c>
      <c r="U138" s="4">
        <f t="shared" si="16"/>
        <v>170689.33978902953</v>
      </c>
      <c r="V138" s="18">
        <f>'A) Base RI'!O138</f>
        <v>51380.800000000003</v>
      </c>
      <c r="W138" s="18">
        <f>'A) Base RI'!P138</f>
        <v>284452.25</v>
      </c>
      <c r="X138" s="18">
        <f>'A) Base RI'!R138</f>
        <v>79381.8</v>
      </c>
      <c r="Y138" s="4">
        <f t="shared" si="17"/>
        <v>415214.85</v>
      </c>
      <c r="Z138" s="18">
        <f>'A) Base RI'!N138</f>
        <v>415643.65</v>
      </c>
      <c r="AA138" s="18">
        <f>'A) Base RI'!S138+'A) Base RI'!T138</f>
        <v>0</v>
      </c>
      <c r="AB138" s="18">
        <f>'A) Base RI'!U138</f>
        <v>24750</v>
      </c>
      <c r="AC138" s="18">
        <f>'A) Base RI'!V138</f>
        <v>365.4</v>
      </c>
      <c r="AD138" s="18">
        <f>'A) Base RI'!W138</f>
        <v>530.1</v>
      </c>
      <c r="AE138" s="18">
        <f>'A) Base RI'!Y138</f>
        <v>62734.85</v>
      </c>
      <c r="AF138" s="18">
        <f>'A) Base RI'!Z138</f>
        <v>0</v>
      </c>
      <c r="AG138" s="18">
        <f>'A) Base RI'!AA138</f>
        <v>564040.15</v>
      </c>
      <c r="AH138" s="18">
        <f>'A) Base RI'!AB138</f>
        <v>0</v>
      </c>
      <c r="AI138" s="18">
        <f>'A) Base RI'!AC138</f>
        <v>355630.2</v>
      </c>
      <c r="AJ138" s="18">
        <f>'A) Base RI'!AD138</f>
        <v>0</v>
      </c>
      <c r="AK138" s="18">
        <f>'A) Base RI'!AE138</f>
        <v>0</v>
      </c>
      <c r="AL138" s="18">
        <f>'A) Base RI'!AF138</f>
        <v>50</v>
      </c>
      <c r="AM138" s="18">
        <f>'A) Base RI'!AG138</f>
        <v>18465.349999999999</v>
      </c>
      <c r="AN138" s="18">
        <f>'A) Base RI'!AH138</f>
        <v>0</v>
      </c>
      <c r="AO138" s="18">
        <f>'A) Base RI'!AI138</f>
        <v>0</v>
      </c>
      <c r="AP138" s="18">
        <f>'A) Base RI'!AJ138</f>
        <v>0</v>
      </c>
      <c r="AQ138" s="18">
        <f>'A) Base RI'!AK138</f>
        <v>0</v>
      </c>
      <c r="AR138" s="18">
        <f>'A) Base RI'!AN138</f>
        <v>7169</v>
      </c>
    </row>
    <row r="139" spans="1:44" x14ac:dyDescent="0.25">
      <c r="A139" s="13">
        <f>'A) Base RI'!A139</f>
        <v>5628</v>
      </c>
      <c r="B139" s="62" t="str">
        <f>'A) Base RI'!B139</f>
        <v>Chigny</v>
      </c>
      <c r="C139" s="18">
        <f>'A) Base RI'!C139+'A) Base RI'!D139</f>
        <v>1056840.8799999999</v>
      </c>
      <c r="D139" s="18">
        <f>'A) Base RI'!AO139</f>
        <v>-6176.36</v>
      </c>
      <c r="E139" s="61">
        <f>'A) Base RI'!AP139</f>
        <v>0</v>
      </c>
      <c r="F139" s="61">
        <f>'A) Base RI'!AQ139</f>
        <v>0</v>
      </c>
      <c r="G139" s="4">
        <f t="shared" si="12"/>
        <v>1050664.5199999998</v>
      </c>
      <c r="H139" s="18">
        <f>'A) Base RI'!E139</f>
        <v>0</v>
      </c>
      <c r="I139" s="18">
        <f>'A) Base RI'!F139</f>
        <v>0</v>
      </c>
      <c r="J139" s="18">
        <f>'A) Base RI'!G139+'A) Base RI'!H139</f>
        <v>9565.9</v>
      </c>
      <c r="K139" s="18">
        <f>'A) Base RI'!I139</f>
        <v>0</v>
      </c>
      <c r="L139" s="18">
        <f>'A) Base RI'!J139</f>
        <v>37711.96</v>
      </c>
      <c r="M139" s="18">
        <f>'A) Base RI'!K139</f>
        <v>-212.5</v>
      </c>
      <c r="N139" s="18">
        <f>'A) Base RI'!Q139</f>
        <v>10341.15</v>
      </c>
      <c r="O139" s="18">
        <f t="shared" si="13"/>
        <v>81226.6875</v>
      </c>
      <c r="P139" s="18">
        <f>'A) Base RI'!L139</f>
        <v>64981.35</v>
      </c>
      <c r="Q139" s="64">
        <f>'A) Base RI'!AR139</f>
        <v>0.8</v>
      </c>
      <c r="R139" s="4">
        <f t="shared" si="14"/>
        <v>1189297.7174999996</v>
      </c>
      <c r="S139" s="63">
        <f>'A) Base RI'!AM139</f>
        <v>62</v>
      </c>
      <c r="T139" s="4">
        <f t="shared" si="15"/>
        <v>1108283.5299999996</v>
      </c>
      <c r="U139" s="4">
        <f t="shared" si="16"/>
        <v>19182.221249999991</v>
      </c>
      <c r="V139" s="18">
        <v>0</v>
      </c>
      <c r="W139" s="18">
        <f>'A) Base RI'!P139</f>
        <v>176</v>
      </c>
      <c r="X139" s="18">
        <f>'A) Base RI'!R139</f>
        <v>16548.3</v>
      </c>
      <c r="Y139" s="4">
        <f t="shared" si="17"/>
        <v>16724.3</v>
      </c>
      <c r="Z139" s="18">
        <f>'A) Base RI'!N139</f>
        <v>7487.2</v>
      </c>
      <c r="AA139" s="18">
        <f>'A) Base RI'!S139+'A) Base RI'!T139</f>
        <v>0</v>
      </c>
      <c r="AB139" s="18">
        <f>'A) Base RI'!U139</f>
        <v>0</v>
      </c>
      <c r="AC139" s="18">
        <f>'A) Base RI'!V139</f>
        <v>0</v>
      </c>
      <c r="AD139" s="18">
        <f>'A) Base RI'!W139</f>
        <v>0</v>
      </c>
      <c r="AE139" s="18">
        <f>'A) Base RI'!Y139</f>
        <v>30000</v>
      </c>
      <c r="AF139" s="18">
        <f>'A) Base RI'!Z139</f>
        <v>0</v>
      </c>
      <c r="AG139" s="18">
        <f>'A) Base RI'!AA139</f>
        <v>66407.8</v>
      </c>
      <c r="AH139" s="18">
        <f>'A) Base RI'!AB139</f>
        <v>0</v>
      </c>
      <c r="AI139" s="18">
        <f>'A) Base RI'!AC139</f>
        <v>20818</v>
      </c>
      <c r="AJ139" s="18">
        <f>'A) Base RI'!AD139</f>
        <v>0</v>
      </c>
      <c r="AK139" s="18">
        <f>'A) Base RI'!AE139</f>
        <v>0</v>
      </c>
      <c r="AL139" s="18">
        <f>'A) Base RI'!AF139</f>
        <v>0</v>
      </c>
      <c r="AM139" s="18">
        <f>'A) Base RI'!AG139</f>
        <v>0</v>
      </c>
      <c r="AN139" s="18">
        <f>'A) Base RI'!AH139</f>
        <v>9461.1</v>
      </c>
      <c r="AO139" s="18">
        <f>'A) Base RI'!AI139</f>
        <v>0</v>
      </c>
      <c r="AP139" s="18">
        <f>'A) Base RI'!AJ139</f>
        <v>0</v>
      </c>
      <c r="AQ139" s="18">
        <f>'A) Base RI'!AK139</f>
        <v>0</v>
      </c>
      <c r="AR139" s="18">
        <f>'A) Base RI'!AN139</f>
        <v>330</v>
      </c>
    </row>
    <row r="140" spans="1:44" x14ac:dyDescent="0.25">
      <c r="A140" s="13">
        <f>'A) Base RI'!A140</f>
        <v>5629</v>
      </c>
      <c r="B140" s="62" t="str">
        <f>'A) Base RI'!B140</f>
        <v>Clarmont</v>
      </c>
      <c r="C140" s="18">
        <f>'A) Base RI'!C140+'A) Base RI'!D140</f>
        <v>532088.72</v>
      </c>
      <c r="D140" s="18">
        <f>'A) Base RI'!AO140</f>
        <v>-5914.16</v>
      </c>
      <c r="E140" s="61">
        <f>'A) Base RI'!AP140</f>
        <v>0</v>
      </c>
      <c r="F140" s="61">
        <f>'A) Base RI'!AQ140</f>
        <v>0</v>
      </c>
      <c r="G140" s="4">
        <f t="shared" si="12"/>
        <v>526174.55999999994</v>
      </c>
      <c r="H140" s="18">
        <f>'A) Base RI'!E140</f>
        <v>0</v>
      </c>
      <c r="I140" s="18">
        <f>'A) Base RI'!F140</f>
        <v>0</v>
      </c>
      <c r="J140" s="18">
        <f>'A) Base RI'!G140+'A) Base RI'!H140</f>
        <v>-15911.85</v>
      </c>
      <c r="K140" s="18">
        <f>'A) Base RI'!I140</f>
        <v>0</v>
      </c>
      <c r="L140" s="18">
        <f>'A) Base RI'!J140</f>
        <v>46016.58</v>
      </c>
      <c r="M140" s="18">
        <f>'A) Base RI'!K140</f>
        <v>566.5</v>
      </c>
      <c r="N140" s="18">
        <f>'A) Base RI'!Q140</f>
        <v>0</v>
      </c>
      <c r="O140" s="18">
        <f t="shared" si="13"/>
        <v>27804.1</v>
      </c>
      <c r="P140" s="18">
        <f>'A) Base RI'!L140</f>
        <v>27804.1</v>
      </c>
      <c r="Q140" s="64">
        <f>'A) Base RI'!AR140</f>
        <v>1</v>
      </c>
      <c r="R140" s="4">
        <f t="shared" si="14"/>
        <v>584649.8899999999</v>
      </c>
      <c r="S140" s="63">
        <f>'A) Base RI'!AM140</f>
        <v>75</v>
      </c>
      <c r="T140" s="4">
        <f t="shared" si="15"/>
        <v>556279.28999999992</v>
      </c>
      <c r="U140" s="4">
        <f t="shared" si="16"/>
        <v>7795.3318666666655</v>
      </c>
      <c r="V140" s="18">
        <f>'A) Base RI'!O140</f>
        <v>0</v>
      </c>
      <c r="W140" s="18">
        <f>'A) Base RI'!P140</f>
        <v>27225</v>
      </c>
      <c r="X140" s="18">
        <f>'A) Base RI'!R140</f>
        <v>0</v>
      </c>
      <c r="Y140" s="4">
        <f t="shared" si="17"/>
        <v>27225</v>
      </c>
      <c r="Z140" s="18">
        <f>'A) Base RI'!N140</f>
        <v>0</v>
      </c>
      <c r="AA140" s="18">
        <f>'A) Base RI'!S140+'A) Base RI'!T140</f>
        <v>0</v>
      </c>
      <c r="AB140" s="18">
        <f>'A) Base RI'!U140</f>
        <v>525</v>
      </c>
      <c r="AC140" s="18">
        <f>'A) Base RI'!V140</f>
        <v>0</v>
      </c>
      <c r="AD140" s="18">
        <f>'A) Base RI'!W140</f>
        <v>0</v>
      </c>
      <c r="AE140" s="18">
        <f>'A) Base RI'!Y140</f>
        <v>1272</v>
      </c>
      <c r="AF140" s="18">
        <f>'A) Base RI'!Z140</f>
        <v>0</v>
      </c>
      <c r="AG140" s="18">
        <f>'A) Base RI'!AA140</f>
        <v>34384.75</v>
      </c>
      <c r="AH140" s="18">
        <f>'A) Base RI'!AB140</f>
        <v>0</v>
      </c>
      <c r="AI140" s="18">
        <f>'A) Base RI'!AC140</f>
        <v>14072.65</v>
      </c>
      <c r="AJ140" s="18">
        <f>'A) Base RI'!AD140</f>
        <v>0</v>
      </c>
      <c r="AK140" s="18">
        <f>'A) Base RI'!AE140</f>
        <v>0</v>
      </c>
      <c r="AL140" s="18">
        <f>'A) Base RI'!AF140</f>
        <v>0</v>
      </c>
      <c r="AM140" s="18">
        <f>'A) Base RI'!AG140</f>
        <v>0</v>
      </c>
      <c r="AN140" s="18">
        <f>'A) Base RI'!AH140</f>
        <v>0</v>
      </c>
      <c r="AO140" s="18">
        <f>'A) Base RI'!AI140</f>
        <v>0</v>
      </c>
      <c r="AP140" s="18">
        <f>'A) Base RI'!AJ140</f>
        <v>0</v>
      </c>
      <c r="AQ140" s="18">
        <f>'A) Base RI'!AK140</f>
        <v>0</v>
      </c>
      <c r="AR140" s="18">
        <f>'A) Base RI'!AN140</f>
        <v>155</v>
      </c>
    </row>
    <row r="141" spans="1:44" x14ac:dyDescent="0.25">
      <c r="A141" s="13">
        <f>'A) Base RI'!A141</f>
        <v>5631</v>
      </c>
      <c r="B141" s="62" t="str">
        <f>'A) Base RI'!B141</f>
        <v>Denens</v>
      </c>
      <c r="C141" s="18">
        <f>'A) Base RI'!C141+'A) Base RI'!D141</f>
        <v>2185924.9500000002</v>
      </c>
      <c r="D141" s="18">
        <f>'A) Base RI'!AO141</f>
        <v>-72911.759999999995</v>
      </c>
      <c r="E141" s="61">
        <f>'A) Base RI'!AP141</f>
        <v>0</v>
      </c>
      <c r="F141" s="61">
        <f>'A) Base RI'!AQ141</f>
        <v>-2003.63</v>
      </c>
      <c r="G141" s="4">
        <f t="shared" si="12"/>
        <v>2111009.5600000005</v>
      </c>
      <c r="H141" s="18">
        <f>'A) Base RI'!E141</f>
        <v>0</v>
      </c>
      <c r="I141" s="18">
        <f>'A) Base RI'!F141</f>
        <v>0</v>
      </c>
      <c r="J141" s="18">
        <f>'A) Base RI'!G141+'A) Base RI'!H141</f>
        <v>15669.1</v>
      </c>
      <c r="K141" s="18">
        <f>'A) Base RI'!I141</f>
        <v>55691.25</v>
      </c>
      <c r="L141" s="18">
        <f>'A) Base RI'!J141</f>
        <v>55321.56</v>
      </c>
      <c r="M141" s="18">
        <f>'A) Base RI'!K141</f>
        <v>1286</v>
      </c>
      <c r="N141" s="18">
        <f>'A) Base RI'!Q141</f>
        <v>5095.8</v>
      </c>
      <c r="O141" s="18">
        <f t="shared" si="13"/>
        <v>159764.29999999999</v>
      </c>
      <c r="P141" s="18">
        <f>'A) Base RI'!L141</f>
        <v>159764.29999999999</v>
      </c>
      <c r="Q141" s="64">
        <f>'A) Base RI'!AR141</f>
        <v>1</v>
      </c>
      <c r="R141" s="4">
        <f t="shared" si="14"/>
        <v>2403837.5700000003</v>
      </c>
      <c r="S141" s="63">
        <f>'A) Base RI'!AM141</f>
        <v>68</v>
      </c>
      <c r="T141" s="4">
        <f t="shared" si="15"/>
        <v>2242787.2700000005</v>
      </c>
      <c r="U141" s="4">
        <f t="shared" si="16"/>
        <v>35350.552500000005</v>
      </c>
      <c r="V141" s="18">
        <f>'A) Base RI'!O141</f>
        <v>12564.400000000001</v>
      </c>
      <c r="W141" s="18">
        <f>'A) Base RI'!P141</f>
        <v>65763.899999999994</v>
      </c>
      <c r="X141" s="18">
        <f>'A) Base RI'!R141</f>
        <v>62521.850000000006</v>
      </c>
      <c r="Y141" s="4">
        <f t="shared" si="17"/>
        <v>140850.15</v>
      </c>
      <c r="Z141" s="18">
        <v>0</v>
      </c>
      <c r="AA141" s="18">
        <f>'A) Base RI'!S141+'A) Base RI'!T141</f>
        <v>762.5</v>
      </c>
      <c r="AB141" s="18">
        <f>'A) Base RI'!U141</f>
        <v>1512.5</v>
      </c>
      <c r="AC141" s="18">
        <f>'A) Base RI'!V141</f>
        <v>0</v>
      </c>
      <c r="AD141" s="18">
        <f>'A) Base RI'!W141</f>
        <v>0</v>
      </c>
      <c r="AE141" s="18">
        <f>'A) Base RI'!Y141</f>
        <v>65812.350000000006</v>
      </c>
      <c r="AF141" s="18">
        <f>'A) Base RI'!Z141</f>
        <v>0</v>
      </c>
      <c r="AG141" s="18">
        <f>'A) Base RI'!AA141</f>
        <v>115421.85</v>
      </c>
      <c r="AH141" s="18">
        <f>'A) Base RI'!AB141</f>
        <v>0</v>
      </c>
      <c r="AI141" s="18">
        <f>'A) Base RI'!AC141</f>
        <v>44566.65</v>
      </c>
      <c r="AJ141" s="18">
        <f>'A) Base RI'!AD141</f>
        <v>0</v>
      </c>
      <c r="AK141" s="18">
        <f>'A) Base RI'!AE141</f>
        <v>0</v>
      </c>
      <c r="AL141" s="18">
        <f>'A) Base RI'!AF141</f>
        <v>0</v>
      </c>
      <c r="AM141" s="18">
        <f>'A) Base RI'!AG141</f>
        <v>0</v>
      </c>
      <c r="AN141" s="18">
        <f>'A) Base RI'!AH141</f>
        <v>0</v>
      </c>
      <c r="AO141" s="18">
        <f>'A) Base RI'!AI141</f>
        <v>0</v>
      </c>
      <c r="AP141" s="18">
        <f>'A) Base RI'!AJ141</f>
        <v>0</v>
      </c>
      <c r="AQ141" s="18">
        <f>'A) Base RI'!AK141</f>
        <v>0</v>
      </c>
      <c r="AR141" s="18">
        <f>'A) Base RI'!AN141</f>
        <v>699</v>
      </c>
    </row>
    <row r="142" spans="1:44" x14ac:dyDescent="0.25">
      <c r="A142" s="13">
        <f>'A) Base RI'!A142</f>
        <v>5632</v>
      </c>
      <c r="B142" s="62" t="str">
        <f>'A) Base RI'!B142</f>
        <v>Denges</v>
      </c>
      <c r="C142" s="18">
        <f>'A) Base RI'!C142+'A) Base RI'!D142</f>
        <v>3176733.86</v>
      </c>
      <c r="D142" s="18">
        <f>'A) Base RI'!AO142</f>
        <v>-65704.08</v>
      </c>
      <c r="E142" s="61">
        <f>'A) Base RI'!AP142</f>
        <v>0</v>
      </c>
      <c r="F142" s="61">
        <f>'A) Base RI'!AQ142</f>
        <v>-33.19</v>
      </c>
      <c r="G142" s="4">
        <f t="shared" si="12"/>
        <v>3110996.59</v>
      </c>
      <c r="H142" s="18">
        <f>'A) Base RI'!E142</f>
        <v>0</v>
      </c>
      <c r="I142" s="18">
        <f>'A) Base RI'!F142</f>
        <v>0</v>
      </c>
      <c r="J142" s="18">
        <f>'A) Base RI'!G142+'A) Base RI'!H142</f>
        <v>179465.35</v>
      </c>
      <c r="K142" s="18">
        <f>'A) Base RI'!I142</f>
        <v>0</v>
      </c>
      <c r="L142" s="18">
        <f>'A) Base RI'!J142</f>
        <v>182653.06</v>
      </c>
      <c r="M142" s="18">
        <f>'A) Base RI'!K142</f>
        <v>28622.5</v>
      </c>
      <c r="N142" s="18">
        <f>'A) Base RI'!Q142</f>
        <v>5733.92</v>
      </c>
      <c r="O142" s="18">
        <f t="shared" si="13"/>
        <v>311563.125</v>
      </c>
      <c r="P142" s="18">
        <f>'A) Base RI'!L142</f>
        <v>249250.5</v>
      </c>
      <c r="Q142" s="64">
        <f>'A) Base RI'!AR142</f>
        <v>0.8</v>
      </c>
      <c r="R142" s="4">
        <f t="shared" si="14"/>
        <v>3819034.5449999999</v>
      </c>
      <c r="S142" s="63">
        <f>'A) Base RI'!AM142</f>
        <v>62</v>
      </c>
      <c r="T142" s="4">
        <f t="shared" si="15"/>
        <v>3478848.92</v>
      </c>
      <c r="U142" s="4">
        <f t="shared" si="16"/>
        <v>61597.331370967739</v>
      </c>
      <c r="V142" s="18">
        <f>'A) Base RI'!O142</f>
        <v>202171.1</v>
      </c>
      <c r="W142" s="18">
        <f>'A) Base RI'!P142</f>
        <v>93830</v>
      </c>
      <c r="X142" s="18">
        <f>'A) Base RI'!R142</f>
        <v>114612.15</v>
      </c>
      <c r="Y142" s="4">
        <f t="shared" si="17"/>
        <v>410613.25</v>
      </c>
      <c r="Z142" s="18">
        <f>'A) Base RI'!N142</f>
        <v>95997.4</v>
      </c>
      <c r="AA142" s="18">
        <f>'A) Base RI'!S142+'A) Base RI'!T142</f>
        <v>500</v>
      </c>
      <c r="AB142" s="18">
        <f>'A) Base RI'!U142</f>
        <v>3775</v>
      </c>
      <c r="AC142" s="18">
        <f>'A) Base RI'!V142</f>
        <v>0</v>
      </c>
      <c r="AD142" s="18">
        <f>'A) Base RI'!W142</f>
        <v>0</v>
      </c>
      <c r="AE142" s="18">
        <f>'A) Base RI'!Y142</f>
        <v>57125</v>
      </c>
      <c r="AF142" s="18">
        <f>'A) Base RI'!Z142</f>
        <v>9093.25</v>
      </c>
      <c r="AG142" s="18">
        <f>'A) Base RI'!AA142</f>
        <v>217541.1</v>
      </c>
      <c r="AH142" s="18">
        <f>'A) Base RI'!AB142</f>
        <v>67980.75</v>
      </c>
      <c r="AI142" s="18">
        <f>'A) Base RI'!AC142</f>
        <v>108885</v>
      </c>
      <c r="AJ142" s="18">
        <f>'A) Base RI'!AD142</f>
        <v>0</v>
      </c>
      <c r="AK142" s="18">
        <f>'A) Base RI'!AE142</f>
        <v>0</v>
      </c>
      <c r="AL142" s="18">
        <f>'A) Base RI'!AF142</f>
        <v>0</v>
      </c>
      <c r="AM142" s="18">
        <f>'A) Base RI'!AG142</f>
        <v>0</v>
      </c>
      <c r="AN142" s="18">
        <f>'A) Base RI'!AH142</f>
        <v>59348.75</v>
      </c>
      <c r="AO142" s="18">
        <f>'A) Base RI'!AI142</f>
        <v>0</v>
      </c>
      <c r="AP142" s="18">
        <f>'A) Base RI'!AJ142</f>
        <v>0</v>
      </c>
      <c r="AQ142" s="18">
        <f>'A) Base RI'!AK142</f>
        <v>0</v>
      </c>
      <c r="AR142" s="18">
        <f>'A) Base RI'!AN142</f>
        <v>1612</v>
      </c>
    </row>
    <row r="143" spans="1:44" x14ac:dyDescent="0.25">
      <c r="A143" s="13">
        <f>'A) Base RI'!A143</f>
        <v>5633</v>
      </c>
      <c r="B143" s="62" t="str">
        <f>'A) Base RI'!B143</f>
        <v>Echandens</v>
      </c>
      <c r="C143" s="18">
        <f>'A) Base RI'!C143+'A) Base RI'!D143</f>
        <v>6667384.9399999995</v>
      </c>
      <c r="D143" s="18">
        <f>'A) Base RI'!AO143</f>
        <v>-160483.07999999999</v>
      </c>
      <c r="E143" s="61">
        <f>'A) Base RI'!AP143</f>
        <v>0</v>
      </c>
      <c r="F143" s="61">
        <f>'A) Base RI'!AQ143</f>
        <v>0</v>
      </c>
      <c r="G143" s="4">
        <f t="shared" si="12"/>
        <v>6506901.8599999994</v>
      </c>
      <c r="H143" s="18">
        <f>'A) Base RI'!E143</f>
        <v>0</v>
      </c>
      <c r="I143" s="18">
        <f>'A) Base RI'!F143</f>
        <v>0</v>
      </c>
      <c r="J143" s="18">
        <f>'A) Base RI'!G143+'A) Base RI'!H143</f>
        <v>393566.47</v>
      </c>
      <c r="K143" s="18">
        <f>'A) Base RI'!I143</f>
        <v>0</v>
      </c>
      <c r="L143" s="18">
        <f>'A) Base RI'!J143</f>
        <v>321392.96999999997</v>
      </c>
      <c r="M143" s="18">
        <f>'A) Base RI'!K143</f>
        <v>20820.5</v>
      </c>
      <c r="N143" s="18">
        <f>'A) Base RI'!Q143</f>
        <v>0</v>
      </c>
      <c r="O143" s="18">
        <f t="shared" si="13"/>
        <v>501065.6</v>
      </c>
      <c r="P143" s="18">
        <f>'A) Base RI'!L143</f>
        <v>501065.6</v>
      </c>
      <c r="Q143" s="64">
        <f>'A) Base RI'!AR143</f>
        <v>1</v>
      </c>
      <c r="R143" s="4">
        <f t="shared" si="14"/>
        <v>7743747.3999999985</v>
      </c>
      <c r="S143" s="63">
        <f>'A) Base RI'!AM143</f>
        <v>62</v>
      </c>
      <c r="T143" s="4">
        <f t="shared" si="15"/>
        <v>7221861.2999999989</v>
      </c>
      <c r="U143" s="4">
        <f t="shared" si="16"/>
        <v>124899.1516129032</v>
      </c>
      <c r="V143" s="18">
        <f>'A) Base RI'!O143</f>
        <v>5742</v>
      </c>
      <c r="W143" s="18">
        <f>'A) Base RI'!P143</f>
        <v>390415.9</v>
      </c>
      <c r="X143" s="18">
        <f>'A) Base RI'!R143</f>
        <v>136948.66</v>
      </c>
      <c r="Y143" s="4">
        <f t="shared" si="17"/>
        <v>533106.56000000006</v>
      </c>
      <c r="Z143" s="18">
        <f>'A) Base RI'!N143</f>
        <v>136533</v>
      </c>
      <c r="AA143" s="18">
        <f>'A) Base RI'!S143+'A) Base RI'!T143</f>
        <v>3322.5</v>
      </c>
      <c r="AB143" s="18">
        <f>'A) Base RI'!U143</f>
        <v>7524</v>
      </c>
      <c r="AC143" s="18">
        <f>'A) Base RI'!V143</f>
        <v>0</v>
      </c>
      <c r="AD143" s="18">
        <f>'A) Base RI'!W143</f>
        <v>0</v>
      </c>
      <c r="AE143" s="18">
        <f>'A) Base RI'!Y143</f>
        <v>269358</v>
      </c>
      <c r="AF143" s="18">
        <f>'A) Base RI'!Z143</f>
        <v>0</v>
      </c>
      <c r="AG143" s="18">
        <f>'A) Base RI'!AA143</f>
        <v>385285.65</v>
      </c>
      <c r="AH143" s="18">
        <f>'A) Base RI'!AB143</f>
        <v>0</v>
      </c>
      <c r="AI143" s="18">
        <f>'A) Base RI'!AC143</f>
        <v>101129.16</v>
      </c>
      <c r="AJ143" s="18">
        <f>'A) Base RI'!AD143</f>
        <v>0</v>
      </c>
      <c r="AK143" s="18">
        <f>'A) Base RI'!AE143</f>
        <v>0</v>
      </c>
      <c r="AL143" s="18">
        <f>'A) Base RI'!AF143</f>
        <v>0</v>
      </c>
      <c r="AM143" s="18">
        <f>'A) Base RI'!AG143</f>
        <v>0</v>
      </c>
      <c r="AN143" s="18">
        <f>'A) Base RI'!AH143</f>
        <v>0</v>
      </c>
      <c r="AO143" s="18">
        <f>'A) Base RI'!AI143</f>
        <v>0</v>
      </c>
      <c r="AP143" s="18">
        <f>'A) Base RI'!AJ143</f>
        <v>0</v>
      </c>
      <c r="AQ143" s="18">
        <f>'A) Base RI'!AK143</f>
        <v>0</v>
      </c>
      <c r="AR143" s="18">
        <f>'A) Base RI'!AN143</f>
        <v>2405</v>
      </c>
    </row>
    <row r="144" spans="1:44" x14ac:dyDescent="0.25">
      <c r="A144" s="13">
        <f>'A) Base RI'!A144</f>
        <v>5634</v>
      </c>
      <c r="B144" s="62" t="str">
        <f>'A) Base RI'!B144</f>
        <v>Echichens</v>
      </c>
      <c r="C144" s="18">
        <f>'A) Base RI'!C144+'A) Base RI'!D144</f>
        <v>7931861.7000000002</v>
      </c>
      <c r="D144" s="18">
        <f>'A) Base RI'!AO144</f>
        <v>-32398.32</v>
      </c>
      <c r="E144" s="61">
        <f>'A) Base RI'!AP144</f>
        <v>0</v>
      </c>
      <c r="F144" s="61">
        <f>'A) Base RI'!AQ144</f>
        <v>-1033.81</v>
      </c>
      <c r="G144" s="4">
        <f t="shared" si="12"/>
        <v>7898429.5700000003</v>
      </c>
      <c r="H144" s="18">
        <f>'A) Base RI'!E144</f>
        <v>0</v>
      </c>
      <c r="I144" s="18">
        <f>'A) Base RI'!F144</f>
        <v>0</v>
      </c>
      <c r="J144" s="18">
        <f>'A) Base RI'!G144+'A) Base RI'!H144</f>
        <v>153919.85</v>
      </c>
      <c r="K144" s="18">
        <f>'A) Base RI'!I144</f>
        <v>79557</v>
      </c>
      <c r="L144" s="18">
        <f>'A) Base RI'!J144</f>
        <v>144506.84</v>
      </c>
      <c r="M144" s="18">
        <f>'A) Base RI'!K144</f>
        <v>15713.5</v>
      </c>
      <c r="N144" s="18">
        <f>'A) Base RI'!Q144</f>
        <v>3168.1</v>
      </c>
      <c r="O144" s="18">
        <f t="shared" si="13"/>
        <v>460215.9</v>
      </c>
      <c r="P144" s="18">
        <f>'A) Base RI'!L144</f>
        <v>460215.9</v>
      </c>
      <c r="Q144" s="64">
        <f>'A) Base RI'!AR144</f>
        <v>1</v>
      </c>
      <c r="R144" s="4">
        <f t="shared" si="14"/>
        <v>8755510.7599999998</v>
      </c>
      <c r="S144" s="63">
        <f>'A) Base RI'!AM144</f>
        <v>68</v>
      </c>
      <c r="T144" s="4">
        <f t="shared" si="15"/>
        <v>8279581.3599999994</v>
      </c>
      <c r="U144" s="4">
        <f t="shared" si="16"/>
        <v>128757.51117647058</v>
      </c>
      <c r="V144" s="18">
        <f>'A) Base RI'!O144</f>
        <v>186173.7</v>
      </c>
      <c r="W144" s="18">
        <f>'A) Base RI'!P144</f>
        <v>177816</v>
      </c>
      <c r="X144" s="18">
        <f>'A) Base RI'!R144</f>
        <v>212529.85</v>
      </c>
      <c r="Y144" s="4">
        <f t="shared" si="17"/>
        <v>576519.55000000005</v>
      </c>
      <c r="Z144" s="18">
        <f>'A) Base RI'!N144</f>
        <v>18229.55</v>
      </c>
      <c r="AA144" s="18">
        <f>'A) Base RI'!S144+'A) Base RI'!T144</f>
        <v>1200</v>
      </c>
      <c r="AB144" s="18">
        <f>'A) Base RI'!U144</f>
        <v>7500</v>
      </c>
      <c r="AC144" s="18">
        <f>'A) Base RI'!V144</f>
        <v>0</v>
      </c>
      <c r="AD144" s="18">
        <f>'A) Base RI'!W144</f>
        <v>0</v>
      </c>
      <c r="AE144" s="18">
        <f>'A) Base RI'!Y144</f>
        <v>130333.45</v>
      </c>
      <c r="AF144" s="18">
        <f>'A) Base RI'!Z144</f>
        <v>0</v>
      </c>
      <c r="AG144" s="18">
        <f>'A) Base RI'!AA144</f>
        <v>530748.69999999995</v>
      </c>
      <c r="AH144" s="18">
        <f>'A) Base RI'!AB144</f>
        <v>0</v>
      </c>
      <c r="AI144" s="18">
        <f>'A) Base RI'!AC144</f>
        <v>172593.3</v>
      </c>
      <c r="AJ144" s="18">
        <f>'A) Base RI'!AD144</f>
        <v>174536.05</v>
      </c>
      <c r="AK144" s="18">
        <f>'A) Base RI'!AE144</f>
        <v>0</v>
      </c>
      <c r="AL144" s="18">
        <f>'A) Base RI'!AF144</f>
        <v>0</v>
      </c>
      <c r="AM144" s="18">
        <f>'A) Base RI'!AG144</f>
        <v>0</v>
      </c>
      <c r="AN144" s="18">
        <f>'A) Base RI'!AH144</f>
        <v>0</v>
      </c>
      <c r="AO144" s="18">
        <f>'A) Base RI'!AI144</f>
        <v>0</v>
      </c>
      <c r="AP144" s="18">
        <f>'A) Base RI'!AJ144</f>
        <v>0</v>
      </c>
      <c r="AQ144" s="18">
        <f>'A) Base RI'!AK144</f>
        <v>0</v>
      </c>
      <c r="AR144" s="18">
        <f>'A) Base RI'!AN144</f>
        <v>2570</v>
      </c>
    </row>
    <row r="145" spans="1:44" x14ac:dyDescent="0.25">
      <c r="A145" s="13">
        <f>'A) Base RI'!A145</f>
        <v>5635</v>
      </c>
      <c r="B145" s="62" t="str">
        <f>'A) Base RI'!B145</f>
        <v>Ecublens</v>
      </c>
      <c r="C145" s="18">
        <f>'A) Base RI'!C145+'A) Base RI'!D145</f>
        <v>20417504.07</v>
      </c>
      <c r="D145" s="18">
        <f>'A) Base RI'!AO145</f>
        <v>-330440.53000000003</v>
      </c>
      <c r="E145" s="61">
        <f>'A) Base RI'!AP145</f>
        <v>0</v>
      </c>
      <c r="F145" s="61">
        <f>'A) Base RI'!AQ145</f>
        <v>-6397.1</v>
      </c>
      <c r="G145" s="4">
        <f t="shared" si="12"/>
        <v>20080666.439999998</v>
      </c>
      <c r="H145" s="18">
        <f>'A) Base RI'!E145</f>
        <v>0</v>
      </c>
      <c r="I145" s="18">
        <f>'A) Base RI'!F145</f>
        <v>0</v>
      </c>
      <c r="J145" s="18">
        <f>'A) Base RI'!G145+'A) Base RI'!H145</f>
        <v>4970424.05</v>
      </c>
      <c r="K145" s="18">
        <f>'A) Base RI'!I145</f>
        <v>17269.21</v>
      </c>
      <c r="L145" s="18">
        <f>'A) Base RI'!J145</f>
        <v>1084593.1399999999</v>
      </c>
      <c r="M145" s="18">
        <f>'A) Base RI'!K145</f>
        <v>184958</v>
      </c>
      <c r="N145" s="18">
        <f>'A) Base RI'!Q145</f>
        <v>58512.77</v>
      </c>
      <c r="O145" s="18">
        <f t="shared" si="13"/>
        <v>1933487.6842105265</v>
      </c>
      <c r="P145" s="18">
        <f>'A) Base RI'!L145</f>
        <v>1836813.3</v>
      </c>
      <c r="Q145" s="64">
        <f>'A) Base RI'!AR145</f>
        <v>0.95</v>
      </c>
      <c r="R145" s="4">
        <f t="shared" si="14"/>
        <v>28329911.294210527</v>
      </c>
      <c r="S145" s="63">
        <f>'A) Base RI'!AM145</f>
        <v>62</v>
      </c>
      <c r="T145" s="4">
        <f t="shared" si="15"/>
        <v>26211465.609999999</v>
      </c>
      <c r="U145" s="4">
        <f t="shared" si="16"/>
        <v>456934.05313242786</v>
      </c>
      <c r="V145" s="18">
        <f>'A) Base RI'!O145</f>
        <v>384997.5</v>
      </c>
      <c r="W145" s="18">
        <f>'A) Base RI'!P145</f>
        <v>1246577.6000000001</v>
      </c>
      <c r="X145" s="18">
        <f>'A) Base RI'!R145</f>
        <v>461097.3</v>
      </c>
      <c r="Y145" s="4">
        <f t="shared" si="17"/>
        <v>2092672.4000000001</v>
      </c>
      <c r="Z145" s="18">
        <f>'A) Base RI'!N145</f>
        <v>1649493.2</v>
      </c>
      <c r="AA145" s="18">
        <f>'A) Base RI'!S145+'A) Base RI'!T145</f>
        <v>57470.3</v>
      </c>
      <c r="AB145" s="18">
        <f>'A) Base RI'!U145</f>
        <v>39250</v>
      </c>
      <c r="AC145" s="18">
        <f>'A) Base RI'!V145</f>
        <v>82883.55</v>
      </c>
      <c r="AD145" s="18">
        <f>'A) Base RI'!W145</f>
        <v>0</v>
      </c>
      <c r="AE145" s="18">
        <f>'A) Base RI'!Y145</f>
        <v>910407.35</v>
      </c>
      <c r="AF145" s="18">
        <f>'A) Base RI'!Z145</f>
        <v>0</v>
      </c>
      <c r="AG145" s="18">
        <f>'A) Base RI'!AA145</f>
        <v>1150871.6299999999</v>
      </c>
      <c r="AH145" s="18">
        <f>'A) Base RI'!AB145</f>
        <v>0</v>
      </c>
      <c r="AI145" s="18">
        <f>'A) Base RI'!AC145</f>
        <v>1157484.95</v>
      </c>
      <c r="AJ145" s="18">
        <f>'A) Base RI'!AD145</f>
        <v>0</v>
      </c>
      <c r="AK145" s="18">
        <f>'A) Base RI'!AE145</f>
        <v>0</v>
      </c>
      <c r="AL145" s="18">
        <f>'A) Base RI'!AF145</f>
        <v>0</v>
      </c>
      <c r="AM145" s="18">
        <f>'A) Base RI'!AG145</f>
        <v>280353.90000000002</v>
      </c>
      <c r="AN145" s="18">
        <f>'A) Base RI'!AH145</f>
        <v>1209726.5</v>
      </c>
      <c r="AO145" s="18">
        <f>'A) Base RI'!AI145</f>
        <v>0</v>
      </c>
      <c r="AP145" s="18">
        <f>'A) Base RI'!AJ145</f>
        <v>0</v>
      </c>
      <c r="AQ145" s="18">
        <f>'A) Base RI'!AK145</f>
        <v>172818.15</v>
      </c>
      <c r="AR145" s="18">
        <f>'A) Base RI'!AN145</f>
        <v>12181</v>
      </c>
    </row>
    <row r="146" spans="1:44" x14ac:dyDescent="0.25">
      <c r="A146" s="13">
        <f>'A) Base RI'!A146</f>
        <v>5636</v>
      </c>
      <c r="B146" s="62" t="str">
        <f>'A) Base RI'!B146</f>
        <v>Etoy</v>
      </c>
      <c r="C146" s="18">
        <f>'A) Base RI'!C146+'A) Base RI'!D146</f>
        <v>5841871.7800000003</v>
      </c>
      <c r="D146" s="18">
        <f>'A) Base RI'!AO146</f>
        <v>-112555.96</v>
      </c>
      <c r="E146" s="61">
        <f>'A) Base RI'!AP146</f>
        <v>0</v>
      </c>
      <c r="F146" s="61">
        <f>'A) Base RI'!AQ146</f>
        <v>-544.91</v>
      </c>
      <c r="G146" s="4">
        <f t="shared" si="12"/>
        <v>5728770.9100000001</v>
      </c>
      <c r="H146" s="18">
        <f>'A) Base RI'!E146</f>
        <v>0</v>
      </c>
      <c r="I146" s="18">
        <f>'A) Base RI'!F146</f>
        <v>0</v>
      </c>
      <c r="J146" s="18">
        <f>'A) Base RI'!G146+'A) Base RI'!H146</f>
        <v>1593519.25</v>
      </c>
      <c r="K146" s="18">
        <f>'A) Base RI'!I146</f>
        <v>74769.36</v>
      </c>
      <c r="L146" s="18">
        <f>'A) Base RI'!J146</f>
        <v>321531.78999999998</v>
      </c>
      <c r="M146" s="18">
        <f>'A) Base RI'!K146</f>
        <v>51984.25</v>
      </c>
      <c r="N146" s="18">
        <f>'A) Base RI'!Q146</f>
        <v>5448.06</v>
      </c>
      <c r="O146" s="18">
        <f t="shared" si="13"/>
        <v>872023.25</v>
      </c>
      <c r="P146" s="18">
        <f>'A) Base RI'!L146</f>
        <v>872023.25</v>
      </c>
      <c r="Q146" s="64">
        <f>'A) Base RI'!AR146</f>
        <v>1</v>
      </c>
      <c r="R146" s="4">
        <f t="shared" si="14"/>
        <v>8648046.870000001</v>
      </c>
      <c r="S146" s="63">
        <f>'A) Base RI'!AM146</f>
        <v>61</v>
      </c>
      <c r="T146" s="4">
        <f t="shared" si="15"/>
        <v>7724039.3700000001</v>
      </c>
      <c r="U146" s="4">
        <f t="shared" si="16"/>
        <v>141771.26016393444</v>
      </c>
      <c r="V146" s="18">
        <f>'A) Base RI'!O146</f>
        <v>226368.1</v>
      </c>
      <c r="W146" s="18">
        <f>'A) Base RI'!P146</f>
        <v>646807.55000000005</v>
      </c>
      <c r="X146" s="18">
        <f>'A) Base RI'!R146</f>
        <v>85776.3</v>
      </c>
      <c r="Y146" s="4">
        <f t="shared" si="17"/>
        <v>958951.95000000007</v>
      </c>
      <c r="Z146" s="18">
        <f>'A) Base RI'!N146</f>
        <v>448665.05</v>
      </c>
      <c r="AA146" s="18">
        <f>'A) Base RI'!S146+'A) Base RI'!T146</f>
        <v>25964.7</v>
      </c>
      <c r="AB146" s="18">
        <f>'A) Base RI'!U146</f>
        <v>6425</v>
      </c>
      <c r="AC146" s="18">
        <f>'A) Base RI'!V146</f>
        <v>0</v>
      </c>
      <c r="AD146" s="18">
        <f>'A) Base RI'!W146</f>
        <v>0</v>
      </c>
      <c r="AE146" s="18">
        <f>'A) Base RI'!Y146</f>
        <v>467992.3</v>
      </c>
      <c r="AF146" s="18">
        <f>'A) Base RI'!Z146</f>
        <v>0</v>
      </c>
      <c r="AG146" s="18">
        <f>'A) Base RI'!AA146</f>
        <v>419829.75</v>
      </c>
      <c r="AH146" s="18">
        <f>'A) Base RI'!AB146</f>
        <v>0</v>
      </c>
      <c r="AI146" s="18">
        <f>'A) Base RI'!AC146</f>
        <v>111506.85</v>
      </c>
      <c r="AJ146" s="18">
        <f>'A) Base RI'!AD146</f>
        <v>800254.15</v>
      </c>
      <c r="AK146" s="18">
        <f>'A) Base RI'!AE146</f>
        <v>0</v>
      </c>
      <c r="AL146" s="18">
        <f>'A) Base RI'!AF146</f>
        <v>0</v>
      </c>
      <c r="AM146" s="18">
        <f>'A) Base RI'!AG146</f>
        <v>0</v>
      </c>
      <c r="AN146" s="18">
        <f>'A) Base RI'!AH146</f>
        <v>160617.29999999999</v>
      </c>
      <c r="AO146" s="18">
        <f>'A) Base RI'!AI146</f>
        <v>0</v>
      </c>
      <c r="AP146" s="18">
        <f>'A) Base RI'!AJ146</f>
        <v>0</v>
      </c>
      <c r="AQ146" s="18">
        <f>'A) Base RI'!AK146</f>
        <v>0</v>
      </c>
      <c r="AR146" s="18">
        <f>'A) Base RI'!AN146</f>
        <v>2890</v>
      </c>
    </row>
    <row r="147" spans="1:44" x14ac:dyDescent="0.25">
      <c r="A147" s="13">
        <f>'A) Base RI'!A147</f>
        <v>5637</v>
      </c>
      <c r="B147" s="62" t="str">
        <f>'A) Base RI'!B147</f>
        <v>Lavigny</v>
      </c>
      <c r="C147" s="18">
        <f>'A) Base RI'!C147+'A) Base RI'!D147</f>
        <v>1902165.86</v>
      </c>
      <c r="D147" s="18">
        <f>'A) Base RI'!AO147</f>
        <v>-29198.91</v>
      </c>
      <c r="E147" s="61">
        <f>'A) Base RI'!AP147</f>
        <v>0</v>
      </c>
      <c r="F147" s="61">
        <f>'A) Base RI'!AQ147</f>
        <v>-348.58</v>
      </c>
      <c r="G147" s="4">
        <f t="shared" si="12"/>
        <v>1872618.37</v>
      </c>
      <c r="H147" s="18">
        <f>'A) Base RI'!E147</f>
        <v>25077.85</v>
      </c>
      <c r="I147" s="18">
        <f>'A) Base RI'!F147</f>
        <v>0</v>
      </c>
      <c r="J147" s="18">
        <f>'A) Base RI'!G147+'A) Base RI'!H147</f>
        <v>94430.1</v>
      </c>
      <c r="K147" s="18">
        <f>'A) Base RI'!I147</f>
        <v>0</v>
      </c>
      <c r="L147" s="18">
        <f>'A) Base RI'!J147</f>
        <v>97478.37</v>
      </c>
      <c r="M147" s="18">
        <f>'A) Base RI'!K147</f>
        <v>3638.5</v>
      </c>
      <c r="N147" s="18">
        <f>'A) Base RI'!Q147</f>
        <v>2029.43</v>
      </c>
      <c r="O147" s="18">
        <f t="shared" si="13"/>
        <v>162520.56666666668</v>
      </c>
      <c r="P147" s="18">
        <f>'A) Base RI'!L147</f>
        <v>243780.85</v>
      </c>
      <c r="Q147" s="64">
        <f>'A) Base RI'!AR147</f>
        <v>1.5</v>
      </c>
      <c r="R147" s="4">
        <f t="shared" si="14"/>
        <v>2257793.186666667</v>
      </c>
      <c r="S147" s="63">
        <f>'A) Base RI'!AM147</f>
        <v>74.5</v>
      </c>
      <c r="T147" s="4">
        <f t="shared" si="15"/>
        <v>2091634.1200000003</v>
      </c>
      <c r="U147" s="4">
        <f t="shared" si="16"/>
        <v>30305.948814317679</v>
      </c>
      <c r="V147" s="18">
        <f>'A) Base RI'!O147</f>
        <v>7842.7</v>
      </c>
      <c r="W147" s="18">
        <f>'A) Base RI'!P147</f>
        <v>69158.05</v>
      </c>
      <c r="X147" s="18">
        <f>'A) Base RI'!R147</f>
        <v>56018.6</v>
      </c>
      <c r="Y147" s="4">
        <f t="shared" si="17"/>
        <v>133019.35</v>
      </c>
      <c r="Z147" s="18">
        <f>'A) Base RI'!N147</f>
        <v>235219.1</v>
      </c>
      <c r="AA147" s="18">
        <f>'A) Base RI'!S147+'A) Base RI'!T147</f>
        <v>782.5</v>
      </c>
      <c r="AB147" s="18">
        <f>'A) Base RI'!U147</f>
        <v>2960</v>
      </c>
      <c r="AC147" s="18">
        <f>'A) Base RI'!V147</f>
        <v>0</v>
      </c>
      <c r="AD147" s="18">
        <f>'A) Base RI'!W147</f>
        <v>0</v>
      </c>
      <c r="AE147" s="18">
        <f>'A) Base RI'!Y147</f>
        <v>32204.3</v>
      </c>
      <c r="AF147" s="18">
        <f>'A) Base RI'!Z147</f>
        <v>0</v>
      </c>
      <c r="AG147" s="18">
        <f>'A) Base RI'!AA147</f>
        <v>152208.4</v>
      </c>
      <c r="AH147" s="18">
        <f>'A) Base RI'!AB147</f>
        <v>0</v>
      </c>
      <c r="AI147" s="18">
        <f>'A) Base RI'!AC147</f>
        <v>86716.3</v>
      </c>
      <c r="AJ147" s="18">
        <f>'A) Base RI'!AD147</f>
        <v>34565.4</v>
      </c>
      <c r="AK147" s="18">
        <f>'A) Base RI'!AE147</f>
        <v>0</v>
      </c>
      <c r="AL147" s="18">
        <f>'A) Base RI'!AF147</f>
        <v>0</v>
      </c>
      <c r="AM147" s="18">
        <f>'A) Base RI'!AG147</f>
        <v>0</v>
      </c>
      <c r="AN147" s="18">
        <f>'A) Base RI'!AH147</f>
        <v>44903.35</v>
      </c>
      <c r="AO147" s="18">
        <f>'A) Base RI'!AI147</f>
        <v>0</v>
      </c>
      <c r="AP147" s="18">
        <f>'A) Base RI'!AJ147</f>
        <v>0</v>
      </c>
      <c r="AQ147" s="18">
        <f>'A) Base RI'!AK147</f>
        <v>0</v>
      </c>
      <c r="AR147" s="18">
        <f>'A) Base RI'!AN147</f>
        <v>930</v>
      </c>
    </row>
    <row r="148" spans="1:44" x14ac:dyDescent="0.25">
      <c r="A148" s="13">
        <f>'A) Base RI'!A148</f>
        <v>5638</v>
      </c>
      <c r="B148" s="62" t="str">
        <f>'A) Base RI'!B148</f>
        <v>Lonay</v>
      </c>
      <c r="C148" s="18">
        <f>'A) Base RI'!C148+'A) Base RI'!D148</f>
        <v>5298572.0299999993</v>
      </c>
      <c r="D148" s="18">
        <f>'A) Base RI'!AO148</f>
        <v>-39334</v>
      </c>
      <c r="E148" s="61">
        <f>'A) Base RI'!AP148</f>
        <v>0</v>
      </c>
      <c r="F148" s="61">
        <f>'A) Base RI'!AQ148</f>
        <v>-7617.14</v>
      </c>
      <c r="G148" s="4">
        <f t="shared" si="12"/>
        <v>5251620.8899999997</v>
      </c>
      <c r="H148" s="18">
        <f>'A) Base RI'!E148</f>
        <v>0</v>
      </c>
      <c r="I148" s="18">
        <f>'A) Base RI'!F148</f>
        <v>0</v>
      </c>
      <c r="J148" s="18">
        <f>'A) Base RI'!G148+'A) Base RI'!H148</f>
        <v>952900</v>
      </c>
      <c r="K148" s="18">
        <f>'A) Base RI'!I148</f>
        <v>260754.64</v>
      </c>
      <c r="L148" s="18">
        <f>'A) Base RI'!J148</f>
        <v>146282.51999999999</v>
      </c>
      <c r="M148" s="18">
        <f>'A) Base RI'!K148</f>
        <v>51141.5</v>
      </c>
      <c r="N148" s="18">
        <f>'A) Base RI'!Q148</f>
        <v>16689</v>
      </c>
      <c r="O148" s="18">
        <f t="shared" si="13"/>
        <v>572703.65</v>
      </c>
      <c r="P148" s="18">
        <f>'A) Base RI'!L148</f>
        <v>572703.65</v>
      </c>
      <c r="Q148" s="64">
        <f>'A) Base RI'!AR148</f>
        <v>1</v>
      </c>
      <c r="R148" s="4">
        <f t="shared" si="14"/>
        <v>7252092.1999999993</v>
      </c>
      <c r="S148" s="63">
        <f>'A) Base RI'!AM148</f>
        <v>55</v>
      </c>
      <c r="T148" s="4">
        <f t="shared" si="15"/>
        <v>6628247.0499999989</v>
      </c>
      <c r="U148" s="4">
        <f t="shared" si="16"/>
        <v>131856.2218181818</v>
      </c>
      <c r="V148" s="18">
        <f>'A) Base RI'!O148</f>
        <v>1967277.5</v>
      </c>
      <c r="W148" s="18">
        <f>'A) Base RI'!P148</f>
        <v>184138.65</v>
      </c>
      <c r="X148" s="18">
        <f>'A) Base RI'!R148</f>
        <v>174893.15</v>
      </c>
      <c r="Y148" s="4">
        <f t="shared" si="17"/>
        <v>2326309.2999999998</v>
      </c>
      <c r="Z148" s="18">
        <f>'A) Base RI'!N148</f>
        <v>148917.65</v>
      </c>
      <c r="AA148" s="18">
        <f>'A) Base RI'!S148+'A) Base RI'!T148</f>
        <v>0</v>
      </c>
      <c r="AB148" s="18">
        <f>'A) Base RI'!U148</f>
        <v>11600</v>
      </c>
      <c r="AC148" s="18">
        <f>'A) Base RI'!V148</f>
        <v>0</v>
      </c>
      <c r="AD148" s="18">
        <f>'A) Base RI'!W148</f>
        <v>0</v>
      </c>
      <c r="AE148" s="18">
        <f>'A) Base RI'!Y148</f>
        <v>95298</v>
      </c>
      <c r="AF148" s="18">
        <f>'A) Base RI'!Z148</f>
        <v>0</v>
      </c>
      <c r="AG148" s="18">
        <f>'A) Base RI'!AA148</f>
        <v>441203</v>
      </c>
      <c r="AH148" s="18">
        <f>'A) Base RI'!AB148</f>
        <v>0</v>
      </c>
      <c r="AI148" s="18">
        <f>'A) Base RI'!AC148</f>
        <v>274435.5</v>
      </c>
      <c r="AJ148" s="18">
        <f>'A) Base RI'!AD148</f>
        <v>0</v>
      </c>
      <c r="AK148" s="18">
        <f>'A) Base RI'!AE148</f>
        <v>0</v>
      </c>
      <c r="AL148" s="18">
        <f>'A) Base RI'!AF148</f>
        <v>0</v>
      </c>
      <c r="AM148" s="18">
        <f>'A) Base RI'!AG148</f>
        <v>0</v>
      </c>
      <c r="AN148" s="18">
        <f>'A) Base RI'!AH148</f>
        <v>0</v>
      </c>
      <c r="AO148" s="18">
        <f>'A) Base RI'!AI148</f>
        <v>0</v>
      </c>
      <c r="AP148" s="18">
        <f>'A) Base RI'!AJ148</f>
        <v>0</v>
      </c>
      <c r="AQ148" s="18">
        <f>'A) Base RI'!AK148</f>
        <v>0</v>
      </c>
      <c r="AR148" s="18">
        <f>'A) Base RI'!AN148</f>
        <v>2508</v>
      </c>
    </row>
    <row r="149" spans="1:44" x14ac:dyDescent="0.25">
      <c r="A149" s="13">
        <f>'A) Base RI'!A149</f>
        <v>5639</v>
      </c>
      <c r="B149" s="62" t="str">
        <f>'A) Base RI'!B149</f>
        <v>Lully</v>
      </c>
      <c r="C149" s="18">
        <f>'A) Base RI'!C149+'A) Base RI'!D149</f>
        <v>2321608.2000000002</v>
      </c>
      <c r="D149" s="18">
        <f>'A) Base RI'!AO149</f>
        <v>-2278.54</v>
      </c>
      <c r="E149" s="61">
        <f>'A) Base RI'!AP149</f>
        <v>0</v>
      </c>
      <c r="F149" s="61">
        <f>'A) Base RI'!AQ149</f>
        <v>0</v>
      </c>
      <c r="G149" s="4">
        <f t="shared" si="12"/>
        <v>2319329.66</v>
      </c>
      <c r="H149" s="18">
        <f>'A) Base RI'!E149</f>
        <v>0</v>
      </c>
      <c r="I149" s="18">
        <f>'A) Base RI'!F149</f>
        <v>0</v>
      </c>
      <c r="J149" s="18">
        <f>'A) Base RI'!G149+'A) Base RI'!H149</f>
        <v>62528.149999999994</v>
      </c>
      <c r="K149" s="18">
        <f>'A) Base RI'!I149</f>
        <v>0</v>
      </c>
      <c r="L149" s="18">
        <f>'A) Base RI'!J149</f>
        <v>6155.04</v>
      </c>
      <c r="M149" s="18">
        <f>'A) Base RI'!K149</f>
        <v>2693</v>
      </c>
      <c r="N149" s="18">
        <f>'A) Base RI'!Q149</f>
        <v>844.94</v>
      </c>
      <c r="O149" s="18">
        <f t="shared" si="13"/>
        <v>169414.36000000002</v>
      </c>
      <c r="P149" s="18">
        <f>'A) Base RI'!L149</f>
        <v>211767.95</v>
      </c>
      <c r="Q149" s="64">
        <f>'A) Base RI'!AR149</f>
        <v>1.25</v>
      </c>
      <c r="R149" s="4">
        <f t="shared" si="14"/>
        <v>2560965.15</v>
      </c>
      <c r="S149" s="63">
        <f>'A) Base RI'!AM149</f>
        <v>61</v>
      </c>
      <c r="T149" s="4">
        <f t="shared" si="15"/>
        <v>2388857.79</v>
      </c>
      <c r="U149" s="4">
        <f t="shared" si="16"/>
        <v>41983.035245901636</v>
      </c>
      <c r="V149" s="18">
        <f>'A) Base RI'!O149</f>
        <v>19807.5</v>
      </c>
      <c r="W149" s="18">
        <f>'A) Base RI'!P149</f>
        <v>68454.850000000006</v>
      </c>
      <c r="X149" s="18">
        <f>'A) Base RI'!R149</f>
        <v>28690.3</v>
      </c>
      <c r="Y149" s="4">
        <f t="shared" si="17"/>
        <v>116952.65000000001</v>
      </c>
      <c r="Z149" s="18">
        <f>'A) Base RI'!N149</f>
        <v>1891.1</v>
      </c>
      <c r="AA149" s="18">
        <f>'A) Base RI'!S149+'A) Base RI'!T149</f>
        <v>0</v>
      </c>
      <c r="AB149" s="18">
        <f>'A) Base RI'!U149</f>
        <v>2200</v>
      </c>
      <c r="AC149" s="18">
        <f>'A) Base RI'!V149</f>
        <v>0</v>
      </c>
      <c r="AD149" s="18">
        <f>'A) Base RI'!W149</f>
        <v>0</v>
      </c>
      <c r="AE149" s="18">
        <f>'A) Base RI'!Y149</f>
        <v>15470</v>
      </c>
      <c r="AF149" s="18">
        <f>'A) Base RI'!Z149</f>
        <v>0</v>
      </c>
      <c r="AG149" s="18">
        <f>'A) Base RI'!AA149</f>
        <v>103751.7</v>
      </c>
      <c r="AH149" s="18">
        <f>'A) Base RI'!AB149</f>
        <v>0</v>
      </c>
      <c r="AI149" s="18">
        <f>'A) Base RI'!AC149</f>
        <v>60333.2</v>
      </c>
      <c r="AJ149" s="18">
        <f>'A) Base RI'!AD149</f>
        <v>0</v>
      </c>
      <c r="AK149" s="18">
        <f>'A) Base RI'!AE149</f>
        <v>0</v>
      </c>
      <c r="AL149" s="18">
        <f>'A) Base RI'!AF149</f>
        <v>0</v>
      </c>
      <c r="AM149" s="18">
        <f>'A) Base RI'!AG149</f>
        <v>0</v>
      </c>
      <c r="AN149" s="18">
        <f>'A) Base RI'!AH149</f>
        <v>0</v>
      </c>
      <c r="AO149" s="18">
        <f>'A) Base RI'!AI149</f>
        <v>0</v>
      </c>
      <c r="AP149" s="18">
        <f>'A) Base RI'!AJ149</f>
        <v>0</v>
      </c>
      <c r="AQ149" s="18">
        <f>'A) Base RI'!AK149</f>
        <v>0</v>
      </c>
      <c r="AR149" s="18">
        <f>'A) Base RI'!AN149</f>
        <v>764</v>
      </c>
    </row>
    <row r="150" spans="1:44" x14ac:dyDescent="0.25">
      <c r="A150" s="13">
        <f>'A) Base RI'!A150</f>
        <v>5640</v>
      </c>
      <c r="B150" s="62" t="str">
        <f>'A) Base RI'!B150</f>
        <v>Lussy-sur-Morges</v>
      </c>
      <c r="C150" s="18">
        <f>'A) Base RI'!C150+'A) Base RI'!D150</f>
        <v>2610416.42</v>
      </c>
      <c r="D150" s="18">
        <f>'A) Base RI'!AO150</f>
        <v>-9040.65</v>
      </c>
      <c r="E150" s="61">
        <f>'A) Base RI'!AP150</f>
        <v>0</v>
      </c>
      <c r="F150" s="61">
        <f>'A) Base RI'!AQ150</f>
        <v>-6704.01</v>
      </c>
      <c r="G150" s="4">
        <f t="shared" si="12"/>
        <v>2594671.7600000002</v>
      </c>
      <c r="H150" s="18">
        <f>'A) Base RI'!E150</f>
        <v>0</v>
      </c>
      <c r="I150" s="18">
        <f>'A) Base RI'!F150</f>
        <v>0</v>
      </c>
      <c r="J150" s="18">
        <f>'A) Base RI'!G150+'A) Base RI'!H150</f>
        <v>287525.39999999997</v>
      </c>
      <c r="K150" s="18">
        <f>'A) Base RI'!I150</f>
        <v>243904.68</v>
      </c>
      <c r="L150" s="18">
        <f>'A) Base RI'!J150</f>
        <v>46632.76</v>
      </c>
      <c r="M150" s="18">
        <f>'A) Base RI'!K150</f>
        <v>2485</v>
      </c>
      <c r="N150" s="18">
        <f>'A) Base RI'!Q150</f>
        <v>0</v>
      </c>
      <c r="O150" s="18">
        <f t="shared" si="13"/>
        <v>173238.65</v>
      </c>
      <c r="P150" s="18">
        <f>'A) Base RI'!L150</f>
        <v>173238.65</v>
      </c>
      <c r="Q150" s="64">
        <f>'A) Base RI'!AR150</f>
        <v>1</v>
      </c>
      <c r="R150" s="4">
        <f t="shared" si="14"/>
        <v>3348458.25</v>
      </c>
      <c r="S150" s="63">
        <f>'A) Base RI'!AM150</f>
        <v>66</v>
      </c>
      <c r="T150" s="4">
        <f t="shared" si="15"/>
        <v>3172734.6</v>
      </c>
      <c r="U150" s="4">
        <f t="shared" si="16"/>
        <v>50734.215909090912</v>
      </c>
      <c r="V150" s="18">
        <f>'A) Base RI'!O150</f>
        <v>160906.5</v>
      </c>
      <c r="W150" s="18">
        <f>'A) Base RI'!P150</f>
        <v>25245</v>
      </c>
      <c r="X150" s="18">
        <f>'A) Base RI'!R150</f>
        <v>23288.75</v>
      </c>
      <c r="Y150" s="4">
        <f t="shared" si="17"/>
        <v>209440.25</v>
      </c>
      <c r="Z150" s="18">
        <f>'A) Base RI'!N150</f>
        <v>25777.95</v>
      </c>
      <c r="AA150" s="18">
        <f>'A) Base RI'!S150+'A) Base RI'!T150</f>
        <v>0</v>
      </c>
      <c r="AB150" s="18">
        <f>'A) Base RI'!U150</f>
        <v>4300</v>
      </c>
      <c r="AC150" s="18">
        <f>'A) Base RI'!V150</f>
        <v>0</v>
      </c>
      <c r="AD150" s="18">
        <f>'A) Base RI'!W150</f>
        <v>0</v>
      </c>
      <c r="AE150" s="18">
        <f>'A) Base RI'!Y150</f>
        <v>20636.75</v>
      </c>
      <c r="AF150" s="18">
        <f>'A) Base RI'!Z150</f>
        <v>0</v>
      </c>
      <c r="AG150" s="18">
        <f>'A) Base RI'!AA150</f>
        <v>66070</v>
      </c>
      <c r="AH150" s="18">
        <f>'A) Base RI'!AB150</f>
        <v>0</v>
      </c>
      <c r="AI150" s="18">
        <f>'A) Base RI'!AC150</f>
        <v>37439</v>
      </c>
      <c r="AJ150" s="18">
        <f>'A) Base RI'!AD150</f>
        <v>0</v>
      </c>
      <c r="AK150" s="18">
        <f>'A) Base RI'!AE150</f>
        <v>0</v>
      </c>
      <c r="AL150" s="18">
        <f>'A) Base RI'!AF150</f>
        <v>0</v>
      </c>
      <c r="AM150" s="18">
        <f>'A) Base RI'!AG150</f>
        <v>0</v>
      </c>
      <c r="AN150" s="18">
        <f>'A) Base RI'!AH150</f>
        <v>0</v>
      </c>
      <c r="AO150" s="18">
        <f>'A) Base RI'!AI150</f>
        <v>0</v>
      </c>
      <c r="AP150" s="18">
        <f>'A) Base RI'!AJ150</f>
        <v>0</v>
      </c>
      <c r="AQ150" s="18">
        <f>'A) Base RI'!AK150</f>
        <v>0</v>
      </c>
      <c r="AR150" s="18">
        <f>'A) Base RI'!AN150</f>
        <v>653</v>
      </c>
    </row>
    <row r="151" spans="1:44" x14ac:dyDescent="0.25">
      <c r="A151" s="13">
        <f>'A) Base RI'!A151</f>
        <v>5642</v>
      </c>
      <c r="B151" s="62" t="str">
        <f>'A) Base RI'!B151</f>
        <v>Morges</v>
      </c>
      <c r="C151" s="18">
        <f>'A) Base RI'!C151+'A) Base RI'!D151</f>
        <v>37950250.219999999</v>
      </c>
      <c r="D151" s="18">
        <f>'A) Base RI'!AO151</f>
        <v>-775788.6</v>
      </c>
      <c r="E151" s="61">
        <f>'A) Base RI'!AP151</f>
        <v>0</v>
      </c>
      <c r="F151" s="61">
        <f>'A) Base RI'!AQ151</f>
        <v>-18858.62</v>
      </c>
      <c r="G151" s="4">
        <f t="shared" si="12"/>
        <v>37155603</v>
      </c>
      <c r="H151" s="18">
        <f>'A) Base RI'!E151</f>
        <v>0</v>
      </c>
      <c r="I151" s="18">
        <f>'A) Base RI'!F151</f>
        <v>0</v>
      </c>
      <c r="J151" s="18">
        <f>'A) Base RI'!G151+'A) Base RI'!H151</f>
        <v>6071627.7000000002</v>
      </c>
      <c r="K151" s="18">
        <f>'A) Base RI'!I151</f>
        <v>408543.63</v>
      </c>
      <c r="L151" s="18">
        <f>'A) Base RI'!J151</f>
        <v>2543109.54</v>
      </c>
      <c r="M151" s="18">
        <f>'A) Base RI'!K151</f>
        <v>285257</v>
      </c>
      <c r="N151" s="18">
        <f>'A) Base RI'!Q151</f>
        <v>185401.12</v>
      </c>
      <c r="O151" s="18">
        <f t="shared" si="13"/>
        <v>2832359.35</v>
      </c>
      <c r="P151" s="18">
        <f>'A) Base RI'!L151</f>
        <v>2832359.35</v>
      </c>
      <c r="Q151" s="64">
        <f>'A) Base RI'!AR151</f>
        <v>1</v>
      </c>
      <c r="R151" s="4">
        <f t="shared" si="14"/>
        <v>49481901.340000004</v>
      </c>
      <c r="S151" s="63">
        <f>'A) Base RI'!AM151</f>
        <v>68.5</v>
      </c>
      <c r="T151" s="4">
        <f t="shared" si="15"/>
        <v>46364284.990000002</v>
      </c>
      <c r="U151" s="4">
        <f t="shared" si="16"/>
        <v>722363.52321167884</v>
      </c>
      <c r="V151" s="18">
        <f>'A) Base RI'!O151</f>
        <v>2404812.1</v>
      </c>
      <c r="W151" s="18">
        <f>'A) Base RI'!P151</f>
        <v>1728217.45</v>
      </c>
      <c r="X151" s="18">
        <f>'A) Base RI'!R151</f>
        <v>606646.6</v>
      </c>
      <c r="Y151" s="4">
        <f t="shared" si="17"/>
        <v>4739676.1499999994</v>
      </c>
      <c r="Z151" s="18">
        <f>'A) Base RI'!N151</f>
        <v>1159592.3999999999</v>
      </c>
      <c r="AA151" s="18">
        <f>'A) Base RI'!S151+'A) Base RI'!T151</f>
        <v>66245</v>
      </c>
      <c r="AB151" s="18">
        <f>'A) Base RI'!U151</f>
        <v>42080</v>
      </c>
      <c r="AC151" s="18">
        <f>'A) Base RI'!V151</f>
        <v>0</v>
      </c>
      <c r="AD151" s="18">
        <f>'A) Base RI'!W151</f>
        <v>0</v>
      </c>
      <c r="AE151" s="18">
        <f>'A) Base RI'!Y151</f>
        <v>162583.04999999999</v>
      </c>
      <c r="AF151" s="18">
        <f>'A) Base RI'!Z151</f>
        <v>0</v>
      </c>
      <c r="AG151" s="18">
        <f>'A) Base RI'!AA151</f>
        <v>4115968.55</v>
      </c>
      <c r="AH151" s="18">
        <f>'A) Base RI'!AB151</f>
        <v>0</v>
      </c>
      <c r="AI151" s="18">
        <f>'A) Base RI'!AC151</f>
        <v>2133665.7999999998</v>
      </c>
      <c r="AJ151" s="18">
        <f>'A) Base RI'!AD151</f>
        <v>162399.15</v>
      </c>
      <c r="AK151" s="18">
        <f>'A) Base RI'!AE151</f>
        <v>0</v>
      </c>
      <c r="AL151" s="18">
        <f>'A) Base RI'!AF151</f>
        <v>0</v>
      </c>
      <c r="AM151" s="18">
        <f>'A) Base RI'!AG151</f>
        <v>225223</v>
      </c>
      <c r="AN151" s="18">
        <f>'A) Base RI'!AH151</f>
        <v>0</v>
      </c>
      <c r="AO151" s="18">
        <f>'A) Base RI'!AI151</f>
        <v>0</v>
      </c>
      <c r="AP151" s="18">
        <f>'A) Base RI'!AJ151</f>
        <v>0</v>
      </c>
      <c r="AQ151" s="18">
        <f>'A) Base RI'!AK151</f>
        <v>0</v>
      </c>
      <c r="AR151" s="18">
        <f>'A) Base RI'!AN151</f>
        <v>15401</v>
      </c>
    </row>
    <row r="152" spans="1:44" x14ac:dyDescent="0.25">
      <c r="A152" s="13">
        <f>'A) Base RI'!A152</f>
        <v>5643</v>
      </c>
      <c r="B152" s="62" t="str">
        <f>'A) Base RI'!B152</f>
        <v>Préverenges</v>
      </c>
      <c r="C152" s="18">
        <f>'A) Base RI'!C152+'A) Base RI'!D152</f>
        <v>14382394.24</v>
      </c>
      <c r="D152" s="18">
        <f>'A) Base RI'!AO152</f>
        <v>-158784.22</v>
      </c>
      <c r="E152" s="61">
        <f>'A) Base RI'!AP152</f>
        <v>0</v>
      </c>
      <c r="F152" s="61">
        <f>'A) Base RI'!AQ152</f>
        <v>-4805.84</v>
      </c>
      <c r="G152" s="4">
        <f t="shared" si="12"/>
        <v>14218804.18</v>
      </c>
      <c r="H152" s="18">
        <f>'A) Base RI'!E152</f>
        <v>0</v>
      </c>
      <c r="I152" s="18">
        <f>'A) Base RI'!F152</f>
        <v>0</v>
      </c>
      <c r="J152" s="18">
        <f>'A) Base RI'!G152+'A) Base RI'!H152</f>
        <v>856112.65</v>
      </c>
      <c r="K152" s="18">
        <f>'A) Base RI'!I152</f>
        <v>595480.65</v>
      </c>
      <c r="L152" s="18">
        <f>'A) Base RI'!J152</f>
        <v>263156.17</v>
      </c>
      <c r="M152" s="18">
        <f>'A) Base RI'!K152</f>
        <v>57289.5</v>
      </c>
      <c r="N152" s="18">
        <f>'A) Base RI'!Q152</f>
        <v>9351.92</v>
      </c>
      <c r="O152" s="18">
        <f t="shared" si="13"/>
        <v>1018020.3</v>
      </c>
      <c r="P152" s="18">
        <f>'A) Base RI'!L152</f>
        <v>1018020.3</v>
      </c>
      <c r="Q152" s="64">
        <f>'A) Base RI'!AR152</f>
        <v>1</v>
      </c>
      <c r="R152" s="4">
        <f t="shared" si="14"/>
        <v>17018215.370000001</v>
      </c>
      <c r="S152" s="63">
        <f>'A) Base RI'!AM152</f>
        <v>64</v>
      </c>
      <c r="T152" s="4">
        <f t="shared" si="15"/>
        <v>15942905.57</v>
      </c>
      <c r="U152" s="4">
        <f t="shared" si="16"/>
        <v>265909.61515625002</v>
      </c>
      <c r="V152" s="18">
        <f>'A) Base RI'!O152</f>
        <v>87795.7</v>
      </c>
      <c r="W152" s="18">
        <f>'A) Base RI'!P152</f>
        <v>919753.95</v>
      </c>
      <c r="X152" s="18">
        <f>'A) Base RI'!R152</f>
        <v>1325444.3</v>
      </c>
      <c r="Y152" s="4">
        <f t="shared" si="17"/>
        <v>2332993.9500000002</v>
      </c>
      <c r="Z152" s="18">
        <f>'A) Base RI'!N152</f>
        <v>135457.95000000001</v>
      </c>
      <c r="AA152" s="18">
        <f>'A) Base RI'!S152+'A) Base RI'!T152</f>
        <v>3385</v>
      </c>
      <c r="AB152" s="18">
        <f>'A) Base RI'!U152</f>
        <v>17370</v>
      </c>
      <c r="AC152" s="18">
        <f>'A) Base RI'!V152</f>
        <v>0</v>
      </c>
      <c r="AD152" s="18">
        <f>'A) Base RI'!W152</f>
        <v>0</v>
      </c>
      <c r="AE152" s="18">
        <f>'A) Base RI'!Y152</f>
        <v>88232.55</v>
      </c>
      <c r="AF152" s="18">
        <f>'A) Base RI'!Z152</f>
        <v>0</v>
      </c>
      <c r="AG152" s="18">
        <f>'A) Base RI'!AA152</f>
        <v>846612.89</v>
      </c>
      <c r="AH152" s="18">
        <f>'A) Base RI'!AB152</f>
        <v>0</v>
      </c>
      <c r="AI152" s="18">
        <f>'A) Base RI'!AC152</f>
        <v>403416.6</v>
      </c>
      <c r="AJ152" s="18">
        <f>'A) Base RI'!AD152</f>
        <v>0</v>
      </c>
      <c r="AK152" s="18">
        <f>'A) Base RI'!AE152</f>
        <v>0</v>
      </c>
      <c r="AL152" s="18">
        <f>'A) Base RI'!AF152</f>
        <v>0</v>
      </c>
      <c r="AM152" s="18">
        <f>'A) Base RI'!AG152</f>
        <v>0</v>
      </c>
      <c r="AN152" s="18">
        <f>'A) Base RI'!AH152</f>
        <v>139701.85</v>
      </c>
      <c r="AO152" s="18">
        <f>'A) Base RI'!AI152</f>
        <v>0</v>
      </c>
      <c r="AP152" s="18">
        <f>'A) Base RI'!AJ152</f>
        <v>0</v>
      </c>
      <c r="AQ152" s="18">
        <f>'A) Base RI'!AK152</f>
        <v>0</v>
      </c>
      <c r="AR152" s="18">
        <f>'A) Base RI'!AN152</f>
        <v>5184</v>
      </c>
    </row>
    <row r="153" spans="1:44" x14ac:dyDescent="0.25">
      <c r="A153" s="13">
        <f>'A) Base RI'!A153</f>
        <v>5644</v>
      </c>
      <c r="B153" s="62" t="str">
        <f>'A) Base RI'!B153</f>
        <v>Reverolle</v>
      </c>
      <c r="C153" s="18">
        <f>'A) Base RI'!C153+'A) Base RI'!D153</f>
        <v>1073892.18</v>
      </c>
      <c r="D153" s="18">
        <f>'A) Base RI'!AO153</f>
        <v>-20733.689999999999</v>
      </c>
      <c r="E153" s="61">
        <f>'A) Base RI'!AP153</f>
        <v>0</v>
      </c>
      <c r="F153" s="61">
        <f>'A) Base RI'!AQ153</f>
        <v>0</v>
      </c>
      <c r="G153" s="4">
        <f t="shared" si="12"/>
        <v>1053158.49</v>
      </c>
      <c r="H153" s="18">
        <f>'A) Base RI'!E153</f>
        <v>0</v>
      </c>
      <c r="I153" s="18">
        <f>'A) Base RI'!F153</f>
        <v>0</v>
      </c>
      <c r="J153" s="18">
        <f>'A) Base RI'!G153+'A) Base RI'!H153</f>
        <v>10950.55</v>
      </c>
      <c r="K153" s="18">
        <f>'A) Base RI'!I153</f>
        <v>0</v>
      </c>
      <c r="L153" s="18">
        <f>'A) Base RI'!J153</f>
        <v>35992.800000000003</v>
      </c>
      <c r="M153" s="18">
        <f>'A) Base RI'!K153</f>
        <v>23.5</v>
      </c>
      <c r="N153" s="18">
        <f>'A) Base RI'!Q153</f>
        <v>1767.59</v>
      </c>
      <c r="O153" s="18">
        <f t="shared" si="13"/>
        <v>58634.35</v>
      </c>
      <c r="P153" s="18">
        <f>'A) Base RI'!L153</f>
        <v>58634.35</v>
      </c>
      <c r="Q153" s="64">
        <f>'A) Base RI'!AR153</f>
        <v>1</v>
      </c>
      <c r="R153" s="4">
        <f t="shared" si="14"/>
        <v>1160527.2800000003</v>
      </c>
      <c r="S153" s="63">
        <f>'A) Base RI'!AM153</f>
        <v>78</v>
      </c>
      <c r="T153" s="4">
        <f t="shared" si="15"/>
        <v>1101869.4300000002</v>
      </c>
      <c r="U153" s="4">
        <f t="shared" si="16"/>
        <v>14878.554871794875</v>
      </c>
      <c r="V153" s="18">
        <v>0</v>
      </c>
      <c r="W153" s="18">
        <f>'A) Base RI'!P153</f>
        <v>40181.9</v>
      </c>
      <c r="X153" s="18">
        <v>0</v>
      </c>
      <c r="Y153" s="4">
        <f t="shared" si="17"/>
        <v>40181.9</v>
      </c>
      <c r="Z153" s="18">
        <f>'A) Base RI'!N153</f>
        <v>5586.45</v>
      </c>
      <c r="AA153" s="18">
        <f>'A) Base RI'!S153+'A) Base RI'!T153</f>
        <v>660</v>
      </c>
      <c r="AB153" s="18">
        <f>'A) Base RI'!U153</f>
        <v>2500</v>
      </c>
      <c r="AC153" s="18">
        <f>'A) Base RI'!V153</f>
        <v>151.19999999999999</v>
      </c>
      <c r="AD153" s="18">
        <f>'A) Base RI'!W153</f>
        <v>0</v>
      </c>
      <c r="AE153" s="18">
        <f>'A) Base RI'!Y153</f>
        <v>22854</v>
      </c>
      <c r="AF153" s="18">
        <f>'A) Base RI'!Z153</f>
        <v>0</v>
      </c>
      <c r="AG153" s="18">
        <f>'A) Base RI'!AA153</f>
        <v>57916.3</v>
      </c>
      <c r="AH153" s="18">
        <f>'A) Base RI'!AB153</f>
        <v>0</v>
      </c>
      <c r="AI153" s="18">
        <f>'A) Base RI'!AC153</f>
        <v>29980</v>
      </c>
      <c r="AJ153" s="18">
        <f>'A) Base RI'!AD153</f>
        <v>16170</v>
      </c>
      <c r="AK153" s="18">
        <f>'A) Base RI'!AE153</f>
        <v>0</v>
      </c>
      <c r="AL153" s="18">
        <f>'A) Base RI'!AF153</f>
        <v>0</v>
      </c>
      <c r="AM153" s="18">
        <f>'A) Base RI'!AG153</f>
        <v>0</v>
      </c>
      <c r="AN153" s="18">
        <f>'A) Base RI'!AH153</f>
        <v>7973.5</v>
      </c>
      <c r="AO153" s="18">
        <f>'A) Base RI'!AI153</f>
        <v>0</v>
      </c>
      <c r="AP153" s="18">
        <f>'A) Base RI'!AJ153</f>
        <v>0</v>
      </c>
      <c r="AQ153" s="18">
        <f>'A) Base RI'!AK153</f>
        <v>0</v>
      </c>
      <c r="AR153" s="18">
        <f>'A) Base RI'!AN153</f>
        <v>356</v>
      </c>
    </row>
    <row r="154" spans="1:44" x14ac:dyDescent="0.25">
      <c r="A154" s="13">
        <f>'A) Base RI'!A154</f>
        <v>5645</v>
      </c>
      <c r="B154" s="62" t="str">
        <f>'A) Base RI'!B154</f>
        <v>Romanel-sur-Morges</v>
      </c>
      <c r="C154" s="18">
        <f>'A) Base RI'!C154+'A) Base RI'!D154</f>
        <v>1075281.5</v>
      </c>
      <c r="D154" s="18">
        <f>'A) Base RI'!AO154</f>
        <v>-3945.88</v>
      </c>
      <c r="E154" s="61">
        <f>'A) Base RI'!AP154</f>
        <v>0</v>
      </c>
      <c r="F154" s="61">
        <f>'A) Base RI'!AQ154</f>
        <v>-136.16999999999999</v>
      </c>
      <c r="G154" s="4">
        <f t="shared" si="12"/>
        <v>1071199.4500000002</v>
      </c>
      <c r="H154" s="18">
        <f>'A) Base RI'!E154</f>
        <v>0</v>
      </c>
      <c r="I154" s="18">
        <f>'A) Base RI'!F154</f>
        <v>0</v>
      </c>
      <c r="J154" s="18">
        <f>'A) Base RI'!G154+'A) Base RI'!H154</f>
        <v>145015</v>
      </c>
      <c r="K154" s="18">
        <f>'A) Base RI'!I154</f>
        <v>0</v>
      </c>
      <c r="L154" s="18">
        <f>'A) Base RI'!J154</f>
        <v>43747.93</v>
      </c>
      <c r="M154" s="18">
        <f>'A) Base RI'!K154</f>
        <v>7713.5</v>
      </c>
      <c r="N154" s="18">
        <f>'A) Base RI'!Q154</f>
        <v>532</v>
      </c>
      <c r="O154" s="18">
        <f t="shared" si="13"/>
        <v>134692.1875</v>
      </c>
      <c r="P154" s="18">
        <f>'A) Base RI'!L154</f>
        <v>107753.75</v>
      </c>
      <c r="Q154" s="64">
        <f>'A) Base RI'!AR154</f>
        <v>0.8</v>
      </c>
      <c r="R154" s="4">
        <f t="shared" si="14"/>
        <v>1402900.0675000001</v>
      </c>
      <c r="S154" s="63">
        <f>'A) Base RI'!AM154</f>
        <v>56</v>
      </c>
      <c r="T154" s="4">
        <f t="shared" si="15"/>
        <v>1260494.3800000001</v>
      </c>
      <c r="U154" s="4">
        <f t="shared" si="16"/>
        <v>25051.786919642858</v>
      </c>
      <c r="V154" s="18">
        <v>0</v>
      </c>
      <c r="W154" s="18">
        <f>'A) Base RI'!P154</f>
        <v>121723.95</v>
      </c>
      <c r="X154" s="18">
        <f>'A) Base RI'!R154</f>
        <v>28476.55</v>
      </c>
      <c r="Y154" s="4">
        <f t="shared" si="17"/>
        <v>150200.5</v>
      </c>
      <c r="Z154" s="18">
        <f>'A) Base RI'!N154</f>
        <v>52238.05</v>
      </c>
      <c r="AA154" s="18">
        <f>'A) Base RI'!S154+'A) Base RI'!T154</f>
        <v>0</v>
      </c>
      <c r="AB154" s="18">
        <f>'A) Base RI'!U154</f>
        <v>850</v>
      </c>
      <c r="AC154" s="18">
        <f>'A) Base RI'!V154</f>
        <v>0</v>
      </c>
      <c r="AD154" s="18">
        <f>'A) Base RI'!W154</f>
        <v>0</v>
      </c>
      <c r="AE154" s="18">
        <f>'A) Base RI'!Y154</f>
        <v>16000</v>
      </c>
      <c r="AF154" s="18">
        <f>'A) Base RI'!Z154</f>
        <v>0</v>
      </c>
      <c r="AG154" s="18">
        <f>'A) Base RI'!AA154</f>
        <v>89772.05</v>
      </c>
      <c r="AH154" s="18">
        <f>'A) Base RI'!AB154</f>
        <v>0</v>
      </c>
      <c r="AI154" s="18">
        <f>'A) Base RI'!AC154</f>
        <v>41746.15</v>
      </c>
      <c r="AJ154" s="18">
        <f>'A) Base RI'!AD154</f>
        <v>0</v>
      </c>
      <c r="AK154" s="18">
        <f>'A) Base RI'!AE154</f>
        <v>0</v>
      </c>
      <c r="AL154" s="18">
        <f>'A) Base RI'!AF154</f>
        <v>0</v>
      </c>
      <c r="AM154" s="18">
        <f>'A) Base RI'!AG154</f>
        <v>0</v>
      </c>
      <c r="AN154" s="18">
        <f>'A) Base RI'!AH154</f>
        <v>27117.85</v>
      </c>
      <c r="AO154" s="18">
        <f>'A) Base RI'!AI154</f>
        <v>0</v>
      </c>
      <c r="AP154" s="18">
        <f>'A) Base RI'!AJ154</f>
        <v>0</v>
      </c>
      <c r="AQ154" s="18">
        <f>'A) Base RI'!AK154</f>
        <v>0</v>
      </c>
      <c r="AR154" s="18">
        <f>'A) Base RI'!AN154</f>
        <v>435</v>
      </c>
    </row>
    <row r="155" spans="1:44" x14ac:dyDescent="0.25">
      <c r="A155" s="13">
        <f>'A) Base RI'!A155</f>
        <v>5646</v>
      </c>
      <c r="B155" s="62" t="str">
        <f>'A) Base RI'!B155</f>
        <v>Saint-Prex</v>
      </c>
      <c r="C155" s="18">
        <f>'A) Base RI'!C155+'A) Base RI'!D155</f>
        <v>13262062.57</v>
      </c>
      <c r="D155" s="18">
        <f>'A) Base RI'!AO155</f>
        <v>-210576.39</v>
      </c>
      <c r="E155" s="61">
        <f>'A) Base RI'!AP155</f>
        <v>0</v>
      </c>
      <c r="F155" s="61">
        <f>'A) Base RI'!AQ155</f>
        <v>-14221.49</v>
      </c>
      <c r="G155" s="4">
        <f t="shared" si="12"/>
        <v>13037264.689999999</v>
      </c>
      <c r="H155" s="18">
        <f>'A) Base RI'!E155</f>
        <v>0</v>
      </c>
      <c r="I155" s="18">
        <f>'A) Base RI'!F155</f>
        <v>0</v>
      </c>
      <c r="J155" s="18">
        <f>'A) Base RI'!G155+'A) Base RI'!H155</f>
        <v>5216233.5999999996</v>
      </c>
      <c r="K155" s="18">
        <f>'A) Base RI'!I155</f>
        <v>414133.9</v>
      </c>
      <c r="L155" s="18">
        <f>'A) Base RI'!J155</f>
        <v>421645</v>
      </c>
      <c r="M155" s="18">
        <f>'A) Base RI'!K155</f>
        <v>112174</v>
      </c>
      <c r="N155" s="18">
        <f>'A) Base RI'!Q155</f>
        <v>73304.25</v>
      </c>
      <c r="O155" s="18">
        <f t="shared" si="13"/>
        <v>1379193.95</v>
      </c>
      <c r="P155" s="18">
        <f>'A) Base RI'!L155</f>
        <v>1379193.95</v>
      </c>
      <c r="Q155" s="64">
        <f>'A) Base RI'!AR155</f>
        <v>1</v>
      </c>
      <c r="R155" s="4">
        <f t="shared" si="14"/>
        <v>20653949.389999997</v>
      </c>
      <c r="S155" s="63">
        <f>'A) Base RI'!AM155</f>
        <v>55</v>
      </c>
      <c r="T155" s="4">
        <f t="shared" si="15"/>
        <v>19162581.439999998</v>
      </c>
      <c r="U155" s="4">
        <f t="shared" si="16"/>
        <v>375526.35254545452</v>
      </c>
      <c r="V155" s="18">
        <f>'A) Base RI'!O155</f>
        <v>7970330.2000000002</v>
      </c>
      <c r="W155" s="18">
        <f>'A) Base RI'!P155</f>
        <v>1005449.6</v>
      </c>
      <c r="X155" s="18">
        <f>'A) Base RI'!R155</f>
        <v>772397.75</v>
      </c>
      <c r="Y155" s="4">
        <f t="shared" si="17"/>
        <v>9748177.5500000007</v>
      </c>
      <c r="Z155" s="18">
        <f>'A) Base RI'!N155</f>
        <v>356352.95</v>
      </c>
      <c r="AA155" s="18">
        <f>'A) Base RI'!S155+'A) Base RI'!T155</f>
        <v>4095</v>
      </c>
      <c r="AB155" s="18">
        <f>'A) Base RI'!U155</f>
        <v>41250</v>
      </c>
      <c r="AC155" s="18">
        <f>'A) Base RI'!V155</f>
        <v>0</v>
      </c>
      <c r="AD155" s="18">
        <f>'A) Base RI'!W155</f>
        <v>0</v>
      </c>
      <c r="AE155" s="18">
        <f>'A) Base RI'!Y155</f>
        <v>192266.38</v>
      </c>
      <c r="AF155" s="18">
        <f>'A) Base RI'!Z155</f>
        <v>0</v>
      </c>
      <c r="AG155" s="18">
        <f>'A) Base RI'!AA155</f>
        <v>848018.01</v>
      </c>
      <c r="AH155" s="18">
        <f>'A) Base RI'!AB155</f>
        <v>0</v>
      </c>
      <c r="AI155" s="18">
        <f>'A) Base RI'!AC155</f>
        <v>532044.1</v>
      </c>
      <c r="AJ155" s="18">
        <f>'A) Base RI'!AD155</f>
        <v>68182.92</v>
      </c>
      <c r="AK155" s="18">
        <f>'A) Base RI'!AE155</f>
        <v>0</v>
      </c>
      <c r="AL155" s="18">
        <f>'A) Base RI'!AF155</f>
        <v>0</v>
      </c>
      <c r="AM155" s="18">
        <f>'A) Base RI'!AG155</f>
        <v>3464.3</v>
      </c>
      <c r="AN155" s="18">
        <f>'A) Base RI'!AH155</f>
        <v>0</v>
      </c>
      <c r="AO155" s="18">
        <f>'A) Base RI'!AI155</f>
        <v>0</v>
      </c>
      <c r="AP155" s="18">
        <f>'A) Base RI'!AJ155</f>
        <v>0</v>
      </c>
      <c r="AQ155" s="18">
        <f>'A) Base RI'!AK155</f>
        <v>0</v>
      </c>
      <c r="AR155" s="18">
        <f>'A) Base RI'!AN155</f>
        <v>5447</v>
      </c>
    </row>
    <row r="156" spans="1:44" x14ac:dyDescent="0.25">
      <c r="A156" s="13">
        <f>'A) Base RI'!A156</f>
        <v>5648</v>
      </c>
      <c r="B156" s="62" t="str">
        <f>'A) Base RI'!B156</f>
        <v>Saint-Sulpice</v>
      </c>
      <c r="C156" s="18">
        <f>'A) Base RI'!C156+'A) Base RI'!D156</f>
        <v>13393996.18</v>
      </c>
      <c r="D156" s="18">
        <f>'A) Base RI'!AO156</f>
        <v>-123894</v>
      </c>
      <c r="E156" s="61">
        <f>'A) Base RI'!AP156</f>
        <v>0</v>
      </c>
      <c r="F156" s="61">
        <f>'A) Base RI'!AQ156</f>
        <v>0</v>
      </c>
      <c r="G156" s="4">
        <f t="shared" si="12"/>
        <v>13270102.18</v>
      </c>
      <c r="H156" s="18">
        <f>'A) Base RI'!E156</f>
        <v>0</v>
      </c>
      <c r="I156" s="18">
        <f>'A) Base RI'!F156</f>
        <v>0</v>
      </c>
      <c r="J156" s="18">
        <f>'A) Base RI'!G156+'A) Base RI'!H156</f>
        <v>961068.19000000006</v>
      </c>
      <c r="K156" s="18">
        <f>'A) Base RI'!I156</f>
        <v>477621.12</v>
      </c>
      <c r="L156" s="18">
        <f>'A) Base RI'!J156</f>
        <v>212461</v>
      </c>
      <c r="M156" s="18">
        <f>'A) Base RI'!K156</f>
        <v>50937</v>
      </c>
      <c r="N156" s="18">
        <f>'A) Base RI'!Q156</f>
        <v>28567.93</v>
      </c>
      <c r="O156" s="18">
        <f t="shared" si="13"/>
        <v>951232.8125</v>
      </c>
      <c r="P156" s="18">
        <f>'A) Base RI'!L156</f>
        <v>760986.25</v>
      </c>
      <c r="Q156" s="64">
        <f>'A) Base RI'!AR156</f>
        <v>0.8</v>
      </c>
      <c r="R156" s="4">
        <f t="shared" si="14"/>
        <v>15951990.232499998</v>
      </c>
      <c r="S156" s="63">
        <f>'A) Base RI'!AM156</f>
        <v>55</v>
      </c>
      <c r="T156" s="4">
        <f t="shared" si="15"/>
        <v>14949820.419999998</v>
      </c>
      <c r="U156" s="4">
        <f t="shared" si="16"/>
        <v>290036.18604545452</v>
      </c>
      <c r="V156" s="18">
        <f>'A) Base RI'!O156</f>
        <v>126288.8</v>
      </c>
      <c r="W156" s="18">
        <f>'A) Base RI'!P156</f>
        <v>1191692.6299999999</v>
      </c>
      <c r="X156" s="18">
        <f>'A) Base RI'!R156</f>
        <v>362830.85</v>
      </c>
      <c r="Y156" s="4">
        <f t="shared" si="17"/>
        <v>1680812.2799999998</v>
      </c>
      <c r="Z156" s="18">
        <f>'A) Base RI'!N156</f>
        <v>67714.899999999994</v>
      </c>
      <c r="AA156" s="18">
        <f>'A) Base RI'!S156+'A) Base RI'!T156</f>
        <v>0</v>
      </c>
      <c r="AB156" s="18">
        <f>'A) Base RI'!U156</f>
        <v>15850</v>
      </c>
      <c r="AC156" s="18">
        <f>'A) Base RI'!V156</f>
        <v>0</v>
      </c>
      <c r="AD156" s="18">
        <f>'A) Base RI'!W156</f>
        <v>0</v>
      </c>
      <c r="AE156" s="18">
        <f>'A) Base RI'!Y156</f>
        <v>783643.95</v>
      </c>
      <c r="AF156" s="18">
        <f>'A) Base RI'!Z156</f>
        <v>0</v>
      </c>
      <c r="AG156" s="18">
        <f>'A) Base RI'!AA156</f>
        <v>824451.25</v>
      </c>
      <c r="AH156" s="18">
        <f>'A) Base RI'!AB156</f>
        <v>0</v>
      </c>
      <c r="AI156" s="18">
        <f>'A) Base RI'!AC156</f>
        <v>322263.15000000002</v>
      </c>
      <c r="AJ156" s="18">
        <f>'A) Base RI'!AD156</f>
        <v>0</v>
      </c>
      <c r="AK156" s="18">
        <f>'A) Base RI'!AE156</f>
        <v>0</v>
      </c>
      <c r="AL156" s="18">
        <f>'A) Base RI'!AF156</f>
        <v>0</v>
      </c>
      <c r="AM156" s="18">
        <f>'A) Base RI'!AG156</f>
        <v>173219.3</v>
      </c>
      <c r="AN156" s="18">
        <f>'A) Base RI'!AH156</f>
        <v>120976.01</v>
      </c>
      <c r="AO156" s="18">
        <f>'A) Base RI'!AI156</f>
        <v>0</v>
      </c>
      <c r="AP156" s="18">
        <f>'A) Base RI'!AJ156</f>
        <v>0</v>
      </c>
      <c r="AQ156" s="18">
        <f>'A) Base RI'!AK156</f>
        <v>0</v>
      </c>
      <c r="AR156" s="18">
        <f>'A) Base RI'!AN156</f>
        <v>3463</v>
      </c>
    </row>
    <row r="157" spans="1:44" x14ac:dyDescent="0.25">
      <c r="A157" s="13">
        <f>'A) Base RI'!A157</f>
        <v>5649</v>
      </c>
      <c r="B157" s="62" t="str">
        <f>'A) Base RI'!B157</f>
        <v>Tolochenaz</v>
      </c>
      <c r="C157" s="18">
        <f>'A) Base RI'!C157+'A) Base RI'!D157</f>
        <v>3797841.16</v>
      </c>
      <c r="D157" s="18">
        <f>'A) Base RI'!AO157</f>
        <v>-45211.86</v>
      </c>
      <c r="E157" s="61">
        <f>'A) Base RI'!AP157</f>
        <v>0</v>
      </c>
      <c r="F157" s="61">
        <f>'A) Base RI'!AQ157</f>
        <v>-831.63</v>
      </c>
      <c r="G157" s="4">
        <f t="shared" si="12"/>
        <v>3751797.6700000004</v>
      </c>
      <c r="H157" s="18">
        <f>'A) Base RI'!E157</f>
        <v>0</v>
      </c>
      <c r="I157" s="18">
        <f>'A) Base RI'!F157</f>
        <v>0</v>
      </c>
      <c r="J157" s="18">
        <f>'A) Base RI'!G157+'A) Base RI'!H157</f>
        <v>2172211.15</v>
      </c>
      <c r="K157" s="18">
        <f>'A) Base RI'!I157</f>
        <v>38501.599999999999</v>
      </c>
      <c r="L157" s="18">
        <f>'A) Base RI'!J157</f>
        <v>180574.52</v>
      </c>
      <c r="M157" s="18">
        <f>'A) Base RI'!K157</f>
        <v>44576</v>
      </c>
      <c r="N157" s="18">
        <f>'A) Base RI'!Q157</f>
        <v>13508.2</v>
      </c>
      <c r="O157" s="18">
        <f t="shared" si="13"/>
        <v>506938</v>
      </c>
      <c r="P157" s="18">
        <f>'A) Base RI'!L157</f>
        <v>506938</v>
      </c>
      <c r="Q157" s="64">
        <f>'A) Base RI'!AR157</f>
        <v>1</v>
      </c>
      <c r="R157" s="4">
        <f t="shared" si="14"/>
        <v>6708107.1399999997</v>
      </c>
      <c r="S157" s="63">
        <f>'A) Base RI'!AM157</f>
        <v>65</v>
      </c>
      <c r="T157" s="4">
        <f t="shared" si="15"/>
        <v>6156593.1399999997</v>
      </c>
      <c r="U157" s="4">
        <f t="shared" si="16"/>
        <v>103201.6483076923</v>
      </c>
      <c r="V157" s="18">
        <f>'A) Base RI'!O157</f>
        <v>80173.8</v>
      </c>
      <c r="W157" s="18">
        <f>'A) Base RI'!P157</f>
        <v>299521.3</v>
      </c>
      <c r="X157" s="18">
        <f>'A) Base RI'!R157</f>
        <v>99039.95</v>
      </c>
      <c r="Y157" s="4">
        <f t="shared" si="17"/>
        <v>478735.05</v>
      </c>
      <c r="Z157" s="18">
        <f>'A) Base RI'!N157</f>
        <v>451792.15</v>
      </c>
      <c r="AA157" s="18">
        <f>'A) Base RI'!S157+'A) Base RI'!T157</f>
        <v>0</v>
      </c>
      <c r="AB157" s="18">
        <f>'A) Base RI'!U157</f>
        <v>2985</v>
      </c>
      <c r="AC157" s="18">
        <f>'A) Base RI'!V157</f>
        <v>0</v>
      </c>
      <c r="AD157" s="18">
        <f>'A) Base RI'!W157</f>
        <v>0</v>
      </c>
      <c r="AE157" s="18">
        <f>'A) Base RI'!Y157</f>
        <v>314622.55</v>
      </c>
      <c r="AF157" s="18">
        <f>'A) Base RI'!Z157</f>
        <v>0</v>
      </c>
      <c r="AG157" s="18">
        <f>'A) Base RI'!AA157</f>
        <v>432195.2</v>
      </c>
      <c r="AH157" s="18">
        <f>'A) Base RI'!AB157</f>
        <v>0</v>
      </c>
      <c r="AI157" s="18">
        <f>'A) Base RI'!AC157</f>
        <v>0</v>
      </c>
      <c r="AJ157" s="18">
        <f>'A) Base RI'!AD157</f>
        <v>0</v>
      </c>
      <c r="AK157" s="18">
        <f>'A) Base RI'!AE157</f>
        <v>0</v>
      </c>
      <c r="AL157" s="18">
        <f>'A) Base RI'!AF157</f>
        <v>0</v>
      </c>
      <c r="AM157" s="18">
        <f>'A) Base RI'!AG157</f>
        <v>0</v>
      </c>
      <c r="AN157" s="18">
        <f>'A) Base RI'!AH157</f>
        <v>127602.25</v>
      </c>
      <c r="AO157" s="18">
        <f>'A) Base RI'!AI157</f>
        <v>0</v>
      </c>
      <c r="AP157" s="18">
        <f>'A) Base RI'!AJ157</f>
        <v>0</v>
      </c>
      <c r="AQ157" s="18">
        <f>'A) Base RI'!AK157</f>
        <v>0</v>
      </c>
      <c r="AR157" s="18">
        <f>'A) Base RI'!AN157</f>
        <v>1812</v>
      </c>
    </row>
    <row r="158" spans="1:44" x14ac:dyDescent="0.25">
      <c r="A158" s="13">
        <f>'A) Base RI'!A158</f>
        <v>5650</v>
      </c>
      <c r="B158" s="62" t="str">
        <f>'A) Base RI'!B158</f>
        <v>Vaux-sur-Morges</v>
      </c>
      <c r="C158" s="18">
        <f>'A) Base RI'!C158+'A) Base RI'!D158</f>
        <v>6064368.5800000001</v>
      </c>
      <c r="D158" s="18">
        <f>'A) Base RI'!AO158</f>
        <v>-0.15</v>
      </c>
      <c r="E158" s="61">
        <f>'A) Base RI'!AP158</f>
        <v>0</v>
      </c>
      <c r="F158" s="61">
        <f>'A) Base RI'!AQ158</f>
        <v>0</v>
      </c>
      <c r="G158" s="4">
        <f t="shared" si="12"/>
        <v>6064368.4299999997</v>
      </c>
      <c r="H158" s="18">
        <f>'A) Base RI'!E158</f>
        <v>0</v>
      </c>
      <c r="I158" s="18">
        <f>'A) Base RI'!F158</f>
        <v>0</v>
      </c>
      <c r="J158" s="18">
        <f>'A) Base RI'!G158+'A) Base RI'!H158</f>
        <v>9994.2999999999993</v>
      </c>
      <c r="K158" s="18">
        <f>'A) Base RI'!I158</f>
        <v>0</v>
      </c>
      <c r="L158" s="18">
        <f>'A) Base RI'!J158</f>
        <v>15888.93</v>
      </c>
      <c r="M158" s="18">
        <f>'A) Base RI'!K158</f>
        <v>0</v>
      </c>
      <c r="N158" s="18">
        <f>'A) Base RI'!Q158</f>
        <v>0</v>
      </c>
      <c r="O158" s="18">
        <f t="shared" si="13"/>
        <v>41441.040000000001</v>
      </c>
      <c r="P158" s="18">
        <f>'A) Base RI'!L158</f>
        <v>51801.3</v>
      </c>
      <c r="Q158" s="64">
        <f>'A) Base RI'!AR158</f>
        <v>1.25</v>
      </c>
      <c r="R158" s="4">
        <f t="shared" si="14"/>
        <v>6131692.6999999993</v>
      </c>
      <c r="S158" s="63">
        <f>'A) Base RI'!AM158</f>
        <v>39</v>
      </c>
      <c r="T158" s="4">
        <f t="shared" si="15"/>
        <v>6090251.6599999992</v>
      </c>
      <c r="U158" s="4">
        <f t="shared" si="16"/>
        <v>157222.88974358974</v>
      </c>
      <c r="V158" s="18">
        <f>'A) Base RI'!O158</f>
        <v>145175</v>
      </c>
      <c r="W158" s="18">
        <f>'A) Base RI'!P158</f>
        <v>87.9</v>
      </c>
      <c r="X158" s="18">
        <f>'A) Base RI'!R158</f>
        <v>0</v>
      </c>
      <c r="Y158" s="4">
        <f t="shared" si="17"/>
        <v>145262.9</v>
      </c>
      <c r="Z158" s="18">
        <f>'A) Base RI'!N158</f>
        <v>0</v>
      </c>
      <c r="AA158" s="18">
        <f>'A) Base RI'!S158+'A) Base RI'!T158</f>
        <v>0</v>
      </c>
      <c r="AB158" s="18">
        <f>'A) Base RI'!U158</f>
        <v>465</v>
      </c>
      <c r="AC158" s="18">
        <f>'A) Base RI'!V158</f>
        <v>0</v>
      </c>
      <c r="AD158" s="18">
        <f>'A) Base RI'!W158</f>
        <v>0</v>
      </c>
      <c r="AE158" s="18">
        <f>'A) Base RI'!Y158</f>
        <v>-908.65</v>
      </c>
      <c r="AF158" s="18">
        <f>'A) Base RI'!Z158</f>
        <v>0</v>
      </c>
      <c r="AG158" s="18">
        <f>'A) Base RI'!AA158</f>
        <v>26250.05</v>
      </c>
      <c r="AH158" s="18">
        <f>'A) Base RI'!AB158</f>
        <v>0</v>
      </c>
      <c r="AI158" s="18">
        <f>'A) Base RI'!AC158</f>
        <v>20792.900000000001</v>
      </c>
      <c r="AJ158" s="18">
        <f>'A) Base RI'!AD158</f>
        <v>0</v>
      </c>
      <c r="AK158" s="18">
        <f>'A) Base RI'!AE158</f>
        <v>0</v>
      </c>
      <c r="AL158" s="18">
        <f>'A) Base RI'!AF158</f>
        <v>0</v>
      </c>
      <c r="AM158" s="18">
        <f>'A) Base RI'!AG158</f>
        <v>0</v>
      </c>
      <c r="AN158" s="18">
        <f>'A) Base RI'!AH158</f>
        <v>0</v>
      </c>
      <c r="AO158" s="18">
        <f>'A) Base RI'!AI158</f>
        <v>0</v>
      </c>
      <c r="AP158" s="18">
        <f>'A) Base RI'!AJ158</f>
        <v>0</v>
      </c>
      <c r="AQ158" s="18">
        <f>'A) Base RI'!AK158</f>
        <v>0</v>
      </c>
      <c r="AR158" s="18">
        <f>'A) Base RI'!AN158</f>
        <v>196</v>
      </c>
    </row>
    <row r="159" spans="1:44" x14ac:dyDescent="0.25">
      <c r="A159" s="13">
        <f>'A) Base RI'!A159</f>
        <v>5651</v>
      </c>
      <c r="B159" s="62" t="str">
        <f>'A) Base RI'!B159</f>
        <v>Villars-Sainte-Croix</v>
      </c>
      <c r="C159" s="18">
        <f>'A) Base RI'!C159+'A) Base RI'!D159</f>
        <v>1846396.73</v>
      </c>
      <c r="D159" s="18">
        <f>'A) Base RI'!AO159</f>
        <v>-16739.419999999998</v>
      </c>
      <c r="E159" s="61">
        <f>'A) Base RI'!AP159</f>
        <v>0</v>
      </c>
      <c r="F159" s="61">
        <f>'A) Base RI'!AQ159</f>
        <v>-6.29</v>
      </c>
      <c r="G159" s="4">
        <f t="shared" si="12"/>
        <v>1829651.02</v>
      </c>
      <c r="H159" s="18">
        <f>'A) Base RI'!E159</f>
        <v>0</v>
      </c>
      <c r="I159" s="18">
        <f>'A) Base RI'!F159</f>
        <v>0</v>
      </c>
      <c r="J159" s="18">
        <f>'A) Base RI'!G159+'A) Base RI'!H159</f>
        <v>680027.20000000007</v>
      </c>
      <c r="K159" s="18">
        <f>'A) Base RI'!I159</f>
        <v>0</v>
      </c>
      <c r="L159" s="18">
        <f>'A) Base RI'!J159</f>
        <v>86425.54</v>
      </c>
      <c r="M159" s="18">
        <f>'A) Base RI'!K159</f>
        <v>3406</v>
      </c>
      <c r="N159" s="18">
        <f>'A) Base RI'!Q159</f>
        <v>17018.73</v>
      </c>
      <c r="O159" s="18">
        <f t="shared" si="13"/>
        <v>198361.5</v>
      </c>
      <c r="P159" s="18">
        <f>'A) Base RI'!L159</f>
        <v>198361.5</v>
      </c>
      <c r="Q159" s="64">
        <f>'A) Base RI'!AR159</f>
        <v>1</v>
      </c>
      <c r="R159" s="4">
        <f t="shared" si="14"/>
        <v>2814889.99</v>
      </c>
      <c r="S159" s="63">
        <f>'A) Base RI'!AM159</f>
        <v>59</v>
      </c>
      <c r="T159" s="4">
        <f t="shared" si="15"/>
        <v>2613122.4900000002</v>
      </c>
      <c r="U159" s="4">
        <f t="shared" si="16"/>
        <v>47709.999830508481</v>
      </c>
      <c r="V159" s="18">
        <v>0</v>
      </c>
      <c r="W159" s="18">
        <f>'A) Base RI'!P159</f>
        <v>84206.15</v>
      </c>
      <c r="X159" s="18">
        <f>'A) Base RI'!R159</f>
        <v>5891.4</v>
      </c>
      <c r="Y159" s="4">
        <f t="shared" si="17"/>
        <v>90097.549999999988</v>
      </c>
      <c r="Z159" s="18">
        <f>'A) Base RI'!N159</f>
        <v>159281.15</v>
      </c>
      <c r="AA159" s="18">
        <f>'A) Base RI'!S159+'A) Base RI'!T159</f>
        <v>0</v>
      </c>
      <c r="AB159" s="18">
        <f>'A) Base RI'!U159</f>
        <v>3920</v>
      </c>
      <c r="AC159" s="18">
        <f>'A) Base RI'!V159</f>
        <v>0</v>
      </c>
      <c r="AD159" s="18">
        <f>'A) Base RI'!W159</f>
        <v>0</v>
      </c>
      <c r="AE159" s="18">
        <f>'A) Base RI'!Y159</f>
        <v>68031.8</v>
      </c>
      <c r="AF159" s="18">
        <f>'A) Base RI'!Z159</f>
        <v>0</v>
      </c>
      <c r="AG159" s="18">
        <f>'A) Base RI'!AA159</f>
        <v>87673.7</v>
      </c>
      <c r="AH159" s="18">
        <f>'A) Base RI'!AB159</f>
        <v>0</v>
      </c>
      <c r="AI159" s="18">
        <f>'A) Base RI'!AC159</f>
        <v>97865.3</v>
      </c>
      <c r="AJ159" s="18">
        <f>'A) Base RI'!AD159</f>
        <v>58680.55</v>
      </c>
      <c r="AK159" s="18">
        <f>'A) Base RI'!AE159</f>
        <v>0</v>
      </c>
      <c r="AL159" s="18">
        <f>'A) Base RI'!AF159</f>
        <v>0</v>
      </c>
      <c r="AM159" s="18">
        <f>'A) Base RI'!AG159</f>
        <v>0</v>
      </c>
      <c r="AN159" s="18">
        <f>'A) Base RI'!AH159</f>
        <v>0</v>
      </c>
      <c r="AO159" s="18">
        <f>'A) Base RI'!AI159</f>
        <v>0</v>
      </c>
      <c r="AP159" s="18">
        <f>'A) Base RI'!AJ159</f>
        <v>0</v>
      </c>
      <c r="AQ159" s="18">
        <f>'A) Base RI'!AK159</f>
        <v>0</v>
      </c>
      <c r="AR159" s="18">
        <f>'A) Base RI'!AN159</f>
        <v>673</v>
      </c>
    </row>
    <row r="160" spans="1:44" x14ac:dyDescent="0.25">
      <c r="A160" s="13">
        <f>'A) Base RI'!A160</f>
        <v>5652</v>
      </c>
      <c r="B160" s="62" t="str">
        <f>'A) Base RI'!B160</f>
        <v>Villars-sous-Yens</v>
      </c>
      <c r="C160" s="18">
        <f>'A) Base RI'!C160+'A) Base RI'!D160</f>
        <v>1739385.5599999998</v>
      </c>
      <c r="D160" s="18">
        <f>'A) Base RI'!AO160</f>
        <v>-5466.54</v>
      </c>
      <c r="E160" s="61">
        <f>'A) Base RI'!AP160</f>
        <v>0</v>
      </c>
      <c r="F160" s="61">
        <f>'A) Base RI'!AQ160</f>
        <v>-48.96</v>
      </c>
      <c r="G160" s="4">
        <f t="shared" si="12"/>
        <v>1733870.0599999998</v>
      </c>
      <c r="H160" s="18">
        <f>'A) Base RI'!E160</f>
        <v>0</v>
      </c>
      <c r="I160" s="18">
        <f>'A) Base RI'!F160</f>
        <v>0</v>
      </c>
      <c r="J160" s="18">
        <f>'A) Base RI'!G160+'A) Base RI'!H160</f>
        <v>-432.6</v>
      </c>
      <c r="K160" s="18">
        <f>'A) Base RI'!I160</f>
        <v>0</v>
      </c>
      <c r="L160" s="18">
        <f>'A) Base RI'!J160</f>
        <v>28918.65</v>
      </c>
      <c r="M160" s="18">
        <f>'A) Base RI'!K160</f>
        <v>661</v>
      </c>
      <c r="N160" s="18">
        <f>'A) Base RI'!Q160</f>
        <v>0</v>
      </c>
      <c r="O160" s="18">
        <f t="shared" si="13"/>
        <v>93407.916666666672</v>
      </c>
      <c r="P160" s="18">
        <f>'A) Base RI'!L160</f>
        <v>112089.5</v>
      </c>
      <c r="Q160" s="64">
        <f>'A) Base RI'!AR160</f>
        <v>1.2</v>
      </c>
      <c r="R160" s="4">
        <f t="shared" si="14"/>
        <v>1856425.0266666664</v>
      </c>
      <c r="S160" s="63">
        <f>'A) Base RI'!AM160</f>
        <v>76</v>
      </c>
      <c r="T160" s="4">
        <f t="shared" si="15"/>
        <v>1762356.1099999996</v>
      </c>
      <c r="U160" s="4">
        <f t="shared" si="16"/>
        <v>24426.645087719295</v>
      </c>
      <c r="V160" s="18">
        <v>0</v>
      </c>
      <c r="W160" s="18">
        <f>'A) Base RI'!P160</f>
        <v>34820.35</v>
      </c>
      <c r="X160" s="18">
        <f>'A) Base RI'!R160</f>
        <v>10584.75</v>
      </c>
      <c r="Y160" s="4">
        <f t="shared" si="17"/>
        <v>45405.1</v>
      </c>
      <c r="Z160" s="18">
        <f>'A) Base RI'!N160</f>
        <v>1152.3499999999999</v>
      </c>
      <c r="AA160" s="18">
        <f>'A) Base RI'!S160+'A) Base RI'!T160</f>
        <v>0</v>
      </c>
      <c r="AB160" s="18">
        <f>'A) Base RI'!U160</f>
        <v>3400</v>
      </c>
      <c r="AC160" s="18">
        <f>'A) Base RI'!V160</f>
        <v>0</v>
      </c>
      <c r="AD160" s="18">
        <f>'A) Base RI'!W160</f>
        <v>0</v>
      </c>
      <c r="AE160" s="18">
        <f>'A) Base RI'!Y160</f>
        <v>69360</v>
      </c>
      <c r="AF160" s="18">
        <f>'A) Base RI'!Z160</f>
        <v>-2568.15</v>
      </c>
      <c r="AG160" s="18">
        <f>'A) Base RI'!AA160</f>
        <v>76234.399999999994</v>
      </c>
      <c r="AH160" s="18">
        <f>'A) Base RI'!AB160</f>
        <v>0</v>
      </c>
      <c r="AI160" s="18">
        <f>'A) Base RI'!AC160</f>
        <v>38675</v>
      </c>
      <c r="AJ160" s="18">
        <f>'A) Base RI'!AD160</f>
        <v>0</v>
      </c>
      <c r="AK160" s="18">
        <f>'A) Base RI'!AE160</f>
        <v>0</v>
      </c>
      <c r="AL160" s="18">
        <f>'A) Base RI'!AF160</f>
        <v>0</v>
      </c>
      <c r="AM160" s="18">
        <f>'A) Base RI'!AG160</f>
        <v>0</v>
      </c>
      <c r="AN160" s="18">
        <f>'A) Base RI'!AH160</f>
        <v>0</v>
      </c>
      <c r="AO160" s="18">
        <f>'A) Base RI'!AI160</f>
        <v>0</v>
      </c>
      <c r="AP160" s="18">
        <f>'A) Base RI'!AJ160</f>
        <v>0</v>
      </c>
      <c r="AQ160" s="18">
        <f>'A) Base RI'!AK160</f>
        <v>0</v>
      </c>
      <c r="AR160" s="18">
        <f>'A) Base RI'!AN160</f>
        <v>570</v>
      </c>
    </row>
    <row r="161" spans="1:44" x14ac:dyDescent="0.25">
      <c r="A161" s="13">
        <f>'A) Base RI'!A161</f>
        <v>5653</v>
      </c>
      <c r="B161" s="62" t="str">
        <f>'A) Base RI'!B161</f>
        <v>Vufflens-le-Château</v>
      </c>
      <c r="C161" s="18">
        <f>'A) Base RI'!C161+'A) Base RI'!D161</f>
        <v>2608322.2799999998</v>
      </c>
      <c r="D161" s="18">
        <f>'A) Base RI'!AO161</f>
        <v>-26299.35</v>
      </c>
      <c r="E161" s="61">
        <f>'A) Base RI'!AP161</f>
        <v>0</v>
      </c>
      <c r="F161" s="61">
        <f>'A) Base RI'!AQ161</f>
        <v>-4943.21</v>
      </c>
      <c r="G161" s="4">
        <f t="shared" si="12"/>
        <v>2577079.7199999997</v>
      </c>
      <c r="H161" s="18">
        <f>'A) Base RI'!E161</f>
        <v>0</v>
      </c>
      <c r="I161" s="18">
        <f>'A) Base RI'!F161</f>
        <v>0</v>
      </c>
      <c r="J161" s="18">
        <f>'A) Base RI'!G161+'A) Base RI'!H161</f>
        <v>14677.5</v>
      </c>
      <c r="K161" s="18">
        <f>'A) Base RI'!I161</f>
        <v>167692.6</v>
      </c>
      <c r="L161" s="18">
        <f>'A) Base RI'!J161</f>
        <v>6972.55</v>
      </c>
      <c r="M161" s="18">
        <f>'A) Base RI'!K161</f>
        <v>2764.5</v>
      </c>
      <c r="N161" s="18">
        <f>'A) Base RI'!Q161</f>
        <v>0</v>
      </c>
      <c r="O161" s="18">
        <f t="shared" si="13"/>
        <v>212180.4375</v>
      </c>
      <c r="P161" s="18">
        <f>'A) Base RI'!L161</f>
        <v>169744.35</v>
      </c>
      <c r="Q161" s="64">
        <f>'A) Base RI'!AR161</f>
        <v>0.8</v>
      </c>
      <c r="R161" s="4">
        <f t="shared" si="14"/>
        <v>2981367.3074999996</v>
      </c>
      <c r="S161" s="63">
        <f>'A) Base RI'!AM161</f>
        <v>55</v>
      </c>
      <c r="T161" s="4">
        <f t="shared" si="15"/>
        <v>2766422.3699999996</v>
      </c>
      <c r="U161" s="4">
        <f t="shared" si="16"/>
        <v>54206.67831818181</v>
      </c>
      <c r="V161" s="18">
        <f>'A) Base RI'!O161</f>
        <v>105331.2</v>
      </c>
      <c r="W161" s="18">
        <f>'A) Base RI'!P161</f>
        <v>74745</v>
      </c>
      <c r="X161" s="18">
        <f>'A) Base RI'!R161</f>
        <v>31299.7</v>
      </c>
      <c r="Y161" s="4">
        <f t="shared" si="17"/>
        <v>211375.90000000002</v>
      </c>
      <c r="Z161" s="18">
        <f>'A) Base RI'!N161</f>
        <v>4508.5</v>
      </c>
      <c r="AA161" s="18">
        <f>'A) Base RI'!S161+'A) Base RI'!T161</f>
        <v>0</v>
      </c>
      <c r="AB161" s="18">
        <f>'A) Base RI'!U161</f>
        <v>6150</v>
      </c>
      <c r="AC161" s="18">
        <f>'A) Base RI'!V161</f>
        <v>0</v>
      </c>
      <c r="AD161" s="18">
        <f>'A) Base RI'!W161</f>
        <v>0</v>
      </c>
      <c r="AE161" s="18">
        <f>'A) Base RI'!Y161</f>
        <v>76598.100000000006</v>
      </c>
      <c r="AF161" s="18">
        <f>'A) Base RI'!Z161</f>
        <v>0</v>
      </c>
      <c r="AG161" s="18">
        <f>'A) Base RI'!AA161</f>
        <v>91300.25</v>
      </c>
      <c r="AH161" s="18">
        <f>'A) Base RI'!AB161</f>
        <v>0</v>
      </c>
      <c r="AI161" s="18">
        <f>'A) Base RI'!AC161</f>
        <v>44967</v>
      </c>
      <c r="AJ161" s="18">
        <f>'A) Base RI'!AD161</f>
        <v>0</v>
      </c>
      <c r="AK161" s="18">
        <f>'A) Base RI'!AE161</f>
        <v>0</v>
      </c>
      <c r="AL161" s="18">
        <f>'A) Base RI'!AF161</f>
        <v>0</v>
      </c>
      <c r="AM161" s="18">
        <f>'A) Base RI'!AG161</f>
        <v>0</v>
      </c>
      <c r="AN161" s="18">
        <f>'A) Base RI'!AH161</f>
        <v>0</v>
      </c>
      <c r="AO161" s="18">
        <f>'A) Base RI'!AI161</f>
        <v>0</v>
      </c>
      <c r="AP161" s="18">
        <f>'A) Base RI'!AJ161</f>
        <v>0</v>
      </c>
      <c r="AQ161" s="18">
        <f>'A) Base RI'!AK161</f>
        <v>0</v>
      </c>
      <c r="AR161" s="18">
        <f>'A) Base RI'!AN161</f>
        <v>825</v>
      </c>
    </row>
    <row r="162" spans="1:44" x14ac:dyDescent="0.25">
      <c r="A162" s="13">
        <f>'A) Base RI'!A162</f>
        <v>5654</v>
      </c>
      <c r="B162" s="62" t="str">
        <f>'A) Base RI'!B162</f>
        <v>Vullierens</v>
      </c>
      <c r="C162" s="18">
        <f>'A) Base RI'!C162+'A) Base RI'!D162</f>
        <v>1137496.74</v>
      </c>
      <c r="D162" s="18">
        <f>'A) Base RI'!AO162</f>
        <v>-43125.08</v>
      </c>
      <c r="E162" s="61">
        <f>'A) Base RI'!AP162</f>
        <v>0</v>
      </c>
      <c r="F162" s="61">
        <f>'A) Base RI'!AQ162</f>
        <v>-1182.44</v>
      </c>
      <c r="G162" s="4">
        <f t="shared" si="12"/>
        <v>1093189.22</v>
      </c>
      <c r="H162" s="18">
        <f>'A) Base RI'!E162</f>
        <v>0</v>
      </c>
      <c r="I162" s="18">
        <f>'A) Base RI'!F162</f>
        <v>0</v>
      </c>
      <c r="J162" s="18">
        <f>'A) Base RI'!G162+'A) Base RI'!H162</f>
        <v>15307.800000000001</v>
      </c>
      <c r="K162" s="18">
        <f>'A) Base RI'!I162</f>
        <v>0</v>
      </c>
      <c r="L162" s="18">
        <f>'A) Base RI'!J162</f>
        <v>8094.03</v>
      </c>
      <c r="M162" s="18">
        <f>'A) Base RI'!K162</f>
        <v>729</v>
      </c>
      <c r="N162" s="18">
        <f>'A) Base RI'!Q162</f>
        <v>8596.66</v>
      </c>
      <c r="O162" s="18">
        <f t="shared" si="13"/>
        <v>79511.05</v>
      </c>
      <c r="P162" s="18">
        <f>'A) Base RI'!L162</f>
        <v>79511.05</v>
      </c>
      <c r="Q162" s="64">
        <f>'A) Base RI'!AR162</f>
        <v>1</v>
      </c>
      <c r="R162" s="4">
        <f t="shared" si="14"/>
        <v>1205427.76</v>
      </c>
      <c r="S162" s="63">
        <f>'A) Base RI'!AM162</f>
        <v>76</v>
      </c>
      <c r="T162" s="4">
        <f t="shared" si="15"/>
        <v>1125187.71</v>
      </c>
      <c r="U162" s="4">
        <f t="shared" si="16"/>
        <v>15860.891578947369</v>
      </c>
      <c r="V162" s="18">
        <f>'A) Base RI'!O162</f>
        <v>10661.3</v>
      </c>
      <c r="W162" s="18">
        <f>'A) Base RI'!P162</f>
        <v>71113.55</v>
      </c>
      <c r="X162" s="18">
        <f>'A) Base RI'!R162</f>
        <v>52856.95</v>
      </c>
      <c r="Y162" s="4">
        <f t="shared" si="17"/>
        <v>134631.79999999999</v>
      </c>
      <c r="Z162" s="18">
        <f>'A) Base RI'!N162</f>
        <v>1120.5999999999999</v>
      </c>
      <c r="AA162" s="18">
        <f>'A) Base RI'!S162+'A) Base RI'!T162</f>
        <v>1985.1</v>
      </c>
      <c r="AB162" s="18">
        <f>'A) Base RI'!U162</f>
        <v>3000</v>
      </c>
      <c r="AC162" s="18">
        <f>'A) Base RI'!V162</f>
        <v>0</v>
      </c>
      <c r="AD162" s="18">
        <f>'A) Base RI'!W162</f>
        <v>0</v>
      </c>
      <c r="AE162" s="18">
        <f>'A) Base RI'!Y162</f>
        <v>31114.799999999999</v>
      </c>
      <c r="AF162" s="18">
        <f>'A) Base RI'!Z162</f>
        <v>0</v>
      </c>
      <c r="AG162" s="18">
        <f>'A) Base RI'!AA162</f>
        <v>126977.45</v>
      </c>
      <c r="AH162" s="18">
        <f>'A) Base RI'!AB162</f>
        <v>0</v>
      </c>
      <c r="AI162" s="18">
        <f>'A) Base RI'!AC162</f>
        <v>19516.75</v>
      </c>
      <c r="AJ162" s="18">
        <f>'A) Base RI'!AD162</f>
        <v>0</v>
      </c>
      <c r="AK162" s="18">
        <f>'A) Base RI'!AE162</f>
        <v>0</v>
      </c>
      <c r="AL162" s="18">
        <f>'A) Base RI'!AF162</f>
        <v>0</v>
      </c>
      <c r="AM162" s="18">
        <f>'A) Base RI'!AG162</f>
        <v>0</v>
      </c>
      <c r="AN162" s="18">
        <f>'A) Base RI'!AH162</f>
        <v>12176.9</v>
      </c>
      <c r="AO162" s="18">
        <f>'A) Base RI'!AI162</f>
        <v>0</v>
      </c>
      <c r="AP162" s="18">
        <f>'A) Base RI'!AJ162</f>
        <v>0</v>
      </c>
      <c r="AQ162" s="18">
        <f>'A) Base RI'!AK162</f>
        <v>0</v>
      </c>
      <c r="AR162" s="18">
        <f>'A) Base RI'!AN162</f>
        <v>457</v>
      </c>
    </row>
    <row r="163" spans="1:44" x14ac:dyDescent="0.25">
      <c r="A163" s="13">
        <f>'A) Base RI'!A163</f>
        <v>5655</v>
      </c>
      <c r="B163" s="62" t="str">
        <f>'A) Base RI'!B163</f>
        <v>Yens</v>
      </c>
      <c r="C163" s="18">
        <f>'A) Base RI'!C163+'A) Base RI'!D163</f>
        <v>4642886.5199999996</v>
      </c>
      <c r="D163" s="18">
        <f>'A) Base RI'!AO163</f>
        <v>-22325.75</v>
      </c>
      <c r="E163" s="61">
        <f>'A) Base RI'!AP163</f>
        <v>0</v>
      </c>
      <c r="F163" s="61">
        <f>'A) Base RI'!AQ163</f>
        <v>-1437.8</v>
      </c>
      <c r="G163" s="4">
        <f t="shared" si="12"/>
        <v>4619122.97</v>
      </c>
      <c r="H163" s="18">
        <f>'A) Base RI'!E163</f>
        <v>0</v>
      </c>
      <c r="I163" s="18">
        <f>'A) Base RI'!F163</f>
        <v>0</v>
      </c>
      <c r="J163" s="18">
        <f>'A) Base RI'!G163+'A) Base RI'!H163</f>
        <v>75812.900000000009</v>
      </c>
      <c r="K163" s="18">
        <f>'A) Base RI'!I163</f>
        <v>248446.05</v>
      </c>
      <c r="L163" s="18">
        <f>'A) Base RI'!J163</f>
        <v>106357.49</v>
      </c>
      <c r="M163" s="18">
        <f>'A) Base RI'!K163</f>
        <v>6181.5</v>
      </c>
      <c r="N163" s="18">
        <f>'A) Base RI'!Q163</f>
        <v>11027.38</v>
      </c>
      <c r="O163" s="18">
        <f t="shared" si="13"/>
        <v>281757.5</v>
      </c>
      <c r="P163" s="18">
        <f>'A) Base RI'!L163</f>
        <v>281757.5</v>
      </c>
      <c r="Q163" s="64">
        <f>'A) Base RI'!AR163</f>
        <v>1</v>
      </c>
      <c r="R163" s="4">
        <f t="shared" si="14"/>
        <v>5348705.79</v>
      </c>
      <c r="S163" s="63">
        <f>'A) Base RI'!AM163</f>
        <v>73</v>
      </c>
      <c r="T163" s="4">
        <f t="shared" si="15"/>
        <v>5060766.79</v>
      </c>
      <c r="U163" s="4">
        <f t="shared" si="16"/>
        <v>73269.942328767123</v>
      </c>
      <c r="V163" s="18">
        <f>'A) Base RI'!O163</f>
        <v>15372.1</v>
      </c>
      <c r="W163" s="18">
        <f>'A) Base RI'!P163</f>
        <v>211898.1</v>
      </c>
      <c r="X163" s="18">
        <f>'A) Base RI'!R163</f>
        <v>154268.95000000001</v>
      </c>
      <c r="Y163" s="4">
        <f t="shared" si="17"/>
        <v>381539.15</v>
      </c>
      <c r="Z163" s="18">
        <f>'A) Base RI'!N163</f>
        <v>48761.35</v>
      </c>
      <c r="AA163" s="18">
        <f>'A) Base RI'!S163+'A) Base RI'!T163</f>
        <v>125</v>
      </c>
      <c r="AB163" s="18">
        <f>'A) Base RI'!U163</f>
        <v>6120</v>
      </c>
      <c r="AC163" s="18">
        <f>'A) Base RI'!V163</f>
        <v>1060</v>
      </c>
      <c r="AD163" s="18">
        <f>'A) Base RI'!W163</f>
        <v>0</v>
      </c>
      <c r="AE163" s="18">
        <f>'A) Base RI'!Y163</f>
        <v>21888.55</v>
      </c>
      <c r="AF163" s="18">
        <f>'A) Base RI'!Z163</f>
        <v>0</v>
      </c>
      <c r="AG163" s="18">
        <f>'A) Base RI'!AA163</f>
        <v>163905.85</v>
      </c>
      <c r="AH163" s="18">
        <f>'A) Base RI'!AB163</f>
        <v>0</v>
      </c>
      <c r="AI163" s="18">
        <f>'A) Base RI'!AC163</f>
        <v>47961.5</v>
      </c>
      <c r="AJ163" s="18">
        <f>'A) Base RI'!AD163</f>
        <v>59721.5</v>
      </c>
      <c r="AK163" s="18">
        <f>'A) Base RI'!AE163</f>
        <v>0</v>
      </c>
      <c r="AL163" s="18">
        <f>'A) Base RI'!AF163</f>
        <v>0</v>
      </c>
      <c r="AM163" s="18">
        <f>'A) Base RI'!AG163</f>
        <v>0</v>
      </c>
      <c r="AN163" s="18">
        <f>'A) Base RI'!AH163</f>
        <v>0</v>
      </c>
      <c r="AO163" s="18">
        <f>'A) Base RI'!AI163</f>
        <v>0</v>
      </c>
      <c r="AP163" s="18">
        <f>'A) Base RI'!AJ163</f>
        <v>0</v>
      </c>
      <c r="AQ163" s="18">
        <f>'A) Base RI'!AK163</f>
        <v>0</v>
      </c>
      <c r="AR163" s="18">
        <f>'A) Base RI'!AN163</f>
        <v>1327</v>
      </c>
    </row>
    <row r="164" spans="1:44" x14ac:dyDescent="0.25">
      <c r="A164" s="13">
        <f>'A) Base RI'!A164</f>
        <v>5661</v>
      </c>
      <c r="B164" s="62" t="str">
        <f>'A) Base RI'!B164</f>
        <v>Boulens</v>
      </c>
      <c r="C164" s="18">
        <f>'A) Base RI'!C164+'A) Base RI'!D164</f>
        <v>479851.48000000004</v>
      </c>
      <c r="D164" s="18">
        <f>'A) Base RI'!AO164</f>
        <v>-795.65</v>
      </c>
      <c r="E164" s="61">
        <f>'A) Base RI'!AP164</f>
        <v>0</v>
      </c>
      <c r="F164" s="61">
        <f>'A) Base RI'!AQ164</f>
        <v>0</v>
      </c>
      <c r="G164" s="4">
        <f t="shared" si="12"/>
        <v>479055.83</v>
      </c>
      <c r="H164" s="18">
        <f>'A) Base RI'!E164</f>
        <v>0</v>
      </c>
      <c r="I164" s="18">
        <f>'A) Base RI'!F164</f>
        <v>1540</v>
      </c>
      <c r="J164" s="18">
        <f>'A) Base RI'!G164+'A) Base RI'!H164</f>
        <v>12377.390000000001</v>
      </c>
      <c r="K164" s="18">
        <f>'A) Base RI'!I164</f>
        <v>0</v>
      </c>
      <c r="L164" s="18">
        <f>'A) Base RI'!J164</f>
        <v>8630.89</v>
      </c>
      <c r="M164" s="18">
        <f>'A) Base RI'!K164</f>
        <v>203.5</v>
      </c>
      <c r="N164" s="18">
        <f>'A) Base RI'!Q164</f>
        <v>5620.8</v>
      </c>
      <c r="O164" s="18">
        <f t="shared" si="13"/>
        <v>37816.800000000003</v>
      </c>
      <c r="P164" s="18">
        <f>'A) Base RI'!L164</f>
        <v>37816.800000000003</v>
      </c>
      <c r="Q164" s="64">
        <f>'A) Base RI'!AR164</f>
        <v>1</v>
      </c>
      <c r="R164" s="4">
        <f t="shared" si="14"/>
        <v>545245.21000000008</v>
      </c>
      <c r="S164" s="63">
        <f>'A) Base RI'!AM164</f>
        <v>79</v>
      </c>
      <c r="T164" s="4">
        <f t="shared" si="15"/>
        <v>505684.91000000003</v>
      </c>
      <c r="U164" s="4">
        <f t="shared" si="16"/>
        <v>6901.8381012658238</v>
      </c>
      <c r="V164" s="18">
        <v>0</v>
      </c>
      <c r="W164" s="18">
        <f>'A) Base RI'!P164</f>
        <v>22375.35</v>
      </c>
      <c r="X164" s="18">
        <f>'A) Base RI'!R164</f>
        <v>8809.68</v>
      </c>
      <c r="Y164" s="4">
        <f t="shared" si="17"/>
        <v>31185.03</v>
      </c>
      <c r="Z164" s="18">
        <f>'A) Base RI'!N164</f>
        <v>23768.05</v>
      </c>
      <c r="AA164" s="18">
        <f>'A) Base RI'!S164+'A) Base RI'!T164</f>
        <v>0</v>
      </c>
      <c r="AB164" s="18">
        <f>'A) Base RI'!U164</f>
        <v>2100</v>
      </c>
      <c r="AC164" s="18">
        <f>'A) Base RI'!V164</f>
        <v>0</v>
      </c>
      <c r="AD164" s="18">
        <f>'A) Base RI'!W164</f>
        <v>0</v>
      </c>
      <c r="AE164" s="18">
        <f>'A) Base RI'!Y164</f>
        <v>21000</v>
      </c>
      <c r="AF164" s="18">
        <f>'A) Base RI'!Z164</f>
        <v>0</v>
      </c>
      <c r="AG164" s="18">
        <f>'A) Base RI'!AA164</f>
        <v>28878.3</v>
      </c>
      <c r="AH164" s="18">
        <f>'A) Base RI'!AB164</f>
        <v>0</v>
      </c>
      <c r="AI164" s="18">
        <f>'A) Base RI'!AC164</f>
        <v>22939.1</v>
      </c>
      <c r="AJ164" s="18">
        <f>'A) Base RI'!AD164</f>
        <v>0</v>
      </c>
      <c r="AK164" s="18">
        <f>'A) Base RI'!AE164</f>
        <v>0</v>
      </c>
      <c r="AL164" s="18">
        <f>'A) Base RI'!AF164</f>
        <v>0</v>
      </c>
      <c r="AM164" s="18">
        <f>'A) Base RI'!AG164</f>
        <v>0</v>
      </c>
      <c r="AN164" s="18">
        <f>'A) Base RI'!AH164</f>
        <v>0</v>
      </c>
      <c r="AO164" s="18">
        <f>'A) Base RI'!AI164</f>
        <v>0</v>
      </c>
      <c r="AP164" s="18">
        <f>'A) Base RI'!AJ164</f>
        <v>0</v>
      </c>
      <c r="AQ164" s="18">
        <f>'A) Base RI'!AK164</f>
        <v>0</v>
      </c>
      <c r="AR164" s="18">
        <f>'A) Base RI'!AN164</f>
        <v>313</v>
      </c>
    </row>
    <row r="165" spans="1:44" x14ac:dyDescent="0.25">
      <c r="A165" s="13">
        <f>'A) Base RI'!A165</f>
        <v>5662</v>
      </c>
      <c r="B165" s="62" t="str">
        <f>'A) Base RI'!B165</f>
        <v>Brenles</v>
      </c>
      <c r="C165" s="18">
        <f>'A) Base RI'!C165+'A) Base RI'!D165</f>
        <v>292506.49</v>
      </c>
      <c r="D165" s="18">
        <f>'A) Base RI'!AO165</f>
        <v>-61.6</v>
      </c>
      <c r="E165" s="61">
        <f>'A) Base RI'!AP165</f>
        <v>0</v>
      </c>
      <c r="F165" s="61">
        <f>'A) Base RI'!AQ165</f>
        <v>0</v>
      </c>
      <c r="G165" s="4">
        <f t="shared" si="12"/>
        <v>292444.89</v>
      </c>
      <c r="H165" s="18">
        <f>'A) Base RI'!E165</f>
        <v>0</v>
      </c>
      <c r="I165" s="18">
        <f>'A) Base RI'!F165</f>
        <v>0</v>
      </c>
      <c r="J165" s="18">
        <f>'A) Base RI'!G165+'A) Base RI'!H165</f>
        <v>3580</v>
      </c>
      <c r="K165" s="18">
        <f>'A) Base RI'!I165</f>
        <v>0</v>
      </c>
      <c r="L165" s="18">
        <f>'A) Base RI'!J165</f>
        <v>277.08999999999997</v>
      </c>
      <c r="M165" s="18">
        <f>'A) Base RI'!K165</f>
        <v>0</v>
      </c>
      <c r="N165" s="18">
        <f>'A) Base RI'!Q165</f>
        <v>0</v>
      </c>
      <c r="O165" s="18">
        <f t="shared" si="13"/>
        <v>18135.277777777777</v>
      </c>
      <c r="P165" s="18">
        <f>'A) Base RI'!L165</f>
        <v>16321.75</v>
      </c>
      <c r="Q165" s="64">
        <f>'A) Base RI'!AR165</f>
        <v>0.9</v>
      </c>
      <c r="R165" s="4">
        <f t="shared" si="14"/>
        <v>314437.25777777779</v>
      </c>
      <c r="S165" s="63">
        <f>'A) Base RI'!AM165</f>
        <v>78</v>
      </c>
      <c r="T165" s="4">
        <f t="shared" si="15"/>
        <v>296301.98000000004</v>
      </c>
      <c r="U165" s="4">
        <f t="shared" si="16"/>
        <v>4031.2468945868945</v>
      </c>
      <c r="V165" s="18">
        <v>0</v>
      </c>
      <c r="W165" s="18">
        <f>'A) Base RI'!P165</f>
        <v>14500.2</v>
      </c>
      <c r="X165" s="18">
        <f>'A) Base RI'!R165</f>
        <v>30008.799999999999</v>
      </c>
      <c r="Y165" s="4">
        <f t="shared" si="17"/>
        <v>44509</v>
      </c>
      <c r="Z165" s="18">
        <v>0</v>
      </c>
      <c r="AA165" s="18">
        <f>'A) Base RI'!S165+'A) Base RI'!T165</f>
        <v>0</v>
      </c>
      <c r="AB165" s="18">
        <f>'A) Base RI'!U165</f>
        <v>680</v>
      </c>
      <c r="AC165" s="18">
        <f>'A) Base RI'!V165</f>
        <v>0</v>
      </c>
      <c r="AD165" s="18">
        <f>'A) Base RI'!W165</f>
        <v>0</v>
      </c>
      <c r="AE165" s="18">
        <f>'A) Base RI'!Y165</f>
        <v>0</v>
      </c>
      <c r="AF165" s="18">
        <f>'A) Base RI'!Z165</f>
        <v>0</v>
      </c>
      <c r="AG165" s="18">
        <f>'A) Base RI'!AA165</f>
        <v>19555.2</v>
      </c>
      <c r="AH165" s="18">
        <f>'A) Base RI'!AB165</f>
        <v>0</v>
      </c>
      <c r="AI165" s="18">
        <f>'A) Base RI'!AC165</f>
        <v>14681.9</v>
      </c>
      <c r="AJ165" s="18">
        <f>'A) Base RI'!AD165</f>
        <v>0</v>
      </c>
      <c r="AK165" s="18">
        <f>'A) Base RI'!AE165</f>
        <v>0</v>
      </c>
      <c r="AL165" s="18">
        <f>'A) Base RI'!AF165</f>
        <v>0</v>
      </c>
      <c r="AM165" s="18">
        <f>'A) Base RI'!AG165</f>
        <v>0</v>
      </c>
      <c r="AN165" s="18">
        <f>'A) Base RI'!AH165</f>
        <v>0</v>
      </c>
      <c r="AO165" s="18">
        <f>'A) Base RI'!AI165</f>
        <v>0</v>
      </c>
      <c r="AP165" s="18">
        <f>'A) Base RI'!AJ165</f>
        <v>0</v>
      </c>
      <c r="AQ165" s="18">
        <f>'A) Base RI'!AK165</f>
        <v>0</v>
      </c>
      <c r="AR165" s="18">
        <f>'A) Base RI'!AN165</f>
        <v>144</v>
      </c>
    </row>
    <row r="166" spans="1:44" x14ac:dyDescent="0.25">
      <c r="A166" s="13">
        <f>'A) Base RI'!A166</f>
        <v>5663</v>
      </c>
      <c r="B166" s="62" t="str">
        <f>'A) Base RI'!B166</f>
        <v>Bussy-sur-Moudon</v>
      </c>
      <c r="C166" s="18">
        <f>'A) Base RI'!C166+'A) Base RI'!D166</f>
        <v>392174.58</v>
      </c>
      <c r="D166" s="18">
        <f>'A) Base RI'!AO166</f>
        <v>-8175.33</v>
      </c>
      <c r="E166" s="61">
        <f>'A) Base RI'!AP166</f>
        <v>0</v>
      </c>
      <c r="F166" s="61">
        <f>'A) Base RI'!AQ166</f>
        <v>0</v>
      </c>
      <c r="G166" s="4">
        <f t="shared" si="12"/>
        <v>383999.25</v>
      </c>
      <c r="H166" s="18">
        <f>'A) Base RI'!E166</f>
        <v>0</v>
      </c>
      <c r="I166" s="18">
        <f>'A) Base RI'!F166</f>
        <v>1290</v>
      </c>
      <c r="J166" s="18">
        <f>'A) Base RI'!G166+'A) Base RI'!H166</f>
        <v>2585.85</v>
      </c>
      <c r="K166" s="18">
        <f>'A) Base RI'!I166</f>
        <v>0</v>
      </c>
      <c r="L166" s="18">
        <f>'A) Base RI'!J166</f>
        <v>123.82</v>
      </c>
      <c r="M166" s="18">
        <f>'A) Base RI'!K166</f>
        <v>808</v>
      </c>
      <c r="N166" s="18">
        <f>'A) Base RI'!Q166</f>
        <v>0</v>
      </c>
      <c r="O166" s="18">
        <f t="shared" si="13"/>
        <v>24962.799999999999</v>
      </c>
      <c r="P166" s="18">
        <f>'A) Base RI'!L166</f>
        <v>24962.799999999999</v>
      </c>
      <c r="Q166" s="64">
        <f>'A) Base RI'!AR166</f>
        <v>1</v>
      </c>
      <c r="R166" s="4">
        <f t="shared" si="14"/>
        <v>413769.72</v>
      </c>
      <c r="S166" s="63">
        <f>'A) Base RI'!AM166</f>
        <v>80</v>
      </c>
      <c r="T166" s="4">
        <f t="shared" si="15"/>
        <v>386708.92</v>
      </c>
      <c r="U166" s="4">
        <f t="shared" si="16"/>
        <v>5172.1214999999993</v>
      </c>
      <c r="V166" s="18">
        <v>0</v>
      </c>
      <c r="W166" s="18">
        <f>'A) Base RI'!P166</f>
        <v>9490.7999999999993</v>
      </c>
      <c r="X166" s="18">
        <f>'A) Base RI'!R166</f>
        <v>7355.05</v>
      </c>
      <c r="Y166" s="4">
        <f t="shared" si="17"/>
        <v>16845.849999999999</v>
      </c>
      <c r="Z166" s="18">
        <v>0</v>
      </c>
      <c r="AA166" s="18">
        <f>'A) Base RI'!S166+'A) Base RI'!T166</f>
        <v>0</v>
      </c>
      <c r="AB166" s="18">
        <f>'A) Base RI'!U166</f>
        <v>1590</v>
      </c>
      <c r="AC166" s="18">
        <f>'A) Base RI'!V166</f>
        <v>0</v>
      </c>
      <c r="AD166" s="18">
        <f>'A) Base RI'!W166</f>
        <v>0</v>
      </c>
      <c r="AE166" s="18">
        <f>'A) Base RI'!Y166</f>
        <v>15178.4</v>
      </c>
      <c r="AF166" s="18">
        <f>'A) Base RI'!Z166</f>
        <v>0</v>
      </c>
      <c r="AG166" s="18">
        <f>'A) Base RI'!AA166</f>
        <v>23989.599999999999</v>
      </c>
      <c r="AH166" s="18">
        <f>'A) Base RI'!AB166</f>
        <v>0</v>
      </c>
      <c r="AI166" s="18">
        <f>'A) Base RI'!AC166</f>
        <v>16017.5</v>
      </c>
      <c r="AJ166" s="18">
        <f>'A) Base RI'!AD166</f>
        <v>0</v>
      </c>
      <c r="AK166" s="18">
        <f>'A) Base RI'!AE166</f>
        <v>0</v>
      </c>
      <c r="AL166" s="18">
        <f>'A) Base RI'!AF166</f>
        <v>0</v>
      </c>
      <c r="AM166" s="18">
        <f>'A) Base RI'!AG166</f>
        <v>0</v>
      </c>
      <c r="AN166" s="18">
        <f>'A) Base RI'!AH166</f>
        <v>0</v>
      </c>
      <c r="AO166" s="18">
        <f>'A) Base RI'!AI166</f>
        <v>0</v>
      </c>
      <c r="AP166" s="18">
        <f>'A) Base RI'!AJ166</f>
        <v>0</v>
      </c>
      <c r="AQ166" s="18">
        <f>'A) Base RI'!AK166</f>
        <v>0</v>
      </c>
      <c r="AR166" s="18">
        <f>'A) Base RI'!AN166</f>
        <v>197</v>
      </c>
    </row>
    <row r="167" spans="1:44" x14ac:dyDescent="0.25">
      <c r="A167" s="13">
        <f>'A) Base RI'!A167</f>
        <v>5665</v>
      </c>
      <c r="B167" s="62" t="str">
        <f>'A) Base RI'!B167</f>
        <v>Chavannes-sur-Moudon</v>
      </c>
      <c r="C167" s="18">
        <f>'A) Base RI'!C167+'A) Base RI'!D167</f>
        <v>244520.91999999998</v>
      </c>
      <c r="D167" s="18">
        <f>'A) Base RI'!AO167</f>
        <v>-3848.77</v>
      </c>
      <c r="E167" s="61">
        <f>'A) Base RI'!AP167</f>
        <v>0</v>
      </c>
      <c r="F167" s="61">
        <f>'A) Base RI'!AQ167</f>
        <v>0</v>
      </c>
      <c r="G167" s="4">
        <f t="shared" si="12"/>
        <v>240672.15</v>
      </c>
      <c r="H167" s="18">
        <f>'A) Base RI'!E167</f>
        <v>0</v>
      </c>
      <c r="I167" s="18">
        <f>'A) Base RI'!F167</f>
        <v>0</v>
      </c>
      <c r="J167" s="18">
        <f>'A) Base RI'!G167+'A) Base RI'!H167</f>
        <v>4092.9</v>
      </c>
      <c r="K167" s="18">
        <f>'A) Base RI'!I167</f>
        <v>0</v>
      </c>
      <c r="L167" s="18">
        <f>'A) Base RI'!J167</f>
        <v>49.62</v>
      </c>
      <c r="M167" s="18">
        <f>'A) Base RI'!K167</f>
        <v>4.5</v>
      </c>
      <c r="N167" s="18">
        <f>'A) Base RI'!Q167</f>
        <v>0</v>
      </c>
      <c r="O167" s="18">
        <f t="shared" si="13"/>
        <v>22194.799999999999</v>
      </c>
      <c r="P167" s="18">
        <f>'A) Base RI'!L167</f>
        <v>22194.799999999999</v>
      </c>
      <c r="Q167" s="64">
        <f>'A) Base RI'!AR167</f>
        <v>1</v>
      </c>
      <c r="R167" s="4">
        <f t="shared" si="14"/>
        <v>267013.96999999997</v>
      </c>
      <c r="S167" s="63">
        <f>'A) Base RI'!AM167</f>
        <v>72</v>
      </c>
      <c r="T167" s="4">
        <f t="shared" si="15"/>
        <v>244814.66999999998</v>
      </c>
      <c r="U167" s="4">
        <f t="shared" si="16"/>
        <v>3708.5273611111106</v>
      </c>
      <c r="V167" s="18">
        <v>0</v>
      </c>
      <c r="W167" s="18">
        <f>'A) Base RI'!P167</f>
        <v>3951</v>
      </c>
      <c r="X167" s="18">
        <v>0</v>
      </c>
      <c r="Y167" s="4">
        <f t="shared" si="17"/>
        <v>3951</v>
      </c>
      <c r="Z167" s="18">
        <v>0</v>
      </c>
      <c r="AA167" s="18">
        <f>'A) Base RI'!S167+'A) Base RI'!T167</f>
        <v>350</v>
      </c>
      <c r="AB167" s="18">
        <f>'A) Base RI'!U167</f>
        <v>0</v>
      </c>
      <c r="AC167" s="18">
        <f>'A) Base RI'!V167</f>
        <v>750</v>
      </c>
      <c r="AD167" s="18">
        <f>'A) Base RI'!W167</f>
        <v>0</v>
      </c>
      <c r="AE167" s="18">
        <f>'A) Base RI'!Y167</f>
        <v>0</v>
      </c>
      <c r="AF167" s="18">
        <f>'A) Base RI'!Z167</f>
        <v>0</v>
      </c>
      <c r="AG167" s="18">
        <f>'A) Base RI'!AA167</f>
        <v>12983.7</v>
      </c>
      <c r="AH167" s="18">
        <f>'A) Base RI'!AB167</f>
        <v>0</v>
      </c>
      <c r="AI167" s="18">
        <f>'A) Base RI'!AC167</f>
        <v>15598.6</v>
      </c>
      <c r="AJ167" s="18">
        <f>'A) Base RI'!AD167</f>
        <v>0</v>
      </c>
      <c r="AK167" s="18">
        <f>'A) Base RI'!AE167</f>
        <v>0</v>
      </c>
      <c r="AL167" s="18">
        <f>'A) Base RI'!AF167</f>
        <v>0</v>
      </c>
      <c r="AM167" s="18">
        <f>'A) Base RI'!AG167</f>
        <v>0</v>
      </c>
      <c r="AN167" s="18">
        <f>'A) Base RI'!AH167</f>
        <v>0</v>
      </c>
      <c r="AO167" s="18">
        <f>'A) Base RI'!AI167</f>
        <v>0</v>
      </c>
      <c r="AP167" s="18">
        <f>'A) Base RI'!AJ167</f>
        <v>0</v>
      </c>
      <c r="AQ167" s="18">
        <f>'A) Base RI'!AK167</f>
        <v>0</v>
      </c>
      <c r="AR167" s="18">
        <f>'A) Base RI'!AN167</f>
        <v>233</v>
      </c>
    </row>
    <row r="168" spans="1:44" x14ac:dyDescent="0.25">
      <c r="A168" s="13">
        <f>'A) Base RI'!A168</f>
        <v>5666</v>
      </c>
      <c r="B168" s="62" t="str">
        <f>'A) Base RI'!B168</f>
        <v>Chesalles-sur-Moudon</v>
      </c>
      <c r="C168" s="18">
        <f>'A) Base RI'!C168+'A) Base RI'!D168</f>
        <v>233175.11000000002</v>
      </c>
      <c r="D168" s="18">
        <f>'A) Base RI'!AO168</f>
        <v>-1447.64</v>
      </c>
      <c r="E168" s="61">
        <f>'A) Base RI'!AP168</f>
        <v>0</v>
      </c>
      <c r="F168" s="61">
        <f>'A) Base RI'!AQ168</f>
        <v>0</v>
      </c>
      <c r="G168" s="4">
        <f t="shared" si="12"/>
        <v>231727.47</v>
      </c>
      <c r="H168" s="18">
        <f>'A) Base RI'!E168</f>
        <v>0</v>
      </c>
      <c r="I168" s="18">
        <f>'A) Base RI'!F168</f>
        <v>0</v>
      </c>
      <c r="J168" s="18">
        <f>'A) Base RI'!G168+'A) Base RI'!H168</f>
        <v>23055.25</v>
      </c>
      <c r="K168" s="18">
        <f>'A) Base RI'!I168</f>
        <v>0</v>
      </c>
      <c r="L168" s="18">
        <f>'A) Base RI'!J168</f>
        <v>3957.01</v>
      </c>
      <c r="M168" s="18">
        <f>'A) Base RI'!K168</f>
        <v>-784.5</v>
      </c>
      <c r="N168" s="18">
        <f>'A) Base RI'!Q168</f>
        <v>0</v>
      </c>
      <c r="O168" s="18">
        <f t="shared" si="13"/>
        <v>21887.16</v>
      </c>
      <c r="P168" s="18">
        <f>'A) Base RI'!L168</f>
        <v>27358.95</v>
      </c>
      <c r="Q168" s="64">
        <f>'A) Base RI'!AR168</f>
        <v>1.25</v>
      </c>
      <c r="R168" s="4">
        <f t="shared" si="14"/>
        <v>279842.39</v>
      </c>
      <c r="S168" s="63">
        <f>'A) Base RI'!AM168</f>
        <v>75</v>
      </c>
      <c r="T168" s="4">
        <f t="shared" si="15"/>
        <v>258739.73</v>
      </c>
      <c r="U168" s="4">
        <f t="shared" si="16"/>
        <v>3731.231866666667</v>
      </c>
      <c r="V168" s="18">
        <f>'A) Base RI'!O168</f>
        <v>1297.2</v>
      </c>
      <c r="W168" s="18">
        <f>'A) Base RI'!P168</f>
        <v>3080</v>
      </c>
      <c r="X168" s="18">
        <f>'A) Base RI'!R168</f>
        <v>6091.45</v>
      </c>
      <c r="Y168" s="4">
        <f t="shared" si="17"/>
        <v>10468.65</v>
      </c>
      <c r="Z168" s="18">
        <v>0</v>
      </c>
      <c r="AA168" s="18">
        <f>'A) Base RI'!S168+'A) Base RI'!T168</f>
        <v>0</v>
      </c>
      <c r="AB168" s="18">
        <f>'A) Base RI'!U168</f>
        <v>1900</v>
      </c>
      <c r="AC168" s="18">
        <f>'A) Base RI'!V168</f>
        <v>0</v>
      </c>
      <c r="AD168" s="18">
        <f>'A) Base RI'!W168</f>
        <v>0</v>
      </c>
      <c r="AE168" s="18">
        <f>'A) Base RI'!Y168</f>
        <v>21000</v>
      </c>
      <c r="AF168" s="18">
        <f>'A) Base RI'!Z168</f>
        <v>0</v>
      </c>
      <c r="AG168" s="18">
        <f>'A) Base RI'!AA168</f>
        <v>25093.05</v>
      </c>
      <c r="AH168" s="18">
        <f>'A) Base RI'!AB168</f>
        <v>0</v>
      </c>
      <c r="AI168" s="18">
        <f>'A) Base RI'!AC168</f>
        <v>12988</v>
      </c>
      <c r="AJ168" s="18">
        <f>'A) Base RI'!AD168</f>
        <v>0</v>
      </c>
      <c r="AK168" s="18">
        <f>'A) Base RI'!AE168</f>
        <v>0</v>
      </c>
      <c r="AL168" s="18">
        <f>'A) Base RI'!AF168</f>
        <v>0</v>
      </c>
      <c r="AM168" s="18">
        <f>'A) Base RI'!AG168</f>
        <v>0</v>
      </c>
      <c r="AN168" s="18">
        <f>'A) Base RI'!AH168</f>
        <v>0</v>
      </c>
      <c r="AO168" s="18">
        <f>'A) Base RI'!AI168</f>
        <v>0</v>
      </c>
      <c r="AP168" s="18">
        <f>'A) Base RI'!AJ168</f>
        <v>0</v>
      </c>
      <c r="AQ168" s="18">
        <f>'A) Base RI'!AK168</f>
        <v>0</v>
      </c>
      <c r="AR168" s="18">
        <f>'A) Base RI'!AN168</f>
        <v>160</v>
      </c>
    </row>
    <row r="169" spans="1:44" x14ac:dyDescent="0.25">
      <c r="A169" s="13">
        <f>'A) Base RI'!A169</f>
        <v>5668</v>
      </c>
      <c r="B169" s="62" t="str">
        <f>'A) Base RI'!B169</f>
        <v>Cremin</v>
      </c>
      <c r="C169" s="18">
        <f>'A) Base RI'!C169+'A) Base RI'!D169</f>
        <v>73725.89</v>
      </c>
      <c r="D169" s="18">
        <f>'A) Base RI'!AO169</f>
        <v>-2198.08</v>
      </c>
      <c r="E169" s="61">
        <f>'A) Base RI'!AP169</f>
        <v>0</v>
      </c>
      <c r="F169" s="61">
        <f>'A) Base RI'!AQ169</f>
        <v>0</v>
      </c>
      <c r="G169" s="4">
        <f t="shared" si="12"/>
        <v>71527.81</v>
      </c>
      <c r="H169" s="18">
        <f>'A) Base RI'!E169</f>
        <v>0</v>
      </c>
      <c r="I169" s="18">
        <f>'A) Base RI'!F169</f>
        <v>0</v>
      </c>
      <c r="J169" s="18">
        <f>'A) Base RI'!G169+'A) Base RI'!H169</f>
        <v>-248.45</v>
      </c>
      <c r="K169" s="18">
        <f>'A) Base RI'!I169</f>
        <v>0</v>
      </c>
      <c r="L169" s="18">
        <f>'A) Base RI'!J169</f>
        <v>1577.9</v>
      </c>
      <c r="M169" s="18">
        <f>'A) Base RI'!K169</f>
        <v>20</v>
      </c>
      <c r="N169" s="18">
        <f>'A) Base RI'!Q169</f>
        <v>0</v>
      </c>
      <c r="O169" s="18">
        <f t="shared" si="13"/>
        <v>5731.55</v>
      </c>
      <c r="P169" s="18">
        <f>'A) Base RI'!L169</f>
        <v>5731.55</v>
      </c>
      <c r="Q169" s="64">
        <f>'A) Base RI'!AR169</f>
        <v>1</v>
      </c>
      <c r="R169" s="4">
        <f t="shared" si="14"/>
        <v>78608.81</v>
      </c>
      <c r="S169" s="63">
        <f>'A) Base RI'!AM169</f>
        <v>77</v>
      </c>
      <c r="T169" s="4">
        <f t="shared" si="15"/>
        <v>72857.259999999995</v>
      </c>
      <c r="U169" s="4">
        <f t="shared" si="16"/>
        <v>1020.8936363636363</v>
      </c>
      <c r="V169" s="18">
        <v>0</v>
      </c>
      <c r="W169" s="18">
        <v>0</v>
      </c>
      <c r="X169" s="18">
        <v>0</v>
      </c>
      <c r="Y169" s="4">
        <f t="shared" si="17"/>
        <v>0</v>
      </c>
      <c r="Z169" s="18">
        <v>0</v>
      </c>
      <c r="AA169" s="18">
        <f>'A) Base RI'!S169+'A) Base RI'!T169</f>
        <v>0</v>
      </c>
      <c r="AB169" s="18">
        <f>'A) Base RI'!U169</f>
        <v>400</v>
      </c>
      <c r="AC169" s="18">
        <f>'A) Base RI'!V169</f>
        <v>0</v>
      </c>
      <c r="AD169" s="18">
        <f>'A) Base RI'!W169</f>
        <v>0</v>
      </c>
      <c r="AE169" s="18">
        <f>'A) Base RI'!Y169</f>
        <v>1000</v>
      </c>
      <c r="AF169" s="18">
        <f>'A) Base RI'!Z169</f>
        <v>0</v>
      </c>
      <c r="AG169" s="18">
        <f>'A) Base RI'!AA169</f>
        <v>3668.2</v>
      </c>
      <c r="AH169" s="18">
        <f>'A) Base RI'!AB169</f>
        <v>0</v>
      </c>
      <c r="AI169" s="18">
        <f>'A) Base RI'!AC169</f>
        <v>6370</v>
      </c>
      <c r="AJ169" s="18">
        <f>'A) Base RI'!AD169</f>
        <v>0</v>
      </c>
      <c r="AK169" s="18">
        <f>'A) Base RI'!AE169</f>
        <v>0</v>
      </c>
      <c r="AL169" s="18">
        <f>'A) Base RI'!AF169</f>
        <v>0</v>
      </c>
      <c r="AM169" s="18">
        <f>'A) Base RI'!AG169</f>
        <v>0</v>
      </c>
      <c r="AN169" s="18">
        <f>'A) Base RI'!AH169</f>
        <v>1689.3</v>
      </c>
      <c r="AO169" s="18">
        <f>'A) Base RI'!AI169</f>
        <v>0</v>
      </c>
      <c r="AP169" s="18">
        <f>'A) Base RI'!AJ169</f>
        <v>0</v>
      </c>
      <c r="AQ169" s="18">
        <f>'A) Base RI'!AK169</f>
        <v>0</v>
      </c>
      <c r="AR169" s="18">
        <f>'A) Base RI'!AN169</f>
        <v>51</v>
      </c>
    </row>
    <row r="170" spans="1:44" x14ac:dyDescent="0.25">
      <c r="A170" s="13">
        <f>'A) Base RI'!A170</f>
        <v>5669</v>
      </c>
      <c r="B170" s="62" t="str">
        <f>'A) Base RI'!B170</f>
        <v>Curtilles</v>
      </c>
      <c r="C170" s="18">
        <f>'A) Base RI'!C170+'A) Base RI'!D170</f>
        <v>565470.42000000004</v>
      </c>
      <c r="D170" s="18">
        <f>'A) Base RI'!AO170</f>
        <v>-10058.209999999999</v>
      </c>
      <c r="E170" s="61">
        <f>'A) Base RI'!AP170</f>
        <v>0</v>
      </c>
      <c r="F170" s="61">
        <f>'A) Base RI'!AQ170</f>
        <v>-14.32</v>
      </c>
      <c r="G170" s="4">
        <f t="shared" si="12"/>
        <v>555397.89000000013</v>
      </c>
      <c r="H170" s="18">
        <f>'A) Base RI'!E170</f>
        <v>0</v>
      </c>
      <c r="I170" s="18">
        <f>'A) Base RI'!F170</f>
        <v>0</v>
      </c>
      <c r="J170" s="18">
        <f>'A) Base RI'!G170+'A) Base RI'!H170</f>
        <v>4884.75</v>
      </c>
      <c r="K170" s="18">
        <f>'A) Base RI'!I170</f>
        <v>0</v>
      </c>
      <c r="L170" s="18">
        <f>'A) Base RI'!J170</f>
        <v>-21442.48</v>
      </c>
      <c r="M170" s="18">
        <f>'A) Base RI'!K170</f>
        <v>337</v>
      </c>
      <c r="N170" s="18">
        <f>'A) Base RI'!Q170</f>
        <v>3024.25</v>
      </c>
      <c r="O170" s="18">
        <f t="shared" si="13"/>
        <v>40981.599999999999</v>
      </c>
      <c r="P170" s="18">
        <f>'A) Base RI'!L170</f>
        <v>20490.8</v>
      </c>
      <c r="Q170" s="64">
        <f>'A) Base RI'!AR170</f>
        <v>0.5</v>
      </c>
      <c r="R170" s="4">
        <f t="shared" si="14"/>
        <v>583183.01000000013</v>
      </c>
      <c r="S170" s="63">
        <f>'A) Base RI'!AM170</f>
        <v>72</v>
      </c>
      <c r="T170" s="4">
        <f t="shared" si="15"/>
        <v>541864.41000000015</v>
      </c>
      <c r="U170" s="4">
        <f t="shared" si="16"/>
        <v>8099.7640277777791</v>
      </c>
      <c r="V170" s="18">
        <v>0</v>
      </c>
      <c r="W170" s="18">
        <f>'A) Base RI'!P170</f>
        <v>19492.55</v>
      </c>
      <c r="X170" s="18">
        <f>'A) Base RI'!R170</f>
        <v>46355.9</v>
      </c>
      <c r="Y170" s="4">
        <f t="shared" si="17"/>
        <v>65848.45</v>
      </c>
      <c r="Z170" s="18">
        <v>0</v>
      </c>
      <c r="AA170" s="18">
        <f>'A) Base RI'!S170+'A) Base RI'!T170</f>
        <v>180</v>
      </c>
      <c r="AB170" s="18">
        <f>'A) Base RI'!U170</f>
        <v>4250</v>
      </c>
      <c r="AC170" s="18">
        <f>'A) Base RI'!V170</f>
        <v>0</v>
      </c>
      <c r="AD170" s="18">
        <f>'A) Base RI'!W170</f>
        <v>0</v>
      </c>
      <c r="AE170" s="18">
        <f>'A) Base RI'!Y170</f>
        <v>1500</v>
      </c>
      <c r="AF170" s="18">
        <f>'A) Base RI'!Z170</f>
        <v>0</v>
      </c>
      <c r="AG170" s="18">
        <f>'A) Base RI'!AA170</f>
        <v>21206.75</v>
      </c>
      <c r="AH170" s="18">
        <f>'A) Base RI'!AB170</f>
        <v>0</v>
      </c>
      <c r="AI170" s="18">
        <f>'A) Base RI'!AC170</f>
        <v>20496.099999999999</v>
      </c>
      <c r="AJ170" s="18">
        <f>'A) Base RI'!AD170</f>
        <v>0</v>
      </c>
      <c r="AK170" s="18">
        <f>'A) Base RI'!AE170</f>
        <v>0</v>
      </c>
      <c r="AL170" s="18">
        <f>'A) Base RI'!AF170</f>
        <v>0</v>
      </c>
      <c r="AM170" s="18">
        <f>'A) Base RI'!AG170</f>
        <v>0</v>
      </c>
      <c r="AN170" s="18">
        <f>'A) Base RI'!AH170</f>
        <v>0</v>
      </c>
      <c r="AO170" s="18">
        <f>'A) Base RI'!AI170</f>
        <v>0</v>
      </c>
      <c r="AP170" s="18">
        <f>'A) Base RI'!AJ170</f>
        <v>0</v>
      </c>
      <c r="AQ170" s="18">
        <f>'A) Base RI'!AK170</f>
        <v>0</v>
      </c>
      <c r="AR170" s="18">
        <f>'A) Base RI'!AN170</f>
        <v>306</v>
      </c>
    </row>
    <row r="171" spans="1:44" x14ac:dyDescent="0.25">
      <c r="A171" s="13">
        <f>'A) Base RI'!A171</f>
        <v>5671</v>
      </c>
      <c r="B171" s="62" t="str">
        <f>'A) Base RI'!B171</f>
        <v>Dompierre</v>
      </c>
      <c r="C171" s="18">
        <f>'A) Base RI'!C171+'A) Base RI'!D171</f>
        <v>407153.12</v>
      </c>
      <c r="D171" s="18">
        <f>'A) Base RI'!AO171</f>
        <v>-11477.31</v>
      </c>
      <c r="E171" s="61">
        <f>'A) Base RI'!AP171</f>
        <v>0</v>
      </c>
      <c r="F171" s="61">
        <f>'A) Base RI'!AQ171</f>
        <v>0</v>
      </c>
      <c r="G171" s="4">
        <f t="shared" si="12"/>
        <v>395675.81</v>
      </c>
      <c r="H171" s="18">
        <f>'A) Base RI'!E171</f>
        <v>0</v>
      </c>
      <c r="I171" s="18">
        <f>'A) Base RI'!F171</f>
        <v>1520</v>
      </c>
      <c r="J171" s="18">
        <f>'A) Base RI'!G171+'A) Base RI'!H171</f>
        <v>31890.7</v>
      </c>
      <c r="K171" s="18">
        <f>'A) Base RI'!I171</f>
        <v>0</v>
      </c>
      <c r="L171" s="18">
        <f>'A) Base RI'!J171</f>
        <v>8502.01</v>
      </c>
      <c r="M171" s="18">
        <f>'A) Base RI'!K171</f>
        <v>0</v>
      </c>
      <c r="N171" s="18">
        <f>'A) Base RI'!Q171</f>
        <v>1618.63</v>
      </c>
      <c r="O171" s="18">
        <f t="shared" si="13"/>
        <v>31400.7</v>
      </c>
      <c r="P171" s="18">
        <f>'A) Base RI'!L171</f>
        <v>31400.7</v>
      </c>
      <c r="Q171" s="64">
        <f>'A) Base RI'!AR171</f>
        <v>1</v>
      </c>
      <c r="R171" s="4">
        <f t="shared" si="14"/>
        <v>470607.85000000003</v>
      </c>
      <c r="S171" s="63">
        <f>'A) Base RI'!AM171</f>
        <v>80</v>
      </c>
      <c r="T171" s="4">
        <f t="shared" si="15"/>
        <v>437687.15</v>
      </c>
      <c r="U171" s="4">
        <f t="shared" si="16"/>
        <v>5882.5981250000004</v>
      </c>
      <c r="V171" s="18">
        <v>0</v>
      </c>
      <c r="W171" s="18">
        <f>'A) Base RI'!P171</f>
        <v>6239</v>
      </c>
      <c r="X171" s="18">
        <v>0</v>
      </c>
      <c r="Y171" s="4">
        <f t="shared" si="17"/>
        <v>6239</v>
      </c>
      <c r="Z171" s="18">
        <v>0</v>
      </c>
      <c r="AA171" s="18">
        <f>'A) Base RI'!S171+'A) Base RI'!T171</f>
        <v>240</v>
      </c>
      <c r="AB171" s="18">
        <f>'A) Base RI'!U171</f>
        <v>2340</v>
      </c>
      <c r="AC171" s="18">
        <f>'A) Base RI'!V171</f>
        <v>0</v>
      </c>
      <c r="AD171" s="18">
        <f>'A) Base RI'!W171</f>
        <v>0</v>
      </c>
      <c r="AE171" s="18">
        <f>'A) Base RI'!Y171</f>
        <v>11523</v>
      </c>
      <c r="AF171" s="18">
        <f>'A) Base RI'!Z171</f>
        <v>0</v>
      </c>
      <c r="AG171" s="18">
        <f>'A) Base RI'!AA171</f>
        <v>0</v>
      </c>
      <c r="AH171" s="18">
        <f>'A) Base RI'!AB171</f>
        <v>0</v>
      </c>
      <c r="AI171" s="18">
        <f>'A) Base RI'!AC171</f>
        <v>14987.5</v>
      </c>
      <c r="AJ171" s="18">
        <f>'A) Base RI'!AD171</f>
        <v>0</v>
      </c>
      <c r="AK171" s="18">
        <f>'A) Base RI'!AE171</f>
        <v>0</v>
      </c>
      <c r="AL171" s="18">
        <f>'A) Base RI'!AF171</f>
        <v>0</v>
      </c>
      <c r="AM171" s="18">
        <f>'A) Base RI'!AG171</f>
        <v>0</v>
      </c>
      <c r="AN171" s="18">
        <f>'A) Base RI'!AH171</f>
        <v>0</v>
      </c>
      <c r="AO171" s="18">
        <f>'A) Base RI'!AI171</f>
        <v>0</v>
      </c>
      <c r="AP171" s="18">
        <f>'A) Base RI'!AJ171</f>
        <v>0</v>
      </c>
      <c r="AQ171" s="18">
        <f>'A) Base RI'!AK171</f>
        <v>0</v>
      </c>
      <c r="AR171" s="18">
        <f>'A) Base RI'!AN171</f>
        <v>247</v>
      </c>
    </row>
    <row r="172" spans="1:44" x14ac:dyDescent="0.25">
      <c r="A172" s="13">
        <f>'A) Base RI'!A172</f>
        <v>5672</v>
      </c>
      <c r="B172" s="62" t="str">
        <f>'A) Base RI'!B172</f>
        <v>Forel-sur-Lucens</v>
      </c>
      <c r="C172" s="18">
        <f>'A) Base RI'!C172+'A) Base RI'!D172</f>
        <v>266343.71000000002</v>
      </c>
      <c r="D172" s="18">
        <f>'A) Base RI'!AO172</f>
        <v>-2013.64</v>
      </c>
      <c r="E172" s="61">
        <f>'A) Base RI'!AP172</f>
        <v>0</v>
      </c>
      <c r="F172" s="61">
        <f>'A) Base RI'!AQ172</f>
        <v>-0.32</v>
      </c>
      <c r="G172" s="4">
        <f t="shared" si="12"/>
        <v>264329.75</v>
      </c>
      <c r="H172" s="18">
        <f>'A) Base RI'!E172</f>
        <v>0</v>
      </c>
      <c r="I172" s="18">
        <f>'A) Base RI'!F172</f>
        <v>0</v>
      </c>
      <c r="J172" s="18">
        <f>'A) Base RI'!G172+'A) Base RI'!H172</f>
        <v>7535.9500000000007</v>
      </c>
      <c r="K172" s="18">
        <f>'A) Base RI'!I172</f>
        <v>0</v>
      </c>
      <c r="L172" s="18">
        <f>'A) Base RI'!J172</f>
        <v>2192.0700000000002</v>
      </c>
      <c r="M172" s="18">
        <f>'A) Base RI'!K172</f>
        <v>0</v>
      </c>
      <c r="N172" s="18">
        <f>'A) Base RI'!Q172</f>
        <v>0</v>
      </c>
      <c r="O172" s="18">
        <f t="shared" si="13"/>
        <v>15391.6875</v>
      </c>
      <c r="P172" s="18">
        <f>'A) Base RI'!L172</f>
        <v>12313.35</v>
      </c>
      <c r="Q172" s="64">
        <f>'A) Base RI'!AR172</f>
        <v>0.8</v>
      </c>
      <c r="R172" s="4">
        <f t="shared" si="14"/>
        <v>289449.45750000002</v>
      </c>
      <c r="S172" s="63">
        <f>'A) Base RI'!AM172</f>
        <v>75</v>
      </c>
      <c r="T172" s="4">
        <f t="shared" si="15"/>
        <v>274057.77</v>
      </c>
      <c r="U172" s="4">
        <f t="shared" si="16"/>
        <v>3859.3261000000002</v>
      </c>
      <c r="V172" s="18">
        <v>0</v>
      </c>
      <c r="W172" s="18">
        <f>'A) Base RI'!P172</f>
        <v>9809.75</v>
      </c>
      <c r="X172" s="18">
        <f>'A) Base RI'!R172</f>
        <v>18706.150000000001</v>
      </c>
      <c r="Y172" s="4">
        <f t="shared" si="17"/>
        <v>28515.9</v>
      </c>
      <c r="Z172" s="18">
        <v>0</v>
      </c>
      <c r="AA172" s="18">
        <f>'A) Base RI'!S172+'A) Base RI'!T172</f>
        <v>0</v>
      </c>
      <c r="AB172" s="18">
        <f>'A) Base RI'!U172</f>
        <v>1012.5</v>
      </c>
      <c r="AC172" s="18">
        <f>'A) Base RI'!V172</f>
        <v>0</v>
      </c>
      <c r="AD172" s="18">
        <f>'A) Base RI'!W172</f>
        <v>0</v>
      </c>
      <c r="AE172" s="18">
        <f>'A) Base RI'!Y172</f>
        <v>0</v>
      </c>
      <c r="AF172" s="18">
        <f>'A) Base RI'!Z172</f>
        <v>0</v>
      </c>
      <c r="AG172" s="18">
        <f>'A) Base RI'!AA172</f>
        <v>4585</v>
      </c>
      <c r="AH172" s="18">
        <f>'A) Base RI'!AB172</f>
        <v>0</v>
      </c>
      <c r="AI172" s="18">
        <f>'A) Base RI'!AC172</f>
        <v>6145</v>
      </c>
      <c r="AJ172" s="18">
        <f>'A) Base RI'!AD172</f>
        <v>7200</v>
      </c>
      <c r="AK172" s="18">
        <f>'A) Base RI'!AE172</f>
        <v>0</v>
      </c>
      <c r="AL172" s="18">
        <f>'A) Base RI'!AF172</f>
        <v>0</v>
      </c>
      <c r="AM172" s="18">
        <f>'A) Base RI'!AG172</f>
        <v>0</v>
      </c>
      <c r="AN172" s="18">
        <f>'A) Base RI'!AH172</f>
        <v>0</v>
      </c>
      <c r="AO172" s="18">
        <f>'A) Base RI'!AI172</f>
        <v>0</v>
      </c>
      <c r="AP172" s="18">
        <f>'A) Base RI'!AJ172</f>
        <v>0</v>
      </c>
      <c r="AQ172" s="18">
        <f>'A) Base RI'!AK172</f>
        <v>0</v>
      </c>
      <c r="AR172" s="18">
        <f>'A) Base RI'!AN172</f>
        <v>153</v>
      </c>
    </row>
    <row r="173" spans="1:44" x14ac:dyDescent="0.25">
      <c r="A173" s="13">
        <f>'A) Base RI'!A173</f>
        <v>5673</v>
      </c>
      <c r="B173" s="62" t="str">
        <f>'A) Base RI'!B173</f>
        <v>Hermenches</v>
      </c>
      <c r="C173" s="18">
        <f>'A) Base RI'!C173+'A) Base RI'!D173</f>
        <v>625114.54</v>
      </c>
      <c r="D173" s="18">
        <f>'A) Base RI'!AO173</f>
        <v>-4518.3500000000004</v>
      </c>
      <c r="E173" s="61">
        <f>'A) Base RI'!AP173</f>
        <v>0</v>
      </c>
      <c r="F173" s="61">
        <f>'A) Base RI'!AQ173</f>
        <v>0</v>
      </c>
      <c r="G173" s="4">
        <f t="shared" si="12"/>
        <v>620596.19000000006</v>
      </c>
      <c r="H173" s="18">
        <f>'A) Base RI'!E173</f>
        <v>0</v>
      </c>
      <c r="I173" s="18">
        <f>'A) Base RI'!F173</f>
        <v>1880</v>
      </c>
      <c r="J173" s="18">
        <f>'A) Base RI'!G173+'A) Base RI'!H173</f>
        <v>2777.4500000000003</v>
      </c>
      <c r="K173" s="18">
        <f>'A) Base RI'!I173</f>
        <v>0</v>
      </c>
      <c r="L173" s="18">
        <f>'A) Base RI'!J173</f>
        <v>12175.21</v>
      </c>
      <c r="M173" s="18">
        <f>'A) Base RI'!K173</f>
        <v>7.5</v>
      </c>
      <c r="N173" s="18">
        <f>'A) Base RI'!Q173</f>
        <v>1846.41</v>
      </c>
      <c r="O173" s="18">
        <f t="shared" si="13"/>
        <v>41192.166666666664</v>
      </c>
      <c r="P173" s="18">
        <f>'A) Base RI'!L173</f>
        <v>24715.3</v>
      </c>
      <c r="Q173" s="64">
        <f>'A) Base RI'!AR173</f>
        <v>0.6</v>
      </c>
      <c r="R173" s="4">
        <f t="shared" si="14"/>
        <v>680474.92666666664</v>
      </c>
      <c r="S173" s="63">
        <f>'A) Base RI'!AM173</f>
        <v>71</v>
      </c>
      <c r="T173" s="4">
        <f t="shared" si="15"/>
        <v>637395.26</v>
      </c>
      <c r="U173" s="4">
        <f t="shared" si="16"/>
        <v>9584.1538967136148</v>
      </c>
      <c r="V173" s="18">
        <f>'A) Base RI'!O173</f>
        <v>75859.199999999997</v>
      </c>
      <c r="W173" s="18">
        <f>'A) Base RI'!P173</f>
        <v>23139.599999999999</v>
      </c>
      <c r="X173" s="18">
        <f>'A) Base RI'!R173</f>
        <v>15766.25</v>
      </c>
      <c r="Y173" s="4">
        <f t="shared" si="17"/>
        <v>114765.04999999999</v>
      </c>
      <c r="Z173" s="18">
        <f>'A) Base RI'!N173</f>
        <v>9321.9500000000007</v>
      </c>
      <c r="AA173" s="18">
        <f>'A) Base RI'!S173+'A) Base RI'!T173</f>
        <v>0</v>
      </c>
      <c r="AB173" s="18">
        <f>'A) Base RI'!U173</f>
        <v>1225</v>
      </c>
      <c r="AC173" s="18">
        <f>'A) Base RI'!V173</f>
        <v>0</v>
      </c>
      <c r="AD173" s="18">
        <f>'A) Base RI'!W173</f>
        <v>0</v>
      </c>
      <c r="AE173" s="18">
        <f>'A) Base RI'!Y173</f>
        <v>24500</v>
      </c>
      <c r="AF173" s="18">
        <f>'A) Base RI'!Z173</f>
        <v>0</v>
      </c>
      <c r="AG173" s="18">
        <f>'A) Base RI'!AA173</f>
        <v>63274.85</v>
      </c>
      <c r="AH173" s="18">
        <f>'A) Base RI'!AB173</f>
        <v>0</v>
      </c>
      <c r="AI173" s="18">
        <f>'A) Base RI'!AC173</f>
        <v>29277.3</v>
      </c>
      <c r="AJ173" s="18">
        <f>'A) Base RI'!AD173</f>
        <v>893.4</v>
      </c>
      <c r="AK173" s="18">
        <f>'A) Base RI'!AE173</f>
        <v>0</v>
      </c>
      <c r="AL173" s="18">
        <f>'A) Base RI'!AF173</f>
        <v>0</v>
      </c>
      <c r="AM173" s="18">
        <f>'A) Base RI'!AG173</f>
        <v>0</v>
      </c>
      <c r="AN173" s="18">
        <f>'A) Base RI'!AH173</f>
        <v>0</v>
      </c>
      <c r="AO173" s="18">
        <f>'A) Base RI'!AI173</f>
        <v>0</v>
      </c>
      <c r="AP173" s="18">
        <f>'A) Base RI'!AJ173</f>
        <v>0</v>
      </c>
      <c r="AQ173" s="18">
        <f>'A) Base RI'!AK173</f>
        <v>0</v>
      </c>
      <c r="AR173" s="18">
        <f>'A) Base RI'!AN173</f>
        <v>376</v>
      </c>
    </row>
    <row r="174" spans="1:44" x14ac:dyDescent="0.25">
      <c r="A174" s="13">
        <f>'A) Base RI'!A174</f>
        <v>5674</v>
      </c>
      <c r="B174" s="62" t="str">
        <f>'A) Base RI'!B174</f>
        <v>Lovatens</v>
      </c>
      <c r="C174" s="18">
        <f>'A) Base RI'!C174+'A) Base RI'!D174</f>
        <v>408188.1</v>
      </c>
      <c r="D174" s="18">
        <f>'A) Base RI'!AO174</f>
        <v>-16694.009999999998</v>
      </c>
      <c r="E174" s="61">
        <f>'A) Base RI'!AP174</f>
        <v>0</v>
      </c>
      <c r="F174" s="61">
        <f>'A) Base RI'!AQ174</f>
        <v>0</v>
      </c>
      <c r="G174" s="4">
        <f t="shared" si="12"/>
        <v>391494.08999999997</v>
      </c>
      <c r="H174" s="18">
        <f>'A) Base RI'!E174</f>
        <v>0</v>
      </c>
      <c r="I174" s="18">
        <f>'A) Base RI'!F174</f>
        <v>0</v>
      </c>
      <c r="J174" s="18">
        <f>'A) Base RI'!G174+'A) Base RI'!H174</f>
        <v>309.10000000000002</v>
      </c>
      <c r="K174" s="18">
        <f>'A) Base RI'!I174</f>
        <v>0</v>
      </c>
      <c r="L174" s="18">
        <f>'A) Base RI'!J174</f>
        <v>504.42</v>
      </c>
      <c r="M174" s="18">
        <f>'A) Base RI'!K174</f>
        <v>64</v>
      </c>
      <c r="N174" s="18">
        <f>'A) Base RI'!Q174</f>
        <v>0</v>
      </c>
      <c r="O174" s="18">
        <f t="shared" si="13"/>
        <v>16734.714285714286</v>
      </c>
      <c r="P174" s="18">
        <f>'A) Base RI'!L174</f>
        <v>11714.3</v>
      </c>
      <c r="Q174" s="64">
        <f>'A) Base RI'!AR174</f>
        <v>0.7</v>
      </c>
      <c r="R174" s="4">
        <f t="shared" si="14"/>
        <v>409106.32428571419</v>
      </c>
      <c r="S174" s="63">
        <f>'A) Base RI'!AM174</f>
        <v>71</v>
      </c>
      <c r="T174" s="4">
        <f t="shared" si="15"/>
        <v>392307.60999999993</v>
      </c>
      <c r="U174" s="4">
        <f t="shared" si="16"/>
        <v>5762.0609054325942</v>
      </c>
      <c r="V174" s="18">
        <f>'A) Base RI'!O174</f>
        <v>2509.4</v>
      </c>
      <c r="W174" s="18">
        <f>'A) Base RI'!P174</f>
        <v>0</v>
      </c>
      <c r="X174" s="18">
        <f>'A) Base RI'!R174</f>
        <v>1461.95</v>
      </c>
      <c r="Y174" s="4">
        <f t="shared" si="17"/>
        <v>3971.3500000000004</v>
      </c>
      <c r="Z174" s="18">
        <f>'A) Base RI'!N174</f>
        <v>0</v>
      </c>
      <c r="AA174" s="18">
        <f>'A) Base RI'!S174+'A) Base RI'!T174</f>
        <v>0</v>
      </c>
      <c r="AB174" s="18">
        <f>'A) Base RI'!U174</f>
        <v>600</v>
      </c>
      <c r="AC174" s="18">
        <f>'A) Base RI'!V174</f>
        <v>0</v>
      </c>
      <c r="AD174" s="18">
        <f>'A) Base RI'!W174</f>
        <v>0</v>
      </c>
      <c r="AE174" s="18">
        <f>'A) Base RI'!Y174</f>
        <v>0</v>
      </c>
      <c r="AF174" s="18">
        <f>'A) Base RI'!Z174</f>
        <v>0</v>
      </c>
      <c r="AG174" s="18">
        <f>'A) Base RI'!AA174</f>
        <v>7640</v>
      </c>
      <c r="AH174" s="18">
        <f>'A) Base RI'!AB174</f>
        <v>0</v>
      </c>
      <c r="AI174" s="18">
        <f>'A) Base RI'!AC174</f>
        <v>10354.950000000001</v>
      </c>
      <c r="AJ174" s="18">
        <f>'A) Base RI'!AD174</f>
        <v>0</v>
      </c>
      <c r="AK174" s="18">
        <f>'A) Base RI'!AE174</f>
        <v>0</v>
      </c>
      <c r="AL174" s="18">
        <f>'A) Base RI'!AF174</f>
        <v>0</v>
      </c>
      <c r="AM174" s="18">
        <f>'A) Base RI'!AG174</f>
        <v>0</v>
      </c>
      <c r="AN174" s="18">
        <f>'A) Base RI'!AH174</f>
        <v>3548.3</v>
      </c>
      <c r="AO174" s="18">
        <f>'A) Base RI'!AI174</f>
        <v>0</v>
      </c>
      <c r="AP174" s="18">
        <f>'A) Base RI'!AJ174</f>
        <v>0</v>
      </c>
      <c r="AQ174" s="18">
        <f>'A) Base RI'!AK174</f>
        <v>0</v>
      </c>
      <c r="AR174" s="18">
        <f>'A) Base RI'!AN174</f>
        <v>140</v>
      </c>
    </row>
    <row r="175" spans="1:44" x14ac:dyDescent="0.25">
      <c r="A175" s="13">
        <f>'A) Base RI'!A175</f>
        <v>5675</v>
      </c>
      <c r="B175" s="62" t="str">
        <f>'A) Base RI'!B175</f>
        <v>Lucens</v>
      </c>
      <c r="C175" s="18">
        <f>'A) Base RI'!C175+'A) Base RI'!D175</f>
        <v>3709895.7</v>
      </c>
      <c r="D175" s="18">
        <f>'A) Base RI'!AO175</f>
        <v>-138632.14000000001</v>
      </c>
      <c r="E175" s="61">
        <f>'A) Base RI'!AP175</f>
        <v>0</v>
      </c>
      <c r="F175" s="61">
        <f>'A) Base RI'!AQ175</f>
        <v>-23.23</v>
      </c>
      <c r="G175" s="4">
        <f t="shared" si="12"/>
        <v>3571240.33</v>
      </c>
      <c r="H175" s="18">
        <f>'A) Base RI'!E175</f>
        <v>0</v>
      </c>
      <c r="I175" s="18">
        <f>'A) Base RI'!F175</f>
        <v>0</v>
      </c>
      <c r="J175" s="18">
        <f>'A) Base RI'!G175+'A) Base RI'!H175</f>
        <v>797864.9</v>
      </c>
      <c r="K175" s="18">
        <f>'A) Base RI'!I175</f>
        <v>0</v>
      </c>
      <c r="L175" s="18">
        <f>'A) Base RI'!J175</f>
        <v>317123.18</v>
      </c>
      <c r="M175" s="18">
        <f>'A) Base RI'!K175</f>
        <v>47370</v>
      </c>
      <c r="N175" s="18">
        <f>'A) Base RI'!Q175</f>
        <v>17235.62</v>
      </c>
      <c r="O175" s="18">
        <f t="shared" si="13"/>
        <v>445067.81818181812</v>
      </c>
      <c r="P175" s="18">
        <f>'A) Base RI'!L175</f>
        <v>489574.6</v>
      </c>
      <c r="Q175" s="64">
        <f>'A) Base RI'!AR175</f>
        <v>1.1000000000000001</v>
      </c>
      <c r="R175" s="4">
        <f t="shared" si="14"/>
        <v>5195901.8481818186</v>
      </c>
      <c r="S175" s="63">
        <f>'A) Base RI'!AM175</f>
        <v>66</v>
      </c>
      <c r="T175" s="4">
        <f t="shared" si="15"/>
        <v>4703464.03</v>
      </c>
      <c r="U175" s="4">
        <f t="shared" si="16"/>
        <v>78725.785578512397</v>
      </c>
      <c r="V175" s="18">
        <f>'A) Base RI'!O175</f>
        <v>20033.900000000001</v>
      </c>
      <c r="W175" s="18">
        <f>'A) Base RI'!P175</f>
        <v>175482</v>
      </c>
      <c r="X175" s="18">
        <f>'A) Base RI'!R175</f>
        <v>69718.100000000006</v>
      </c>
      <c r="Y175" s="4">
        <f t="shared" si="17"/>
        <v>265234</v>
      </c>
      <c r="Z175" s="18">
        <f>'A) Base RI'!N175</f>
        <v>37608.400000000001</v>
      </c>
      <c r="AA175" s="18">
        <f>'A) Base RI'!S175+'A) Base RI'!T175</f>
        <v>5079</v>
      </c>
      <c r="AB175" s="18">
        <f>'A) Base RI'!U175</f>
        <v>20900</v>
      </c>
      <c r="AC175" s="18">
        <f>'A) Base RI'!V175</f>
        <v>165.5</v>
      </c>
      <c r="AD175" s="18">
        <f>'A) Base RI'!W175</f>
        <v>0</v>
      </c>
      <c r="AE175" s="18">
        <f>'A) Base RI'!Y175</f>
        <v>41153.25</v>
      </c>
      <c r="AF175" s="18">
        <f>'A) Base RI'!Z175</f>
        <v>0</v>
      </c>
      <c r="AG175" s="18">
        <f>'A) Base RI'!AA175</f>
        <v>220661.55</v>
      </c>
      <c r="AH175" s="18">
        <f>'A) Base RI'!AB175</f>
        <v>0</v>
      </c>
      <c r="AI175" s="18">
        <f>'A) Base RI'!AC175</f>
        <v>348715.75</v>
      </c>
      <c r="AJ175" s="18">
        <f>'A) Base RI'!AD175</f>
        <v>23983.9</v>
      </c>
      <c r="AK175" s="18">
        <f>'A) Base RI'!AE175</f>
        <v>0</v>
      </c>
      <c r="AL175" s="18">
        <f>'A) Base RI'!AF175</f>
        <v>0</v>
      </c>
      <c r="AM175" s="18">
        <f>'A) Base RI'!AG175</f>
        <v>0</v>
      </c>
      <c r="AN175" s="18">
        <f>'A) Base RI'!AH175</f>
        <v>409118.25</v>
      </c>
      <c r="AO175" s="18">
        <f>'A) Base RI'!AI175</f>
        <v>0</v>
      </c>
      <c r="AP175" s="18">
        <f>'A) Base RI'!AJ175</f>
        <v>0</v>
      </c>
      <c r="AQ175" s="18">
        <f>'A) Base RI'!AK175</f>
        <v>0</v>
      </c>
      <c r="AR175" s="18">
        <f>'A) Base RI'!AN175</f>
        <v>3262</v>
      </c>
    </row>
    <row r="176" spans="1:44" x14ac:dyDescent="0.25">
      <c r="A176" s="13">
        <f>'A) Base RI'!A176</f>
        <v>5678</v>
      </c>
      <c r="B176" s="62" t="str">
        <f>'A) Base RI'!B176</f>
        <v>Moudon</v>
      </c>
      <c r="C176" s="18">
        <f>'A) Base RI'!C176+'A) Base RI'!D176</f>
        <v>7151902.2599999998</v>
      </c>
      <c r="D176" s="18">
        <f>'A) Base RI'!AO176</f>
        <v>-427234.4</v>
      </c>
      <c r="E176" s="61">
        <f>'A) Base RI'!AP176</f>
        <v>0</v>
      </c>
      <c r="F176" s="61">
        <f>'A) Base RI'!AQ176</f>
        <v>-968.24</v>
      </c>
      <c r="G176" s="4">
        <f t="shared" si="12"/>
        <v>6723699.6199999992</v>
      </c>
      <c r="H176" s="18">
        <f>'A) Base RI'!E176</f>
        <v>0</v>
      </c>
      <c r="I176" s="18">
        <f>'A) Base RI'!F176</f>
        <v>29217.5</v>
      </c>
      <c r="J176" s="18">
        <f>'A) Base RI'!G176+'A) Base RI'!H176</f>
        <v>858689.75</v>
      </c>
      <c r="K176" s="18">
        <f>'A) Base RI'!I176</f>
        <v>0</v>
      </c>
      <c r="L176" s="18">
        <f>'A) Base RI'!J176</f>
        <v>477379.88</v>
      </c>
      <c r="M176" s="18">
        <f>'A) Base RI'!K176</f>
        <v>29797</v>
      </c>
      <c r="N176" s="18">
        <f>'A) Base RI'!Q176</f>
        <v>96029.23</v>
      </c>
      <c r="O176" s="18">
        <f t="shared" si="13"/>
        <v>714705.55</v>
      </c>
      <c r="P176" s="18">
        <f>'A) Base RI'!L176</f>
        <v>714705.55</v>
      </c>
      <c r="Q176" s="64">
        <f>'A) Base RI'!AR176</f>
        <v>1</v>
      </c>
      <c r="R176" s="4">
        <f t="shared" si="14"/>
        <v>8929518.5299999993</v>
      </c>
      <c r="S176" s="63">
        <f>'A) Base RI'!AM176</f>
        <v>75</v>
      </c>
      <c r="T176" s="4">
        <f t="shared" si="15"/>
        <v>8155798.4799999995</v>
      </c>
      <c r="U176" s="4">
        <f t="shared" si="16"/>
        <v>119060.24706666666</v>
      </c>
      <c r="V176" s="18">
        <f>'A) Base RI'!O176</f>
        <v>19193.599999999999</v>
      </c>
      <c r="W176" s="18">
        <f>'A) Base RI'!P176</f>
        <v>280927.40000000002</v>
      </c>
      <c r="X176" s="18">
        <f>'A) Base RI'!R176</f>
        <v>253793.9</v>
      </c>
      <c r="Y176" s="4">
        <f t="shared" si="17"/>
        <v>553914.9</v>
      </c>
      <c r="Z176" s="18">
        <f>'A) Base RI'!N176</f>
        <v>63283.25</v>
      </c>
      <c r="AA176" s="18">
        <f>'A) Base RI'!S176+'A) Base RI'!T176</f>
        <v>24323.200000000001</v>
      </c>
      <c r="AB176" s="18">
        <f>'A) Base RI'!U176</f>
        <v>31860</v>
      </c>
      <c r="AC176" s="18">
        <f>'A) Base RI'!V176</f>
        <v>35366</v>
      </c>
      <c r="AD176" s="18">
        <f>'A) Base RI'!W176</f>
        <v>2113.5</v>
      </c>
      <c r="AE176" s="18">
        <f>'A) Base RI'!Y176</f>
        <v>205679.15</v>
      </c>
      <c r="AF176" s="18">
        <f>'A) Base RI'!Z176</f>
        <v>0</v>
      </c>
      <c r="AG176" s="18">
        <f>'A) Base RI'!AA176</f>
        <v>808106.4</v>
      </c>
      <c r="AH176" s="18">
        <f>'A) Base RI'!AB176</f>
        <v>0</v>
      </c>
      <c r="AI176" s="18">
        <f>'A) Base RI'!AC176</f>
        <v>428510.75</v>
      </c>
      <c r="AJ176" s="18">
        <f>'A) Base RI'!AD176</f>
        <v>120926.55</v>
      </c>
      <c r="AK176" s="18">
        <f>'A) Base RI'!AE176</f>
        <v>0</v>
      </c>
      <c r="AL176" s="18">
        <f>'A) Base RI'!AF176</f>
        <v>0</v>
      </c>
      <c r="AM176" s="18">
        <f>'A) Base RI'!AG176</f>
        <v>5132.3999999999996</v>
      </c>
      <c r="AN176" s="18">
        <f>'A) Base RI'!AH176</f>
        <v>210888.55</v>
      </c>
      <c r="AO176" s="18">
        <f>'A) Base RI'!AI176</f>
        <v>0</v>
      </c>
      <c r="AP176" s="18">
        <f>'A) Base RI'!AJ176</f>
        <v>0</v>
      </c>
      <c r="AQ176" s="18">
        <f>'A) Base RI'!AK176</f>
        <v>0</v>
      </c>
      <c r="AR176" s="18">
        <f>'A) Base RI'!AN176</f>
        <v>5656</v>
      </c>
    </row>
    <row r="177" spans="1:44" x14ac:dyDescent="0.25">
      <c r="A177" s="13">
        <f>'A) Base RI'!A177</f>
        <v>5680</v>
      </c>
      <c r="B177" s="62" t="str">
        <f>'A) Base RI'!B177</f>
        <v>Ogens</v>
      </c>
      <c r="C177" s="18">
        <f>'A) Base RI'!C177+'A) Base RI'!D177</f>
        <v>475369.13</v>
      </c>
      <c r="D177" s="18">
        <f>'A) Base RI'!AO177</f>
        <v>-2684.43</v>
      </c>
      <c r="E177" s="61">
        <f>'A) Base RI'!AP177</f>
        <v>0</v>
      </c>
      <c r="F177" s="61">
        <f>'A) Base RI'!AQ177</f>
        <v>0</v>
      </c>
      <c r="G177" s="4">
        <f t="shared" si="12"/>
        <v>472684.7</v>
      </c>
      <c r="H177" s="18">
        <f>'A) Base RI'!E177</f>
        <v>0</v>
      </c>
      <c r="I177" s="18">
        <f>'A) Base RI'!F177</f>
        <v>0</v>
      </c>
      <c r="J177" s="18">
        <f>'A) Base RI'!G177+'A) Base RI'!H177</f>
        <v>-78.599999999999994</v>
      </c>
      <c r="K177" s="18">
        <f>'A) Base RI'!I177</f>
        <v>0</v>
      </c>
      <c r="L177" s="18">
        <f>'A) Base RI'!J177</f>
        <v>3399.51</v>
      </c>
      <c r="M177" s="18">
        <f>'A) Base RI'!K177</f>
        <v>55</v>
      </c>
      <c r="N177" s="18">
        <f>'A) Base RI'!Q177</f>
        <v>0</v>
      </c>
      <c r="O177" s="18">
        <f t="shared" si="13"/>
        <v>36258</v>
      </c>
      <c r="P177" s="18">
        <f>'A) Base RI'!L177</f>
        <v>54387</v>
      </c>
      <c r="Q177" s="64">
        <f>'A) Base RI'!AR177</f>
        <v>1.5</v>
      </c>
      <c r="R177" s="4">
        <f t="shared" si="14"/>
        <v>512318.61000000004</v>
      </c>
      <c r="S177" s="63">
        <f>'A) Base RI'!AM177</f>
        <v>78</v>
      </c>
      <c r="T177" s="4">
        <f t="shared" si="15"/>
        <v>476005.61000000004</v>
      </c>
      <c r="U177" s="4">
        <f t="shared" si="16"/>
        <v>6568.1873076923084</v>
      </c>
      <c r="V177" s="18">
        <v>0</v>
      </c>
      <c r="W177" s="18">
        <f>'A) Base RI'!P177</f>
        <v>5383.5</v>
      </c>
      <c r="X177" s="18">
        <f>'A) Base RI'!R177</f>
        <v>16409.45</v>
      </c>
      <c r="Y177" s="4">
        <f t="shared" si="17"/>
        <v>21792.95</v>
      </c>
      <c r="Z177" s="18">
        <v>0</v>
      </c>
      <c r="AA177" s="18">
        <f>'A) Base RI'!S177+'A) Base RI'!T177</f>
        <v>30</v>
      </c>
      <c r="AB177" s="18">
        <f>'A) Base RI'!U177</f>
        <v>2100</v>
      </c>
      <c r="AC177" s="18">
        <f>'A) Base RI'!V177</f>
        <v>0</v>
      </c>
      <c r="AD177" s="18">
        <f>'A) Base RI'!W177</f>
        <v>0</v>
      </c>
      <c r="AE177" s="18">
        <f>'A) Base RI'!Y177</f>
        <v>0</v>
      </c>
      <c r="AF177" s="18">
        <f>'A) Base RI'!Z177</f>
        <v>0</v>
      </c>
      <c r="AG177" s="18">
        <f>'A) Base RI'!AA177</f>
        <v>26939.9</v>
      </c>
      <c r="AH177" s="18">
        <f>'A) Base RI'!AB177</f>
        <v>0</v>
      </c>
      <c r="AI177" s="18">
        <f>'A) Base RI'!AC177</f>
        <v>15061.95</v>
      </c>
      <c r="AJ177" s="18">
        <f>'A) Base RI'!AD177</f>
        <v>0</v>
      </c>
      <c r="AK177" s="18">
        <f>'A) Base RI'!AE177</f>
        <v>0</v>
      </c>
      <c r="AL177" s="18">
        <f>'A) Base RI'!AF177</f>
        <v>0</v>
      </c>
      <c r="AM177" s="18">
        <f>'A) Base RI'!AG177</f>
        <v>0</v>
      </c>
      <c r="AN177" s="18">
        <f>'A) Base RI'!AH177</f>
        <v>6234.45</v>
      </c>
      <c r="AO177" s="18">
        <f>'A) Base RI'!AI177</f>
        <v>0</v>
      </c>
      <c r="AP177" s="18">
        <f>'A) Base RI'!AJ177</f>
        <v>0</v>
      </c>
      <c r="AQ177" s="18">
        <f>'A) Base RI'!AK177</f>
        <v>0</v>
      </c>
      <c r="AR177" s="18">
        <f>'A) Base RI'!AN177</f>
        <v>261</v>
      </c>
    </row>
    <row r="178" spans="1:44" x14ac:dyDescent="0.25">
      <c r="A178" s="13">
        <f>'A) Base RI'!A178</f>
        <v>5683</v>
      </c>
      <c r="B178" s="62" t="str">
        <f>'A) Base RI'!B178</f>
        <v>Prévonloup</v>
      </c>
      <c r="C178" s="18">
        <f>'A) Base RI'!C178+'A) Base RI'!D178</f>
        <v>249798.71000000002</v>
      </c>
      <c r="D178" s="18">
        <f>'A) Base RI'!AO178</f>
        <v>-9666.58</v>
      </c>
      <c r="E178" s="61">
        <f>'A) Base RI'!AP178</f>
        <v>0</v>
      </c>
      <c r="F178" s="61">
        <f>'A) Base RI'!AQ178</f>
        <v>0</v>
      </c>
      <c r="G178" s="4">
        <f t="shared" si="12"/>
        <v>240132.13000000003</v>
      </c>
      <c r="H178" s="18">
        <f>'A) Base RI'!E178</f>
        <v>0</v>
      </c>
      <c r="I178" s="18">
        <f>'A) Base RI'!F178</f>
        <v>0</v>
      </c>
      <c r="J178" s="18">
        <f>'A) Base RI'!G178+'A) Base RI'!H178</f>
        <v>14841</v>
      </c>
      <c r="K178" s="18">
        <f>'A) Base RI'!I178</f>
        <v>0</v>
      </c>
      <c r="L178" s="18">
        <f>'A) Base RI'!J178</f>
        <v>7083.17</v>
      </c>
      <c r="M178" s="18">
        <f>'A) Base RI'!K178</f>
        <v>28</v>
      </c>
      <c r="N178" s="18">
        <f>'A) Base RI'!Q178</f>
        <v>0</v>
      </c>
      <c r="O178" s="18">
        <f t="shared" si="13"/>
        <v>16192.55</v>
      </c>
      <c r="P178" s="18">
        <f>'A) Base RI'!L178</f>
        <v>16192.55</v>
      </c>
      <c r="Q178" s="64">
        <f>'A) Base RI'!AR178</f>
        <v>1</v>
      </c>
      <c r="R178" s="4">
        <f t="shared" si="14"/>
        <v>278276.85000000003</v>
      </c>
      <c r="S178" s="63">
        <f>'A) Base RI'!AM178</f>
        <v>74</v>
      </c>
      <c r="T178" s="4">
        <f t="shared" si="15"/>
        <v>262056.30000000005</v>
      </c>
      <c r="U178" s="4">
        <f t="shared" si="16"/>
        <v>3760.4979729729735</v>
      </c>
      <c r="V178" s="18">
        <v>0</v>
      </c>
      <c r="W178" s="18">
        <f>'A) Base RI'!P178</f>
        <v>8085</v>
      </c>
      <c r="X178" s="18">
        <v>0</v>
      </c>
      <c r="Y178" s="4">
        <f t="shared" si="17"/>
        <v>8085</v>
      </c>
      <c r="Z178" s="18">
        <v>0</v>
      </c>
      <c r="AA178" s="18">
        <f>'A) Base RI'!S178+'A) Base RI'!T178</f>
        <v>0</v>
      </c>
      <c r="AB178" s="18">
        <f>'A) Base RI'!U178</f>
        <v>1075</v>
      </c>
      <c r="AC178" s="18">
        <f>'A) Base RI'!V178</f>
        <v>0</v>
      </c>
      <c r="AD178" s="18">
        <f>'A) Base RI'!W178</f>
        <v>0</v>
      </c>
      <c r="AE178" s="18">
        <f>'A) Base RI'!Y178</f>
        <v>13500</v>
      </c>
      <c r="AF178" s="18">
        <f>'A) Base RI'!Z178</f>
        <v>0</v>
      </c>
      <c r="AG178" s="18">
        <f>'A) Base RI'!AA178</f>
        <v>9045.85</v>
      </c>
      <c r="AH178" s="18">
        <f>'A) Base RI'!AB178</f>
        <v>0</v>
      </c>
      <c r="AI178" s="18">
        <f>'A) Base RI'!AC178</f>
        <v>13121.85</v>
      </c>
      <c r="AJ178" s="18">
        <f>'A) Base RI'!AD178</f>
        <v>0</v>
      </c>
      <c r="AK178" s="18">
        <f>'A) Base RI'!AE178</f>
        <v>0</v>
      </c>
      <c r="AL178" s="18">
        <f>'A) Base RI'!AF178</f>
        <v>0</v>
      </c>
      <c r="AM178" s="18">
        <f>'A) Base RI'!AG178</f>
        <v>0</v>
      </c>
      <c r="AN178" s="18">
        <f>'A) Base RI'!AH178</f>
        <v>0</v>
      </c>
      <c r="AO178" s="18">
        <f>'A) Base RI'!AI178</f>
        <v>0</v>
      </c>
      <c r="AP178" s="18">
        <f>'A) Base RI'!AJ178</f>
        <v>0</v>
      </c>
      <c r="AQ178" s="18">
        <f>'A) Base RI'!AK178</f>
        <v>0</v>
      </c>
      <c r="AR178" s="18">
        <f>'A) Base RI'!AN178</f>
        <v>173</v>
      </c>
    </row>
    <row r="179" spans="1:44" x14ac:dyDescent="0.25">
      <c r="A179" s="13">
        <f>'A) Base RI'!A179</f>
        <v>5684</v>
      </c>
      <c r="B179" s="62" t="str">
        <f>'A) Base RI'!B179</f>
        <v>Rossenges</v>
      </c>
      <c r="C179" s="18">
        <f>'A) Base RI'!C179+'A) Base RI'!D179</f>
        <v>66280.44</v>
      </c>
      <c r="D179" s="18">
        <f>'A) Base RI'!AO179</f>
        <v>-10.48</v>
      </c>
      <c r="E179" s="61">
        <f>'A) Base RI'!AP179</f>
        <v>0</v>
      </c>
      <c r="F179" s="61">
        <f>'A) Base RI'!AQ179</f>
        <v>0</v>
      </c>
      <c r="G179" s="4">
        <f t="shared" si="12"/>
        <v>66269.960000000006</v>
      </c>
      <c r="H179" s="18">
        <f>'A) Base RI'!E179</f>
        <v>0</v>
      </c>
      <c r="I179" s="18">
        <f>'A) Base RI'!F179</f>
        <v>0</v>
      </c>
      <c r="J179" s="18">
        <f>'A) Base RI'!G179+'A) Base RI'!H179</f>
        <v>1499.75</v>
      </c>
      <c r="K179" s="18">
        <f>'A) Base RI'!I179</f>
        <v>0</v>
      </c>
      <c r="L179" s="18">
        <f>'A) Base RI'!J179</f>
        <v>1.1200000000000001</v>
      </c>
      <c r="M179" s="18">
        <f>'A) Base RI'!K179</f>
        <v>0</v>
      </c>
      <c r="N179" s="18">
        <f>'A) Base RI'!Q179</f>
        <v>0</v>
      </c>
      <c r="O179" s="18">
        <f t="shared" si="13"/>
        <v>7667.3749999999991</v>
      </c>
      <c r="P179" s="18">
        <f>'A) Base RI'!L179</f>
        <v>6133.9</v>
      </c>
      <c r="Q179" s="64">
        <f>'A) Base RI'!AR179</f>
        <v>0.8</v>
      </c>
      <c r="R179" s="4">
        <f t="shared" si="14"/>
        <v>75438.205000000002</v>
      </c>
      <c r="S179" s="63">
        <f>'A) Base RI'!AM179</f>
        <v>60</v>
      </c>
      <c r="T179" s="4">
        <f t="shared" si="15"/>
        <v>67770.83</v>
      </c>
      <c r="U179" s="4">
        <f t="shared" si="16"/>
        <v>1257.3034166666666</v>
      </c>
      <c r="V179" s="18">
        <f>'A) Base RI'!O179</f>
        <v>0</v>
      </c>
      <c r="W179" s="18">
        <f>'A) Base RI'!P179</f>
        <v>0</v>
      </c>
      <c r="X179" s="18">
        <f>'A) Base RI'!R179</f>
        <v>0</v>
      </c>
      <c r="Y179" s="4">
        <f t="shared" si="17"/>
        <v>0</v>
      </c>
      <c r="Z179" s="18">
        <f>'A) Base RI'!N179</f>
        <v>0</v>
      </c>
      <c r="AA179" s="18">
        <f>'A) Base RI'!S179+'A) Base RI'!T179</f>
        <v>0</v>
      </c>
      <c r="AB179" s="18">
        <f>'A) Base RI'!U179</f>
        <v>0</v>
      </c>
      <c r="AC179" s="18">
        <f>'A) Base RI'!V179</f>
        <v>0</v>
      </c>
      <c r="AD179" s="18">
        <f>'A) Base RI'!W179</f>
        <v>0</v>
      </c>
      <c r="AE179" s="18">
        <f>'A) Base RI'!Y179</f>
        <v>0</v>
      </c>
      <c r="AF179" s="18">
        <f>'A) Base RI'!Z179</f>
        <v>0</v>
      </c>
      <c r="AG179" s="18">
        <f>'A) Base RI'!AA179</f>
        <v>3429</v>
      </c>
      <c r="AH179" s="18">
        <f>'A) Base RI'!AB179</f>
        <v>0</v>
      </c>
      <c r="AI179" s="18">
        <f>'A) Base RI'!AC179</f>
        <v>6761</v>
      </c>
      <c r="AJ179" s="18">
        <f>'A) Base RI'!AD179</f>
        <v>0</v>
      </c>
      <c r="AK179" s="18">
        <f>'A) Base RI'!AE179</f>
        <v>0</v>
      </c>
      <c r="AL179" s="18">
        <f>'A) Base RI'!AF179</f>
        <v>0</v>
      </c>
      <c r="AM179" s="18">
        <f>'A) Base RI'!AG179</f>
        <v>0</v>
      </c>
      <c r="AN179" s="18">
        <f>'A) Base RI'!AH179</f>
        <v>0</v>
      </c>
      <c r="AO179" s="18">
        <f>'A) Base RI'!AI179</f>
        <v>0</v>
      </c>
      <c r="AP179" s="18">
        <f>'A) Base RI'!AJ179</f>
        <v>0</v>
      </c>
      <c r="AQ179" s="18">
        <f>'A) Base RI'!AK179</f>
        <v>0</v>
      </c>
      <c r="AR179" s="18">
        <f>'A) Base RI'!AN179</f>
        <v>63</v>
      </c>
    </row>
    <row r="180" spans="1:44" x14ac:dyDescent="0.25">
      <c r="A180" s="13">
        <f>'A) Base RI'!A180</f>
        <v>5686</v>
      </c>
      <c r="B180" s="62" t="str">
        <f>'A) Base RI'!B180</f>
        <v>Sarzens</v>
      </c>
      <c r="C180" s="18">
        <f>'A) Base RI'!C180+'A) Base RI'!D180</f>
        <v>105579.45</v>
      </c>
      <c r="D180" s="18">
        <f>'A) Base RI'!AO180</f>
        <v>-44.87</v>
      </c>
      <c r="E180" s="61">
        <f>'A) Base RI'!AP180</f>
        <v>0</v>
      </c>
      <c r="F180" s="61">
        <f>'A) Base RI'!AQ180</f>
        <v>0</v>
      </c>
      <c r="G180" s="4">
        <f t="shared" si="12"/>
        <v>105534.58</v>
      </c>
      <c r="H180" s="18">
        <f>'A) Base RI'!E180</f>
        <v>0</v>
      </c>
      <c r="I180" s="18">
        <f>'A) Base RI'!F180</f>
        <v>0</v>
      </c>
      <c r="J180" s="18">
        <f>'A) Base RI'!G180+'A) Base RI'!H180</f>
        <v>149.35</v>
      </c>
      <c r="K180" s="18">
        <f>'A) Base RI'!I180</f>
        <v>0</v>
      </c>
      <c r="L180" s="18">
        <f>'A) Base RI'!J180</f>
        <v>1737.8</v>
      </c>
      <c r="M180" s="18">
        <f>'A) Base RI'!K180</f>
        <v>0</v>
      </c>
      <c r="N180" s="18">
        <f>'A) Base RI'!Q180</f>
        <v>0</v>
      </c>
      <c r="O180" s="18">
        <f t="shared" si="13"/>
        <v>8989.0499999999993</v>
      </c>
      <c r="P180" s="18">
        <f>'A) Base RI'!L180</f>
        <v>8989.0499999999993</v>
      </c>
      <c r="Q180" s="64">
        <f>'A) Base RI'!AR180</f>
        <v>1</v>
      </c>
      <c r="R180" s="4">
        <f t="shared" si="14"/>
        <v>116410.78000000001</v>
      </c>
      <c r="S180" s="63">
        <f>'A) Base RI'!AM180</f>
        <v>76</v>
      </c>
      <c r="T180" s="4">
        <f t="shared" si="15"/>
        <v>107421.73000000001</v>
      </c>
      <c r="U180" s="4">
        <f t="shared" si="16"/>
        <v>1531.7207894736844</v>
      </c>
      <c r="V180" s="18">
        <f>'A) Base RI'!O180</f>
        <v>4058.8</v>
      </c>
      <c r="W180" s="18">
        <f>'A) Base RI'!P180</f>
        <v>16055.35</v>
      </c>
      <c r="X180" s="18">
        <v>0</v>
      </c>
      <c r="Y180" s="4">
        <f t="shared" si="17"/>
        <v>20114.150000000001</v>
      </c>
      <c r="Z180" s="18">
        <v>0</v>
      </c>
      <c r="AA180" s="18">
        <f>'A) Base RI'!S180+'A) Base RI'!T180</f>
        <v>0</v>
      </c>
      <c r="AB180" s="18">
        <f>'A) Base RI'!U180</f>
        <v>137.5</v>
      </c>
      <c r="AC180" s="18">
        <f>'A) Base RI'!V180</f>
        <v>0</v>
      </c>
      <c r="AD180" s="18">
        <f>'A) Base RI'!W180</f>
        <v>0</v>
      </c>
      <c r="AE180" s="18">
        <f>'A) Base RI'!Y180</f>
        <v>0</v>
      </c>
      <c r="AF180" s="18">
        <f>'A) Base RI'!Z180</f>
        <v>7500</v>
      </c>
      <c r="AG180" s="18">
        <f>'A) Base RI'!AA180</f>
        <v>3613.75</v>
      </c>
      <c r="AH180" s="18">
        <f>'A) Base RI'!AB180</f>
        <v>0</v>
      </c>
      <c r="AI180" s="18">
        <f>'A) Base RI'!AC180</f>
        <v>8525.9</v>
      </c>
      <c r="AJ180" s="18">
        <f>'A) Base RI'!AD180</f>
        <v>0</v>
      </c>
      <c r="AK180" s="18">
        <f>'A) Base RI'!AE180</f>
        <v>0</v>
      </c>
      <c r="AL180" s="18">
        <f>'A) Base RI'!AF180</f>
        <v>0</v>
      </c>
      <c r="AM180" s="18">
        <f>'A) Base RI'!AG180</f>
        <v>0</v>
      </c>
      <c r="AN180" s="18">
        <f>'A) Base RI'!AH180</f>
        <v>0</v>
      </c>
      <c r="AO180" s="18">
        <f>'A) Base RI'!AI180</f>
        <v>0</v>
      </c>
      <c r="AP180" s="18">
        <f>'A) Base RI'!AJ180</f>
        <v>0</v>
      </c>
      <c r="AQ180" s="18">
        <f>'A) Base RI'!AK180</f>
        <v>0</v>
      </c>
      <c r="AR180" s="18">
        <f>'A) Base RI'!AN180</f>
        <v>87</v>
      </c>
    </row>
    <row r="181" spans="1:44" x14ac:dyDescent="0.25">
      <c r="A181" s="13">
        <f>'A) Base RI'!A181</f>
        <v>5688</v>
      </c>
      <c r="B181" s="62" t="str">
        <f>'A) Base RI'!B181</f>
        <v>Syens</v>
      </c>
      <c r="C181" s="18">
        <f>'A) Base RI'!C181+'A) Base RI'!D181</f>
        <v>302102.98000000004</v>
      </c>
      <c r="D181" s="18">
        <f>'A) Base RI'!AO181</f>
        <v>-0.77</v>
      </c>
      <c r="E181" s="61">
        <f>'A) Base RI'!AP181</f>
        <v>0</v>
      </c>
      <c r="F181" s="61">
        <f>'A) Base RI'!AQ181</f>
        <v>0</v>
      </c>
      <c r="G181" s="4">
        <f t="shared" si="12"/>
        <v>302102.21000000002</v>
      </c>
      <c r="H181" s="18">
        <f>'A) Base RI'!E181</f>
        <v>0</v>
      </c>
      <c r="I181" s="18">
        <f>'A) Base RI'!F181</f>
        <v>0</v>
      </c>
      <c r="J181" s="18">
        <f>'A) Base RI'!G181+'A) Base RI'!H181</f>
        <v>14098.449999999999</v>
      </c>
      <c r="K181" s="18">
        <f>'A) Base RI'!I181</f>
        <v>0</v>
      </c>
      <c r="L181" s="18">
        <f>'A) Base RI'!J181</f>
        <v>12622.3</v>
      </c>
      <c r="M181" s="18">
        <f>'A) Base RI'!K181</f>
        <v>240</v>
      </c>
      <c r="N181" s="18">
        <f>'A) Base RI'!Q181</f>
        <v>0</v>
      </c>
      <c r="O181" s="18">
        <f t="shared" si="13"/>
        <v>18909.400000000001</v>
      </c>
      <c r="P181" s="18">
        <f>'A) Base RI'!L181</f>
        <v>18909.400000000001</v>
      </c>
      <c r="Q181" s="64">
        <f>'A) Base RI'!AR181</f>
        <v>1</v>
      </c>
      <c r="R181" s="4">
        <f t="shared" si="14"/>
        <v>347972.36000000004</v>
      </c>
      <c r="S181" s="63">
        <f>'A) Base RI'!AM181</f>
        <v>75.599999999999994</v>
      </c>
      <c r="T181" s="4">
        <f t="shared" si="15"/>
        <v>328822.96000000002</v>
      </c>
      <c r="U181" s="4">
        <f t="shared" si="16"/>
        <v>4602.8089947089957</v>
      </c>
      <c r="V181" s="18">
        <f>'A) Base RI'!O181</f>
        <v>4</v>
      </c>
      <c r="W181" s="18">
        <f>'A) Base RI'!P181</f>
        <v>14.7</v>
      </c>
      <c r="X181" s="18">
        <f>'A) Base RI'!R181</f>
        <v>4618.55</v>
      </c>
      <c r="Y181" s="4">
        <f t="shared" si="17"/>
        <v>4637.25</v>
      </c>
      <c r="Z181" s="18">
        <v>0</v>
      </c>
      <c r="AA181" s="18">
        <f>'A) Base RI'!S181+'A) Base RI'!T181</f>
        <v>0</v>
      </c>
      <c r="AB181" s="18">
        <f>'A) Base RI'!U181</f>
        <v>480</v>
      </c>
      <c r="AC181" s="18">
        <f>'A) Base RI'!V181</f>
        <v>0</v>
      </c>
      <c r="AD181" s="18">
        <f>'A) Base RI'!W181</f>
        <v>0</v>
      </c>
      <c r="AE181" s="18">
        <f>'A) Base RI'!Y181</f>
        <v>7590</v>
      </c>
      <c r="AF181" s="18">
        <f>'A) Base RI'!Z181</f>
        <v>0</v>
      </c>
      <c r="AG181" s="18">
        <f>'A) Base RI'!AA181</f>
        <v>6321.5</v>
      </c>
      <c r="AH181" s="18">
        <f>'A) Base RI'!AB181</f>
        <v>0</v>
      </c>
      <c r="AI181" s="18">
        <f>'A) Base RI'!AC181</f>
        <v>13088.5</v>
      </c>
      <c r="AJ181" s="18">
        <f>'A) Base RI'!AD181</f>
        <v>0</v>
      </c>
      <c r="AK181" s="18">
        <f>'A) Base RI'!AE181</f>
        <v>0</v>
      </c>
      <c r="AL181" s="18">
        <f>'A) Base RI'!AF181</f>
        <v>0</v>
      </c>
      <c r="AM181" s="18">
        <f>'A) Base RI'!AG181</f>
        <v>0</v>
      </c>
      <c r="AN181" s="18">
        <f>'A) Base RI'!AH181</f>
        <v>0</v>
      </c>
      <c r="AO181" s="18">
        <f>'A) Base RI'!AI181</f>
        <v>0</v>
      </c>
      <c r="AP181" s="18">
        <f>'A) Base RI'!AJ181</f>
        <v>0</v>
      </c>
      <c r="AQ181" s="18">
        <f>'A) Base RI'!AK181</f>
        <v>0</v>
      </c>
      <c r="AR181" s="18">
        <f>'A) Base RI'!AN181</f>
        <v>126</v>
      </c>
    </row>
    <row r="182" spans="1:44" x14ac:dyDescent="0.25">
      <c r="A182" s="13">
        <f>'A) Base RI'!A182</f>
        <v>5690</v>
      </c>
      <c r="B182" s="62" t="str">
        <f>'A) Base RI'!B182</f>
        <v>Villars-le-Comte</v>
      </c>
      <c r="C182" s="18">
        <f>'A) Base RI'!C182+'A) Base RI'!D182</f>
        <v>222468.25</v>
      </c>
      <c r="D182" s="18">
        <f>'A) Base RI'!AO182</f>
        <v>-3984.79</v>
      </c>
      <c r="E182" s="61">
        <f>'A) Base RI'!AP182</f>
        <v>0</v>
      </c>
      <c r="F182" s="61">
        <f>'A) Base RI'!AQ182</f>
        <v>0</v>
      </c>
      <c r="G182" s="4">
        <f t="shared" si="12"/>
        <v>218483.46</v>
      </c>
      <c r="H182" s="18">
        <f>'A) Base RI'!E182</f>
        <v>0</v>
      </c>
      <c r="I182" s="18">
        <f>'A) Base RI'!F182</f>
        <v>890</v>
      </c>
      <c r="J182" s="18">
        <f>'A) Base RI'!G182+'A) Base RI'!H182</f>
        <v>1259.7</v>
      </c>
      <c r="K182" s="18">
        <f>'A) Base RI'!I182</f>
        <v>0</v>
      </c>
      <c r="L182" s="18">
        <f>'A) Base RI'!J182</f>
        <v>-60.29</v>
      </c>
      <c r="M182" s="18">
        <f>'A) Base RI'!K182</f>
        <v>184</v>
      </c>
      <c r="N182" s="18">
        <f>'A) Base RI'!Q182</f>
        <v>0</v>
      </c>
      <c r="O182" s="18">
        <f t="shared" si="13"/>
        <v>18116.7</v>
      </c>
      <c r="P182" s="18">
        <f>'A) Base RI'!L182</f>
        <v>27175.05</v>
      </c>
      <c r="Q182" s="64">
        <f>'A) Base RI'!AR182</f>
        <v>1.5</v>
      </c>
      <c r="R182" s="4">
        <f t="shared" si="14"/>
        <v>238873.57</v>
      </c>
      <c r="S182" s="63">
        <f>'A) Base RI'!AM182</f>
        <v>76</v>
      </c>
      <c r="T182" s="4">
        <f t="shared" si="15"/>
        <v>219682.87</v>
      </c>
      <c r="U182" s="4">
        <f t="shared" si="16"/>
        <v>3143.0732894736843</v>
      </c>
      <c r="V182" s="18">
        <v>0</v>
      </c>
      <c r="W182" s="18">
        <f>'A) Base RI'!P182</f>
        <v>132</v>
      </c>
      <c r="X182" s="18">
        <f>'A) Base RI'!R182</f>
        <v>362.5</v>
      </c>
      <c r="Y182" s="4">
        <f t="shared" si="17"/>
        <v>494.5</v>
      </c>
      <c r="Z182" s="18">
        <v>0</v>
      </c>
      <c r="AA182" s="18">
        <f>'A) Base RI'!S182+'A) Base RI'!T182</f>
        <v>0</v>
      </c>
      <c r="AB182" s="18">
        <f>'A) Base RI'!U182</f>
        <v>575</v>
      </c>
      <c r="AC182" s="18">
        <f>'A) Base RI'!V182</f>
        <v>0</v>
      </c>
      <c r="AD182" s="18">
        <f>'A) Base RI'!W182</f>
        <v>0</v>
      </c>
      <c r="AE182" s="18">
        <f>'A) Base RI'!Y182</f>
        <v>0</v>
      </c>
      <c r="AF182" s="18">
        <f>'A) Base RI'!Z182</f>
        <v>0</v>
      </c>
      <c r="AG182" s="18">
        <f>'A) Base RI'!AA182</f>
        <v>20605</v>
      </c>
      <c r="AH182" s="18">
        <f>'A) Base RI'!AB182</f>
        <v>0</v>
      </c>
      <c r="AI182" s="18">
        <f>'A) Base RI'!AC182</f>
        <v>16080.95</v>
      </c>
      <c r="AJ182" s="18">
        <f>'A) Base RI'!AD182</f>
        <v>0</v>
      </c>
      <c r="AK182" s="18">
        <f>'A) Base RI'!AE182</f>
        <v>0</v>
      </c>
      <c r="AL182" s="18">
        <f>'A) Base RI'!AF182</f>
        <v>0</v>
      </c>
      <c r="AM182" s="18">
        <f>'A) Base RI'!AG182</f>
        <v>0</v>
      </c>
      <c r="AN182" s="18">
        <f>'A) Base RI'!AH182</f>
        <v>0</v>
      </c>
      <c r="AO182" s="18">
        <f>'A) Base RI'!AI182</f>
        <v>0</v>
      </c>
      <c r="AP182" s="18">
        <f>'A) Base RI'!AJ182</f>
        <v>0</v>
      </c>
      <c r="AQ182" s="18">
        <f>'A) Base RI'!AK182</f>
        <v>0</v>
      </c>
      <c r="AR182" s="18">
        <f>'A) Base RI'!AN182</f>
        <v>153</v>
      </c>
    </row>
    <row r="183" spans="1:44" x14ac:dyDescent="0.25">
      <c r="A183" s="13">
        <f>'A) Base RI'!A183</f>
        <v>5692</v>
      </c>
      <c r="B183" s="62" t="str">
        <f>'A) Base RI'!B183</f>
        <v>Vucherens</v>
      </c>
      <c r="C183" s="18">
        <f>'A) Base RI'!C183+'A) Base RI'!D183</f>
        <v>1181082.8</v>
      </c>
      <c r="D183" s="18">
        <f>'A) Base RI'!AO183</f>
        <v>-14667.75</v>
      </c>
      <c r="E183" s="61">
        <f>'A) Base RI'!AP183</f>
        <v>0</v>
      </c>
      <c r="F183" s="61">
        <f>'A) Base RI'!AQ183</f>
        <v>-20.98</v>
      </c>
      <c r="G183" s="4">
        <f t="shared" si="12"/>
        <v>1166394.07</v>
      </c>
      <c r="H183" s="18">
        <f>'A) Base RI'!E183</f>
        <v>0</v>
      </c>
      <c r="I183" s="18">
        <f>'A) Base RI'!F183</f>
        <v>0</v>
      </c>
      <c r="J183" s="18">
        <f>'A) Base RI'!G183+'A) Base RI'!H183</f>
        <v>3041.95</v>
      </c>
      <c r="K183" s="18">
        <f>'A) Base RI'!I183</f>
        <v>0</v>
      </c>
      <c r="L183" s="18">
        <f>'A) Base RI'!J183</f>
        <v>8307.0300000000007</v>
      </c>
      <c r="M183" s="18">
        <f>'A) Base RI'!K183</f>
        <v>310</v>
      </c>
      <c r="N183" s="18">
        <f>'A) Base RI'!Q183</f>
        <v>6191.44</v>
      </c>
      <c r="O183" s="18">
        <f t="shared" si="13"/>
        <v>79152.149999999994</v>
      </c>
      <c r="P183" s="18">
        <f>'A) Base RI'!L183</f>
        <v>79152.149999999994</v>
      </c>
      <c r="Q183" s="64">
        <f>'A) Base RI'!AR183</f>
        <v>1</v>
      </c>
      <c r="R183" s="4">
        <f t="shared" si="14"/>
        <v>1263396.6399999999</v>
      </c>
      <c r="S183" s="63">
        <f>'A) Base RI'!AM183</f>
        <v>79</v>
      </c>
      <c r="T183" s="4">
        <f t="shared" si="15"/>
        <v>1183934.49</v>
      </c>
      <c r="U183" s="4">
        <f t="shared" si="16"/>
        <v>15992.362531645569</v>
      </c>
      <c r="V183" s="18">
        <v>0</v>
      </c>
      <c r="W183" s="18">
        <f>'A) Base RI'!P183</f>
        <v>9515</v>
      </c>
      <c r="X183" s="18">
        <f>'A) Base RI'!R183</f>
        <v>33919.699999999997</v>
      </c>
      <c r="Y183" s="4">
        <f t="shared" si="17"/>
        <v>43434.7</v>
      </c>
      <c r="Z183" s="18">
        <f>'A) Base RI'!N183</f>
        <v>9598.6</v>
      </c>
      <c r="AA183" s="18">
        <f>'A) Base RI'!S183+'A) Base RI'!T183</f>
        <v>480</v>
      </c>
      <c r="AB183" s="18">
        <f>'A) Base RI'!U183</f>
        <v>6050</v>
      </c>
      <c r="AC183" s="18">
        <f>'A) Base RI'!V183</f>
        <v>0</v>
      </c>
      <c r="AD183" s="18">
        <f>'A) Base RI'!W183</f>
        <v>0</v>
      </c>
      <c r="AE183" s="18">
        <f>'A) Base RI'!Y183</f>
        <v>11089.95</v>
      </c>
      <c r="AF183" s="18">
        <f>'A) Base RI'!Z183</f>
        <v>0</v>
      </c>
      <c r="AG183" s="18">
        <f>'A) Base RI'!AA183</f>
        <v>70490</v>
      </c>
      <c r="AH183" s="18">
        <f>'A) Base RI'!AB183</f>
        <v>0</v>
      </c>
      <c r="AI183" s="18">
        <f>'A) Base RI'!AC183</f>
        <v>32399.95</v>
      </c>
      <c r="AJ183" s="18">
        <f>'A) Base RI'!AD183</f>
        <v>10775.1</v>
      </c>
      <c r="AK183" s="18">
        <f>'A) Base RI'!AE183</f>
        <v>0</v>
      </c>
      <c r="AL183" s="18">
        <f>'A) Base RI'!AF183</f>
        <v>0</v>
      </c>
      <c r="AM183" s="18">
        <f>'A) Base RI'!AG183</f>
        <v>0</v>
      </c>
      <c r="AN183" s="18">
        <f>'A) Base RI'!AH183</f>
        <v>0</v>
      </c>
      <c r="AO183" s="18">
        <f>'A) Base RI'!AI183</f>
        <v>0</v>
      </c>
      <c r="AP183" s="18">
        <f>'A) Base RI'!AJ183</f>
        <v>4000</v>
      </c>
      <c r="AQ183" s="18">
        <f>'A) Base RI'!AK183</f>
        <v>0</v>
      </c>
      <c r="AR183" s="18">
        <f>'A) Base RI'!AN183</f>
        <v>532</v>
      </c>
    </row>
    <row r="184" spans="1:44" x14ac:dyDescent="0.25">
      <c r="A184" s="13">
        <f>'A) Base RI'!A184</f>
        <v>5693</v>
      </c>
      <c r="B184" s="62" t="str">
        <f>'A) Base RI'!B184</f>
        <v>Montanaire</v>
      </c>
      <c r="C184" s="18">
        <f>'A) Base RI'!C184+'A) Base RI'!D184</f>
        <v>3860273.9000000004</v>
      </c>
      <c r="D184" s="18">
        <f>'A) Base RI'!AO184</f>
        <v>-110513.88</v>
      </c>
      <c r="E184" s="61">
        <f>'A) Base RI'!AP184</f>
        <v>-21.98</v>
      </c>
      <c r="F184" s="61">
        <f>'A) Base RI'!AQ184</f>
        <v>0</v>
      </c>
      <c r="G184" s="4">
        <f t="shared" si="12"/>
        <v>3749738.0400000005</v>
      </c>
      <c r="H184" s="18">
        <f>'A) Base RI'!E184</f>
        <v>0</v>
      </c>
      <c r="I184" s="18">
        <f>'A) Base RI'!F184</f>
        <v>0</v>
      </c>
      <c r="J184" s="18">
        <f>'A) Base RI'!G184+'A) Base RI'!H184</f>
        <v>151373.05000000002</v>
      </c>
      <c r="K184" s="18">
        <f>'A) Base RI'!I184</f>
        <v>0</v>
      </c>
      <c r="L184" s="18">
        <f>'A) Base RI'!J184</f>
        <v>51685.29</v>
      </c>
      <c r="M184" s="18">
        <f>'A) Base RI'!K184</f>
        <v>2982.5</v>
      </c>
      <c r="N184" s="18">
        <f>'A) Base RI'!Q184</f>
        <v>1983.24</v>
      </c>
      <c r="O184" s="18">
        <f t="shared" si="13"/>
        <v>295532.95</v>
      </c>
      <c r="P184" s="18">
        <f>'A) Base RI'!L184</f>
        <v>295532.95</v>
      </c>
      <c r="Q184" s="64">
        <f>'A) Base RI'!AR184</f>
        <v>1</v>
      </c>
      <c r="R184" s="4">
        <f t="shared" si="14"/>
        <v>4253295.07</v>
      </c>
      <c r="S184" s="63">
        <f>'A) Base RI'!AM184</f>
        <v>72</v>
      </c>
      <c r="T184" s="4">
        <f t="shared" si="15"/>
        <v>3954779.6200000006</v>
      </c>
      <c r="U184" s="4">
        <f t="shared" si="16"/>
        <v>59073.542638888895</v>
      </c>
      <c r="V184" s="18">
        <f>'A) Base RI'!O184</f>
        <v>6697.1</v>
      </c>
      <c r="W184" s="18">
        <f>'A) Base RI'!P184</f>
        <v>134871.54999999999</v>
      </c>
      <c r="X184" s="18">
        <f>'A) Base RI'!R184</f>
        <v>151722.45000000001</v>
      </c>
      <c r="Y184" s="4">
        <f t="shared" si="17"/>
        <v>293291.09999999998</v>
      </c>
      <c r="Z184" s="18">
        <f>'A) Base RI'!N184</f>
        <v>8948.9500000000007</v>
      </c>
      <c r="AA184" s="18">
        <f>'A) Base RI'!S184+'A) Base RI'!T184</f>
        <v>662.5</v>
      </c>
      <c r="AB184" s="18">
        <f>'A) Base RI'!U184</f>
        <v>14680</v>
      </c>
      <c r="AC184" s="18">
        <f>'A) Base RI'!V184</f>
        <v>0</v>
      </c>
      <c r="AD184" s="18">
        <f>'A) Base RI'!W184</f>
        <v>0</v>
      </c>
      <c r="AE184" s="18">
        <f>'A) Base RI'!Y184</f>
        <v>79287.5</v>
      </c>
      <c r="AF184" s="18">
        <f>'A) Base RI'!Z184</f>
        <v>0</v>
      </c>
      <c r="AG184" s="18">
        <f>'A) Base RI'!AA184</f>
        <v>274520.25</v>
      </c>
      <c r="AH184" s="18">
        <f>'A) Base RI'!AB184</f>
        <v>0</v>
      </c>
      <c r="AI184" s="18">
        <f>'A) Base RI'!AC184</f>
        <v>125686.25</v>
      </c>
      <c r="AJ184" s="18">
        <f>'A) Base RI'!AD184</f>
        <v>30194.6</v>
      </c>
      <c r="AK184" s="18">
        <f>'A) Base RI'!AE184</f>
        <v>0</v>
      </c>
      <c r="AL184" s="18">
        <f>'A) Base RI'!AF184</f>
        <v>0</v>
      </c>
      <c r="AM184" s="18">
        <f>'A) Base RI'!AG184</f>
        <v>0</v>
      </c>
      <c r="AN184" s="18">
        <f>'A) Base RI'!AH184</f>
        <v>30300.85</v>
      </c>
      <c r="AO184" s="18">
        <f>'A) Base RI'!AI184</f>
        <v>0</v>
      </c>
      <c r="AP184" s="18">
        <f>'A) Base RI'!AJ184</f>
        <v>0</v>
      </c>
      <c r="AQ184" s="18">
        <f>'A) Base RI'!AK184</f>
        <v>0</v>
      </c>
      <c r="AR184" s="18">
        <f>'A) Base RI'!AN184</f>
        <v>2436</v>
      </c>
    </row>
    <row r="185" spans="1:44" x14ac:dyDescent="0.25">
      <c r="A185" s="13">
        <f>'A) Base RI'!A185</f>
        <v>5701</v>
      </c>
      <c r="B185" s="62" t="str">
        <f>'A) Base RI'!B185</f>
        <v>Arnex-sur-Nyon</v>
      </c>
      <c r="C185" s="18">
        <f>'A) Base RI'!C185+'A) Base RI'!D185</f>
        <v>772268.86999999988</v>
      </c>
      <c r="D185" s="18">
        <f>'A) Base RI'!AO185</f>
        <v>-5185.51</v>
      </c>
      <c r="E185" s="61">
        <f>'A) Base RI'!AP185</f>
        <v>0</v>
      </c>
      <c r="F185" s="61">
        <f>'A) Base RI'!AQ185</f>
        <v>-36.81</v>
      </c>
      <c r="G185" s="4">
        <f t="shared" si="12"/>
        <v>767046.54999999981</v>
      </c>
      <c r="H185" s="18">
        <f>'A) Base RI'!E185</f>
        <v>0</v>
      </c>
      <c r="I185" s="18">
        <f>'A) Base RI'!F185</f>
        <v>0</v>
      </c>
      <c r="J185" s="18">
        <f>'A) Base RI'!G185+'A) Base RI'!H185</f>
        <v>17180.3</v>
      </c>
      <c r="K185" s="18">
        <f>'A) Base RI'!I185</f>
        <v>56595.75</v>
      </c>
      <c r="L185" s="18">
        <f>'A) Base RI'!J185</f>
        <v>5010.6099999999997</v>
      </c>
      <c r="M185" s="18">
        <f>'A) Base RI'!K185</f>
        <v>16</v>
      </c>
      <c r="N185" s="18">
        <f>'A) Base RI'!Q185</f>
        <v>0</v>
      </c>
      <c r="O185" s="18">
        <f t="shared" si="13"/>
        <v>62897.4</v>
      </c>
      <c r="P185" s="18">
        <f>'A) Base RI'!L185</f>
        <v>62897.4</v>
      </c>
      <c r="Q185" s="64">
        <f>'A) Base RI'!AR185</f>
        <v>1</v>
      </c>
      <c r="R185" s="4">
        <f t="shared" si="14"/>
        <v>908746.60999999987</v>
      </c>
      <c r="S185" s="63">
        <f>'A) Base RI'!AM185</f>
        <v>63</v>
      </c>
      <c r="T185" s="4">
        <f t="shared" si="15"/>
        <v>845833.20999999985</v>
      </c>
      <c r="U185" s="4">
        <f t="shared" si="16"/>
        <v>14424.549365079363</v>
      </c>
      <c r="V185" s="18">
        <v>0</v>
      </c>
      <c r="W185" s="18">
        <f>'A) Base RI'!P185</f>
        <v>188.2</v>
      </c>
      <c r="X185" s="18">
        <f>'A) Base RI'!R185</f>
        <v>35950.9</v>
      </c>
      <c r="Y185" s="4">
        <f t="shared" si="17"/>
        <v>36139.1</v>
      </c>
      <c r="Z185" s="18">
        <f>'A) Base RI'!N185</f>
        <v>599.70000000000005</v>
      </c>
      <c r="AA185" s="18">
        <f>'A) Base RI'!S185+'A) Base RI'!T185</f>
        <v>0</v>
      </c>
      <c r="AB185" s="18">
        <f>'A) Base RI'!U185</f>
        <v>550</v>
      </c>
      <c r="AC185" s="18">
        <f>'A) Base RI'!V185</f>
        <v>0</v>
      </c>
      <c r="AD185" s="18">
        <f>'A) Base RI'!W185</f>
        <v>0</v>
      </c>
      <c r="AE185" s="18">
        <f>'A) Base RI'!Y185</f>
        <v>14102.9</v>
      </c>
      <c r="AF185" s="18">
        <f>'A) Base RI'!Z185</f>
        <v>0</v>
      </c>
      <c r="AG185" s="18">
        <f>'A) Base RI'!AA185</f>
        <v>20987.95</v>
      </c>
      <c r="AH185" s="18">
        <f>'A) Base RI'!AB185</f>
        <v>0</v>
      </c>
      <c r="AI185" s="18">
        <f>'A) Base RI'!AC185</f>
        <v>18693</v>
      </c>
      <c r="AJ185" s="18">
        <f>'A) Base RI'!AD185</f>
        <v>350</v>
      </c>
      <c r="AK185" s="18">
        <f>'A) Base RI'!AE185</f>
        <v>0</v>
      </c>
      <c r="AL185" s="18">
        <f>'A) Base RI'!AF185</f>
        <v>0</v>
      </c>
      <c r="AM185" s="18">
        <f>'A) Base RI'!AG185</f>
        <v>0</v>
      </c>
      <c r="AN185" s="18">
        <f>'A) Base RI'!AH185</f>
        <v>0</v>
      </c>
      <c r="AO185" s="18">
        <f>'A) Base RI'!AI185</f>
        <v>0</v>
      </c>
      <c r="AP185" s="18">
        <f>'A) Base RI'!AJ185</f>
        <v>0</v>
      </c>
      <c r="AQ185" s="18">
        <f>'A) Base RI'!AK185</f>
        <v>0</v>
      </c>
      <c r="AR185" s="18">
        <f>'A) Base RI'!AN185</f>
        <v>190</v>
      </c>
    </row>
    <row r="186" spans="1:44" x14ac:dyDescent="0.25">
      <c r="A186" s="13">
        <f>'A) Base RI'!A186</f>
        <v>5702</v>
      </c>
      <c r="B186" s="62" t="str">
        <f>'A) Base RI'!B186</f>
        <v>Arzier-Le Muids</v>
      </c>
      <c r="C186" s="18">
        <f>'A) Base RI'!C186+'A) Base RI'!D186</f>
        <v>6698927.8600000003</v>
      </c>
      <c r="D186" s="18">
        <f>'A) Base RI'!AO186</f>
        <v>-61354.97</v>
      </c>
      <c r="E186" s="61">
        <f>'A) Base RI'!AP186</f>
        <v>0</v>
      </c>
      <c r="F186" s="61">
        <f>'A) Base RI'!AQ186</f>
        <v>-3461.23</v>
      </c>
      <c r="G186" s="4">
        <f t="shared" si="12"/>
        <v>6634111.6600000001</v>
      </c>
      <c r="H186" s="18">
        <f>'A) Base RI'!E186</f>
        <v>0</v>
      </c>
      <c r="I186" s="18">
        <f>'A) Base RI'!F186</f>
        <v>0</v>
      </c>
      <c r="J186" s="18">
        <f>'A) Base RI'!G186+'A) Base RI'!H186</f>
        <v>94239.650000000009</v>
      </c>
      <c r="K186" s="18">
        <f>'A) Base RI'!I186</f>
        <v>475691.88</v>
      </c>
      <c r="L186" s="18">
        <f>'A) Base RI'!J186</f>
        <v>135746.99</v>
      </c>
      <c r="M186" s="18">
        <f>'A) Base RI'!K186</f>
        <v>9605</v>
      </c>
      <c r="N186" s="18">
        <f>'A) Base RI'!Q186</f>
        <v>15224.72</v>
      </c>
      <c r="O186" s="18">
        <f t="shared" si="13"/>
        <v>565819.03333333333</v>
      </c>
      <c r="P186" s="18">
        <f>'A) Base RI'!L186</f>
        <v>848728.55</v>
      </c>
      <c r="Q186" s="64">
        <f>'A) Base RI'!AR186</f>
        <v>1.5</v>
      </c>
      <c r="R186" s="4">
        <f t="shared" si="14"/>
        <v>7930438.9333333336</v>
      </c>
      <c r="S186" s="63">
        <f>'A) Base RI'!AM186</f>
        <v>64</v>
      </c>
      <c r="T186" s="4">
        <f t="shared" si="15"/>
        <v>7355014.9000000004</v>
      </c>
      <c r="U186" s="4">
        <f t="shared" si="16"/>
        <v>123913.10833333334</v>
      </c>
      <c r="V186" s="18">
        <f>'A) Base RI'!O186</f>
        <v>146893.79999999999</v>
      </c>
      <c r="W186" s="18">
        <f>'A) Base RI'!P186</f>
        <v>342395.25</v>
      </c>
      <c r="X186" s="18">
        <f>'A) Base RI'!R186</f>
        <v>234658.7</v>
      </c>
      <c r="Y186" s="4">
        <f t="shared" si="17"/>
        <v>723947.75</v>
      </c>
      <c r="Z186" s="18">
        <f>'A) Base RI'!N186</f>
        <v>58335.3</v>
      </c>
      <c r="AA186" s="18">
        <f>'A) Base RI'!S186+'A) Base RI'!T186</f>
        <v>0</v>
      </c>
      <c r="AB186" s="18">
        <f>'A) Base RI'!U186</f>
        <v>22380</v>
      </c>
      <c r="AC186" s="18">
        <f>'A) Base RI'!V186</f>
        <v>0</v>
      </c>
      <c r="AD186" s="18">
        <f>'A) Base RI'!W186</f>
        <v>0</v>
      </c>
      <c r="AE186" s="18">
        <f>'A) Base RI'!Y186</f>
        <v>133122.70000000001</v>
      </c>
      <c r="AF186" s="18">
        <f>'A) Base RI'!Z186</f>
        <v>0</v>
      </c>
      <c r="AG186" s="18">
        <f>'A) Base RI'!AA186</f>
        <v>182486.75</v>
      </c>
      <c r="AH186" s="18">
        <f>'A) Base RI'!AB186</f>
        <v>0</v>
      </c>
      <c r="AI186" s="18">
        <f>'A) Base RI'!AC186</f>
        <v>220735.35</v>
      </c>
      <c r="AJ186" s="18">
        <f>'A) Base RI'!AD186</f>
        <v>266582.2</v>
      </c>
      <c r="AK186" s="18">
        <f>'A) Base RI'!AE186</f>
        <v>0</v>
      </c>
      <c r="AL186" s="18">
        <f>'A) Base RI'!AF186</f>
        <v>0</v>
      </c>
      <c r="AM186" s="18">
        <f>'A) Base RI'!AG186</f>
        <v>27172.15</v>
      </c>
      <c r="AN186" s="18">
        <f>'A) Base RI'!AH186</f>
        <v>0</v>
      </c>
      <c r="AO186" s="18">
        <f>'A) Base RI'!AI186</f>
        <v>0</v>
      </c>
      <c r="AP186" s="18">
        <f>'A) Base RI'!AJ186</f>
        <v>0</v>
      </c>
      <c r="AQ186" s="18">
        <f>'A) Base RI'!AK186</f>
        <v>0</v>
      </c>
      <c r="AR186" s="18">
        <f>'A) Base RI'!AN186</f>
        <v>2442</v>
      </c>
    </row>
    <row r="187" spans="1:44" x14ac:dyDescent="0.25">
      <c r="A187" s="13">
        <f>'A) Base RI'!A187</f>
        <v>5703</v>
      </c>
      <c r="B187" s="62" t="str">
        <f>'A) Base RI'!B187</f>
        <v>Bassins</v>
      </c>
      <c r="C187" s="18">
        <f>'A) Base RI'!C187+'A) Base RI'!D187</f>
        <v>3308713.55</v>
      </c>
      <c r="D187" s="18">
        <f>'A) Base RI'!AO187</f>
        <v>-11133.79</v>
      </c>
      <c r="E187" s="61">
        <f>'A) Base RI'!AP187</f>
        <v>0</v>
      </c>
      <c r="F187" s="61">
        <f>'A) Base RI'!AQ187</f>
        <v>-117.6</v>
      </c>
      <c r="G187" s="4">
        <f t="shared" si="12"/>
        <v>3297462.1599999997</v>
      </c>
      <c r="H187" s="18">
        <f>'A) Base RI'!E187</f>
        <v>0</v>
      </c>
      <c r="I187" s="18">
        <f>'A) Base RI'!F187</f>
        <v>0</v>
      </c>
      <c r="J187" s="18">
        <f>'A) Base RI'!G187+'A) Base RI'!H187</f>
        <v>199.70000000000005</v>
      </c>
      <c r="K187" s="18">
        <f>'A) Base RI'!I187</f>
        <v>75856.3</v>
      </c>
      <c r="L187" s="18">
        <f>'A) Base RI'!J187</f>
        <v>47027.1</v>
      </c>
      <c r="M187" s="18">
        <f>'A) Base RI'!K187</f>
        <v>-41</v>
      </c>
      <c r="N187" s="18">
        <f>'A) Base RI'!Q187</f>
        <v>3792.95</v>
      </c>
      <c r="O187" s="18">
        <f t="shared" si="13"/>
        <v>263355.90000000002</v>
      </c>
      <c r="P187" s="18">
        <f>'A) Base RI'!L187</f>
        <v>263355.90000000002</v>
      </c>
      <c r="Q187" s="64">
        <f>'A) Base RI'!AR187</f>
        <v>1</v>
      </c>
      <c r="R187" s="4">
        <f t="shared" si="14"/>
        <v>3687653.11</v>
      </c>
      <c r="S187" s="63">
        <f>'A) Base RI'!AM187</f>
        <v>70</v>
      </c>
      <c r="T187" s="4">
        <f t="shared" si="15"/>
        <v>3424338.21</v>
      </c>
      <c r="U187" s="4">
        <f t="shared" si="16"/>
        <v>52680.758714285716</v>
      </c>
      <c r="V187" s="18">
        <f>'A) Base RI'!O187</f>
        <v>14092.6</v>
      </c>
      <c r="W187" s="18">
        <f>'A) Base RI'!P187</f>
        <v>189785.7</v>
      </c>
      <c r="X187" s="18">
        <f>'A) Base RI'!R187</f>
        <v>155556.9</v>
      </c>
      <c r="Y187" s="4">
        <f t="shared" si="17"/>
        <v>359435.2</v>
      </c>
      <c r="Z187" s="18">
        <f>'A) Base RI'!N187</f>
        <v>34327.199999999997</v>
      </c>
      <c r="AA187" s="18">
        <f>'A) Base RI'!S187+'A) Base RI'!T187</f>
        <v>125</v>
      </c>
      <c r="AB187" s="18">
        <f>'A) Base RI'!U187</f>
        <v>6650</v>
      </c>
      <c r="AC187" s="18">
        <f>'A) Base RI'!V187</f>
        <v>0</v>
      </c>
      <c r="AD187" s="18">
        <f>'A) Base RI'!W187</f>
        <v>0</v>
      </c>
      <c r="AE187" s="18">
        <f>'A) Base RI'!Y187</f>
        <v>15084.5</v>
      </c>
      <c r="AF187" s="18">
        <f>'A) Base RI'!Z187</f>
        <v>0</v>
      </c>
      <c r="AG187" s="18">
        <f>'A) Base RI'!AA187</f>
        <v>158908</v>
      </c>
      <c r="AH187" s="18">
        <f>'A) Base RI'!AB187</f>
        <v>0</v>
      </c>
      <c r="AI187" s="18">
        <f>'A) Base RI'!AC187</f>
        <v>76332.95</v>
      </c>
      <c r="AJ187" s="18">
        <f>'A) Base RI'!AD187</f>
        <v>17403.25</v>
      </c>
      <c r="AK187" s="18">
        <f>'A) Base RI'!AE187</f>
        <v>0</v>
      </c>
      <c r="AL187" s="18">
        <f>'A) Base RI'!AF187</f>
        <v>0</v>
      </c>
      <c r="AM187" s="18">
        <f>'A) Base RI'!AG187</f>
        <v>0</v>
      </c>
      <c r="AN187" s="18">
        <f>'A) Base RI'!AH187</f>
        <v>0</v>
      </c>
      <c r="AO187" s="18">
        <f>'A) Base RI'!AI187</f>
        <v>0</v>
      </c>
      <c r="AP187" s="18">
        <f>'A) Base RI'!AJ187</f>
        <v>0</v>
      </c>
      <c r="AQ187" s="18">
        <f>'A) Base RI'!AK187</f>
        <v>0</v>
      </c>
      <c r="AR187" s="18">
        <f>'A) Base RI'!AN187</f>
        <v>1318</v>
      </c>
    </row>
    <row r="188" spans="1:44" x14ac:dyDescent="0.25">
      <c r="A188" s="13">
        <f>'A) Base RI'!A188</f>
        <v>5704</v>
      </c>
      <c r="B188" s="62" t="str">
        <f>'A) Base RI'!B188</f>
        <v>Begnins</v>
      </c>
      <c r="C188" s="18">
        <f>'A) Base RI'!C188+'A) Base RI'!D188</f>
        <v>6016331.9100000001</v>
      </c>
      <c r="D188" s="18">
        <f>'A) Base RI'!AO188</f>
        <v>-32793.26</v>
      </c>
      <c r="E188" s="61">
        <f>'A) Base RI'!AP188</f>
        <v>0</v>
      </c>
      <c r="F188" s="61">
        <f>'A) Base RI'!AQ188</f>
        <v>-3183.17</v>
      </c>
      <c r="G188" s="4">
        <f t="shared" si="12"/>
        <v>5980355.4800000004</v>
      </c>
      <c r="H188" s="18">
        <f>'A) Base RI'!E188</f>
        <v>0</v>
      </c>
      <c r="I188" s="18">
        <f>'A) Base RI'!F188</f>
        <v>0</v>
      </c>
      <c r="J188" s="18">
        <f>'A) Base RI'!G188+'A) Base RI'!H188</f>
        <v>86301.9</v>
      </c>
      <c r="K188" s="18">
        <f>'A) Base RI'!I188</f>
        <v>43189.55</v>
      </c>
      <c r="L188" s="18">
        <f>'A) Base RI'!J188</f>
        <v>91439.22</v>
      </c>
      <c r="M188" s="18">
        <f>'A) Base RI'!K188</f>
        <v>8994</v>
      </c>
      <c r="N188" s="18">
        <f>'A) Base RI'!Q188</f>
        <v>10483.870000000001</v>
      </c>
      <c r="O188" s="18">
        <f t="shared" si="13"/>
        <v>384305.76666666666</v>
      </c>
      <c r="P188" s="18">
        <f>'A) Base RI'!L188</f>
        <v>576458.65</v>
      </c>
      <c r="Q188" s="64">
        <f>'A) Base RI'!AR188</f>
        <v>1.5</v>
      </c>
      <c r="R188" s="4">
        <f t="shared" si="14"/>
        <v>6605069.7866666671</v>
      </c>
      <c r="S188" s="63">
        <f>'A) Base RI'!AM188</f>
        <v>67</v>
      </c>
      <c r="T188" s="4">
        <f t="shared" si="15"/>
        <v>6211770.0200000005</v>
      </c>
      <c r="U188" s="4">
        <f t="shared" si="16"/>
        <v>98583.13114427861</v>
      </c>
      <c r="V188" s="18">
        <f>'A) Base RI'!O188</f>
        <v>7385.6</v>
      </c>
      <c r="W188" s="18">
        <f>'A) Base RI'!P188</f>
        <v>649560.6</v>
      </c>
      <c r="X188" s="18">
        <f>'A) Base RI'!R188</f>
        <v>783038.55</v>
      </c>
      <c r="Y188" s="4">
        <f t="shared" si="17"/>
        <v>1439984.75</v>
      </c>
      <c r="Z188" s="18">
        <f>'A) Base RI'!N188</f>
        <v>55254.7</v>
      </c>
      <c r="AA188" s="18">
        <f>'A) Base RI'!S188+'A) Base RI'!T188</f>
        <v>93.75</v>
      </c>
      <c r="AB188" s="18">
        <f>'A) Base RI'!U188</f>
        <v>8200</v>
      </c>
      <c r="AC188" s="18">
        <f>'A) Base RI'!V188</f>
        <v>0</v>
      </c>
      <c r="AD188" s="18">
        <f>'A) Base RI'!W188</f>
        <v>0</v>
      </c>
      <c r="AE188" s="18">
        <f>'A) Base RI'!Y188</f>
        <v>139198.9</v>
      </c>
      <c r="AF188" s="18">
        <f>'A) Base RI'!Z188</f>
        <v>0</v>
      </c>
      <c r="AG188" s="18">
        <f>'A) Base RI'!AA188</f>
        <v>115795.9</v>
      </c>
      <c r="AH188" s="18">
        <f>'A) Base RI'!AB188</f>
        <v>0</v>
      </c>
      <c r="AI188" s="18">
        <f>'A) Base RI'!AC188</f>
        <v>93289.71</v>
      </c>
      <c r="AJ188" s="18">
        <f>'A) Base RI'!AD188</f>
        <v>252372.79</v>
      </c>
      <c r="AK188" s="18">
        <f>'A) Base RI'!AE188</f>
        <v>0</v>
      </c>
      <c r="AL188" s="18">
        <f>'A) Base RI'!AF188</f>
        <v>0</v>
      </c>
      <c r="AM188" s="18">
        <f>'A) Base RI'!AG188</f>
        <v>10746.68</v>
      </c>
      <c r="AN188" s="18">
        <f>'A) Base RI'!AH188</f>
        <v>45683.199999999997</v>
      </c>
      <c r="AO188" s="18">
        <f>'A) Base RI'!AI188</f>
        <v>26103.68</v>
      </c>
      <c r="AP188" s="18">
        <f>'A) Base RI'!AJ188</f>
        <v>0</v>
      </c>
      <c r="AQ188" s="18">
        <f>'A) Base RI'!AK188</f>
        <v>0</v>
      </c>
      <c r="AR188" s="18">
        <f>'A) Base RI'!AN188</f>
        <v>1698</v>
      </c>
    </row>
    <row r="189" spans="1:44" x14ac:dyDescent="0.25">
      <c r="A189" s="13">
        <f>'A) Base RI'!A189</f>
        <v>5705</v>
      </c>
      <c r="B189" s="62" t="str">
        <f>'A) Base RI'!B189</f>
        <v>Bogis-Bossey</v>
      </c>
      <c r="C189" s="18">
        <f>'A) Base RI'!C189+'A) Base RI'!D189</f>
        <v>2423773.91</v>
      </c>
      <c r="D189" s="18">
        <f>'A) Base RI'!AO189</f>
        <v>-7070.94</v>
      </c>
      <c r="E189" s="61">
        <f>'A) Base RI'!AP189</f>
        <v>0</v>
      </c>
      <c r="F189" s="61">
        <f>'A) Base RI'!AQ189</f>
        <v>-2451.1799999999998</v>
      </c>
      <c r="G189" s="4">
        <f t="shared" si="12"/>
        <v>2414251.79</v>
      </c>
      <c r="H189" s="18">
        <f>'A) Base RI'!E189</f>
        <v>0</v>
      </c>
      <c r="I189" s="18">
        <f>'A) Base RI'!F189</f>
        <v>0</v>
      </c>
      <c r="J189" s="18">
        <f>'A) Base RI'!G189+'A) Base RI'!H189</f>
        <v>35154.85</v>
      </c>
      <c r="K189" s="18">
        <f>'A) Base RI'!I189</f>
        <v>20073.95</v>
      </c>
      <c r="L189" s="18">
        <f>'A) Base RI'!J189</f>
        <v>111635.05</v>
      </c>
      <c r="M189" s="18">
        <f>'A) Base RI'!K189</f>
        <v>6516.5</v>
      </c>
      <c r="N189" s="18">
        <f>'A) Base RI'!Q189</f>
        <v>561.47</v>
      </c>
      <c r="O189" s="18">
        <f t="shared" si="13"/>
        <v>193742.9</v>
      </c>
      <c r="P189" s="18">
        <f>'A) Base RI'!L189</f>
        <v>193742.9</v>
      </c>
      <c r="Q189" s="64">
        <f>'A) Base RI'!AR189</f>
        <v>1</v>
      </c>
      <c r="R189" s="4">
        <f t="shared" si="14"/>
        <v>2781936.5100000002</v>
      </c>
      <c r="S189" s="63">
        <f>'A) Base RI'!AM189</f>
        <v>64</v>
      </c>
      <c r="T189" s="4">
        <f t="shared" si="15"/>
        <v>2581677.1100000003</v>
      </c>
      <c r="U189" s="4">
        <f t="shared" si="16"/>
        <v>43467.757968750004</v>
      </c>
      <c r="V189" s="18">
        <v>0</v>
      </c>
      <c r="W189" s="18">
        <f>'A) Base RI'!P189</f>
        <v>91970.25</v>
      </c>
      <c r="X189" s="18">
        <f>'A) Base RI'!R189</f>
        <v>61936.45</v>
      </c>
      <c r="Y189" s="4">
        <f t="shared" si="17"/>
        <v>153906.70000000001</v>
      </c>
      <c r="Z189" s="18">
        <f>'A) Base RI'!N189</f>
        <v>23316.55</v>
      </c>
      <c r="AA189" s="18">
        <f>'A) Base RI'!S189+'A) Base RI'!T189</f>
        <v>0</v>
      </c>
      <c r="AB189" s="18">
        <f>'A) Base RI'!U189</f>
        <v>2070</v>
      </c>
      <c r="AC189" s="18">
        <f>'A) Base RI'!V189</f>
        <v>0</v>
      </c>
      <c r="AD189" s="18">
        <f>'A) Base RI'!W189</f>
        <v>0</v>
      </c>
      <c r="AE189" s="18">
        <f>'A) Base RI'!Y189</f>
        <v>8473.15</v>
      </c>
      <c r="AF189" s="18">
        <f>'A) Base RI'!Z189</f>
        <v>0</v>
      </c>
      <c r="AG189" s="18">
        <f>'A) Base RI'!AA189</f>
        <v>55893.9</v>
      </c>
      <c r="AH189" s="18">
        <f>'A) Base RI'!AB189</f>
        <v>0</v>
      </c>
      <c r="AI189" s="18">
        <f>'A) Base RI'!AC189</f>
        <v>0</v>
      </c>
      <c r="AJ189" s="18">
        <f>'A) Base RI'!AD189</f>
        <v>0</v>
      </c>
      <c r="AK189" s="18">
        <f>'A) Base RI'!AE189</f>
        <v>0</v>
      </c>
      <c r="AL189" s="18">
        <f>'A) Base RI'!AF189</f>
        <v>0</v>
      </c>
      <c r="AM189" s="18">
        <f>'A) Base RI'!AG189</f>
        <v>0</v>
      </c>
      <c r="AN189" s="18">
        <f>'A) Base RI'!AH189</f>
        <v>0</v>
      </c>
      <c r="AO189" s="18">
        <f>'A) Base RI'!AI189</f>
        <v>0</v>
      </c>
      <c r="AP189" s="18">
        <f>'A) Base RI'!AJ189</f>
        <v>0</v>
      </c>
      <c r="AQ189" s="18">
        <f>'A) Base RI'!AK189</f>
        <v>0</v>
      </c>
      <c r="AR189" s="18">
        <f>'A) Base RI'!AN189</f>
        <v>830</v>
      </c>
    </row>
    <row r="190" spans="1:44" x14ac:dyDescent="0.25">
      <c r="A190" s="13">
        <f>'A) Base RI'!A190</f>
        <v>5706</v>
      </c>
      <c r="B190" s="62" t="str">
        <f>'A) Base RI'!B190</f>
        <v>Borex</v>
      </c>
      <c r="C190" s="18">
        <f>'A) Base RI'!C190+'A) Base RI'!D190</f>
        <v>4910274.5199999996</v>
      </c>
      <c r="D190" s="18">
        <f>'A) Base RI'!AO190</f>
        <v>-5544.51</v>
      </c>
      <c r="E190" s="61">
        <f>'A) Base RI'!AP190</f>
        <v>0</v>
      </c>
      <c r="F190" s="61">
        <f>'A) Base RI'!AQ190</f>
        <v>-2763.51</v>
      </c>
      <c r="G190" s="4">
        <f t="shared" si="12"/>
        <v>4901966.5</v>
      </c>
      <c r="H190" s="18">
        <f>'A) Base RI'!E190</f>
        <v>0</v>
      </c>
      <c r="I190" s="18">
        <f>'A) Base RI'!F190</f>
        <v>0</v>
      </c>
      <c r="J190" s="18">
        <f>'A) Base RI'!G190+'A) Base RI'!H190</f>
        <v>9002.5500000000011</v>
      </c>
      <c r="K190" s="18">
        <f>'A) Base RI'!I190</f>
        <v>91992.6</v>
      </c>
      <c r="L190" s="18">
        <f>'A) Base RI'!J190</f>
        <v>73512.759999999995</v>
      </c>
      <c r="M190" s="18">
        <f>'A) Base RI'!K190</f>
        <v>4102.5</v>
      </c>
      <c r="N190" s="18">
        <f>'A) Base RI'!Q190</f>
        <v>1984.5</v>
      </c>
      <c r="O190" s="18">
        <f t="shared" si="13"/>
        <v>214928.6</v>
      </c>
      <c r="P190" s="18">
        <f>'A) Base RI'!L190</f>
        <v>322392.90000000002</v>
      </c>
      <c r="Q190" s="64">
        <f>'A) Base RI'!AR190</f>
        <v>1.5</v>
      </c>
      <c r="R190" s="4">
        <f t="shared" si="14"/>
        <v>5297490.0099999988</v>
      </c>
      <c r="S190" s="63">
        <f>'A) Base RI'!AM190</f>
        <v>57</v>
      </c>
      <c r="T190" s="4">
        <f t="shared" si="15"/>
        <v>5078458.9099999992</v>
      </c>
      <c r="U190" s="4">
        <f t="shared" si="16"/>
        <v>92938.421228070161</v>
      </c>
      <c r="V190" s="18">
        <f>'A) Base RI'!O190</f>
        <v>23005.1</v>
      </c>
      <c r="W190" s="18">
        <f>'A) Base RI'!P190</f>
        <v>114540.25</v>
      </c>
      <c r="X190" s="18">
        <f>'A) Base RI'!R190</f>
        <v>260114.2</v>
      </c>
      <c r="Y190" s="4">
        <f t="shared" si="17"/>
        <v>397659.55000000005</v>
      </c>
      <c r="Z190" s="18">
        <f>'A) Base RI'!N190</f>
        <v>13308.1</v>
      </c>
      <c r="AA190" s="18">
        <f>'A) Base RI'!S190+'A) Base RI'!T190</f>
        <v>80</v>
      </c>
      <c r="AB190" s="18">
        <f>'A) Base RI'!U190</f>
        <v>3100</v>
      </c>
      <c r="AC190" s="18">
        <f>'A) Base RI'!V190</f>
        <v>0</v>
      </c>
      <c r="AD190" s="18">
        <f>'A) Base RI'!W190</f>
        <v>0</v>
      </c>
      <c r="AE190" s="18">
        <f>'A) Base RI'!Y190</f>
        <v>11636.4</v>
      </c>
      <c r="AF190" s="18">
        <f>'A) Base RI'!Z190</f>
        <v>0</v>
      </c>
      <c r="AG190" s="18">
        <f>'A) Base RI'!AA190</f>
        <v>126411.76</v>
      </c>
      <c r="AH190" s="18">
        <f>'A) Base RI'!AB190</f>
        <v>0</v>
      </c>
      <c r="AI190" s="18">
        <f>'A) Base RI'!AC190</f>
        <v>69399.75</v>
      </c>
      <c r="AJ190" s="18">
        <f>'A) Base RI'!AD190</f>
        <v>0</v>
      </c>
      <c r="AK190" s="18">
        <f>'A) Base RI'!AE190</f>
        <v>0</v>
      </c>
      <c r="AL190" s="18">
        <f>'A) Base RI'!AF190</f>
        <v>0</v>
      </c>
      <c r="AM190" s="18">
        <f>'A) Base RI'!AG190</f>
        <v>140</v>
      </c>
      <c r="AN190" s="18">
        <f>'A) Base RI'!AH190</f>
        <v>33473.15</v>
      </c>
      <c r="AO190" s="18">
        <f>'A) Base RI'!AI190</f>
        <v>0</v>
      </c>
      <c r="AP190" s="18">
        <f>'A) Base RI'!AJ190</f>
        <v>0</v>
      </c>
      <c r="AQ190" s="18">
        <f>'A) Base RI'!AK190</f>
        <v>0</v>
      </c>
      <c r="AR190" s="18">
        <f>'A) Base RI'!AN190</f>
        <v>919</v>
      </c>
    </row>
    <row r="191" spans="1:44" x14ac:dyDescent="0.25">
      <c r="A191" s="13">
        <f>'A) Base RI'!A191</f>
        <v>5707</v>
      </c>
      <c r="B191" s="62" t="str">
        <f>'A) Base RI'!B191</f>
        <v>Chavannes-de-Bogis</v>
      </c>
      <c r="C191" s="18">
        <f>'A) Base RI'!C191+'A) Base RI'!D191</f>
        <v>4804161.74</v>
      </c>
      <c r="D191" s="18">
        <f>'A) Base RI'!AO191</f>
        <v>-18155.72</v>
      </c>
      <c r="E191" s="61">
        <f>'A) Base RI'!AP191</f>
        <v>0</v>
      </c>
      <c r="F191" s="61">
        <f>'A) Base RI'!AQ191</f>
        <v>-1124.02</v>
      </c>
      <c r="G191" s="4">
        <f t="shared" si="12"/>
        <v>4784882.0000000009</v>
      </c>
      <c r="H191" s="18">
        <f>'A) Base RI'!E191</f>
        <v>0</v>
      </c>
      <c r="I191" s="18">
        <f>'A) Base RI'!F191</f>
        <v>0</v>
      </c>
      <c r="J191" s="18">
        <f>'A) Base RI'!G191+'A) Base RI'!H191</f>
        <v>534740.95000000007</v>
      </c>
      <c r="K191" s="18">
        <f>'A) Base RI'!I191</f>
        <v>72353.399999999994</v>
      </c>
      <c r="L191" s="18">
        <f>'A) Base RI'!J191</f>
        <v>-87178.94</v>
      </c>
      <c r="M191" s="18">
        <f>'A) Base RI'!K191</f>
        <v>67210</v>
      </c>
      <c r="N191" s="18">
        <f>'A) Base RI'!Q191</f>
        <v>9931.39</v>
      </c>
      <c r="O191" s="18">
        <f t="shared" si="13"/>
        <v>400057.8666666667</v>
      </c>
      <c r="P191" s="18">
        <f>'A) Base RI'!L191</f>
        <v>600086.80000000005</v>
      </c>
      <c r="Q191" s="64">
        <f>'A) Base RI'!AR191</f>
        <v>1.5</v>
      </c>
      <c r="R191" s="4">
        <f t="shared" si="14"/>
        <v>5781996.6666666679</v>
      </c>
      <c r="S191" s="63">
        <f>'A) Base RI'!AM191</f>
        <v>59</v>
      </c>
      <c r="T191" s="4">
        <f t="shared" si="15"/>
        <v>5314728.8000000007</v>
      </c>
      <c r="U191" s="4">
        <f t="shared" si="16"/>
        <v>97999.943502824884</v>
      </c>
      <c r="V191" s="18">
        <v>0</v>
      </c>
      <c r="W191" s="18">
        <f>'A) Base RI'!P191</f>
        <v>219633.4</v>
      </c>
      <c r="X191" s="18">
        <f>'A) Base RI'!R191</f>
        <v>104649.5</v>
      </c>
      <c r="Y191" s="4">
        <f t="shared" si="17"/>
        <v>324282.90000000002</v>
      </c>
      <c r="Z191" s="18">
        <f>'A) Base RI'!N191</f>
        <v>500588.3</v>
      </c>
      <c r="AA191" s="18">
        <f>'A) Base RI'!S191+'A) Base RI'!T191</f>
        <v>562.6</v>
      </c>
      <c r="AB191" s="18">
        <f>'A) Base RI'!U191</f>
        <v>3750</v>
      </c>
      <c r="AC191" s="18">
        <f>'A) Base RI'!V191</f>
        <v>0</v>
      </c>
      <c r="AD191" s="18">
        <f>'A) Base RI'!W191</f>
        <v>0</v>
      </c>
      <c r="AE191" s="18">
        <f>'A) Base RI'!Y191</f>
        <v>35911</v>
      </c>
      <c r="AF191" s="18">
        <f>'A) Base RI'!Z191</f>
        <v>0</v>
      </c>
      <c r="AG191" s="18">
        <f>'A) Base RI'!AA191</f>
        <v>170227.49</v>
      </c>
      <c r="AH191" s="18">
        <f>'A) Base RI'!AB191</f>
        <v>0</v>
      </c>
      <c r="AI191" s="18">
        <f>'A) Base RI'!AC191</f>
        <v>124005.9</v>
      </c>
      <c r="AJ191" s="18">
        <f>'A) Base RI'!AD191</f>
        <v>0</v>
      </c>
      <c r="AK191" s="18">
        <f>'A) Base RI'!AE191</f>
        <v>0</v>
      </c>
      <c r="AL191" s="18">
        <f>'A) Base RI'!AF191</f>
        <v>0</v>
      </c>
      <c r="AM191" s="18">
        <f>'A) Base RI'!AG191</f>
        <v>178668</v>
      </c>
      <c r="AN191" s="18">
        <f>'A) Base RI'!AH191</f>
        <v>118531.6</v>
      </c>
      <c r="AO191" s="18">
        <f>'A) Base RI'!AI191</f>
        <v>0</v>
      </c>
      <c r="AP191" s="18">
        <f>'A) Base RI'!AJ191</f>
        <v>0</v>
      </c>
      <c r="AQ191" s="18">
        <f>'A) Base RI'!AK191</f>
        <v>0</v>
      </c>
      <c r="AR191" s="18">
        <f>'A) Base RI'!AN191</f>
        <v>1125</v>
      </c>
    </row>
    <row r="192" spans="1:44" x14ac:dyDescent="0.25">
      <c r="A192" s="13">
        <f>'A) Base RI'!A192</f>
        <v>5708</v>
      </c>
      <c r="B192" s="62" t="str">
        <f>'A) Base RI'!B192</f>
        <v>Chavannes-des-Bois</v>
      </c>
      <c r="C192" s="18">
        <f>'A) Base RI'!C192+'A) Base RI'!D192</f>
        <v>3246445.92</v>
      </c>
      <c r="D192" s="18">
        <f>'A) Base RI'!AO192</f>
        <v>-7067.54</v>
      </c>
      <c r="E192" s="61">
        <f>'A) Base RI'!AP192</f>
        <v>0</v>
      </c>
      <c r="F192" s="61">
        <f>'A) Base RI'!AQ192</f>
        <v>-121.83</v>
      </c>
      <c r="G192" s="4">
        <f t="shared" si="12"/>
        <v>3239256.55</v>
      </c>
      <c r="H192" s="18">
        <f>'A) Base RI'!E192</f>
        <v>0</v>
      </c>
      <c r="I192" s="18">
        <f>'A) Base RI'!F192</f>
        <v>0</v>
      </c>
      <c r="J192" s="18">
        <f>'A) Base RI'!G192+'A) Base RI'!H192</f>
        <v>13995.3</v>
      </c>
      <c r="K192" s="18">
        <f>'A) Base RI'!I192</f>
        <v>40576.9</v>
      </c>
      <c r="L192" s="18">
        <f>'A) Base RI'!J192</f>
        <v>138930.4</v>
      </c>
      <c r="M192" s="18">
        <f>'A) Base RI'!K192</f>
        <v>13405</v>
      </c>
      <c r="N192" s="18">
        <f>'A) Base RI'!Q192</f>
        <v>0</v>
      </c>
      <c r="O192" s="18">
        <f t="shared" si="13"/>
        <v>226000.6</v>
      </c>
      <c r="P192" s="18">
        <f>'A) Base RI'!L192</f>
        <v>339000.9</v>
      </c>
      <c r="Q192" s="64">
        <f>'A) Base RI'!AR192</f>
        <v>1.5</v>
      </c>
      <c r="R192" s="4">
        <f t="shared" si="14"/>
        <v>3672164.7499999995</v>
      </c>
      <c r="S192" s="63">
        <f>'A) Base RI'!AM192</f>
        <v>61</v>
      </c>
      <c r="T192" s="4">
        <f t="shared" si="15"/>
        <v>3432759.1499999994</v>
      </c>
      <c r="U192" s="4">
        <f t="shared" si="16"/>
        <v>60199.422131147534</v>
      </c>
      <c r="V192" s="18">
        <v>0</v>
      </c>
      <c r="W192" s="18">
        <f>'A) Base RI'!P192</f>
        <v>115192.15</v>
      </c>
      <c r="X192" s="18">
        <f>'A) Base RI'!R192</f>
        <v>181147</v>
      </c>
      <c r="Y192" s="4">
        <f t="shared" si="17"/>
        <v>296339.15000000002</v>
      </c>
      <c r="Z192" s="18">
        <f>'A) Base RI'!N192</f>
        <v>3614.65</v>
      </c>
      <c r="AA192" s="18">
        <f>'A) Base RI'!S192+'A) Base RI'!T192</f>
        <v>0</v>
      </c>
      <c r="AB192" s="18">
        <f>'A) Base RI'!U192</f>
        <v>2080</v>
      </c>
      <c r="AC192" s="18">
        <f>'A) Base RI'!V192</f>
        <v>0</v>
      </c>
      <c r="AD192" s="18">
        <f>'A) Base RI'!W192</f>
        <v>0</v>
      </c>
      <c r="AE192" s="18">
        <f>'A) Base RI'!Y192</f>
        <v>241202.5</v>
      </c>
      <c r="AF192" s="18">
        <f>'A) Base RI'!Z192</f>
        <v>0</v>
      </c>
      <c r="AG192" s="18">
        <f>'A) Base RI'!AA192</f>
        <v>69421.75</v>
      </c>
      <c r="AH192" s="18">
        <f>'A) Base RI'!AB192</f>
        <v>0</v>
      </c>
      <c r="AI192" s="18">
        <f>'A) Base RI'!AC192</f>
        <v>63336.77</v>
      </c>
      <c r="AJ192" s="18">
        <f>'A) Base RI'!AD192</f>
        <v>0</v>
      </c>
      <c r="AK192" s="18">
        <f>'A) Base RI'!AE192</f>
        <v>0</v>
      </c>
      <c r="AL192" s="18">
        <f>'A) Base RI'!AF192</f>
        <v>0</v>
      </c>
      <c r="AM192" s="18">
        <f>'A) Base RI'!AG192</f>
        <v>0</v>
      </c>
      <c r="AN192" s="18">
        <f>'A) Base RI'!AH192</f>
        <v>0</v>
      </c>
      <c r="AO192" s="18">
        <f>'A) Base RI'!AI192</f>
        <v>0</v>
      </c>
      <c r="AP192" s="18">
        <f>'A) Base RI'!AJ192</f>
        <v>0</v>
      </c>
      <c r="AQ192" s="18">
        <f>'A) Base RI'!AK192</f>
        <v>0</v>
      </c>
      <c r="AR192" s="18">
        <f>'A) Base RI'!AN192</f>
        <v>797</v>
      </c>
    </row>
    <row r="193" spans="1:44" x14ac:dyDescent="0.25">
      <c r="A193" s="13">
        <f>'A) Base RI'!A193</f>
        <v>5709</v>
      </c>
      <c r="B193" s="62" t="str">
        <f>'A) Base RI'!B193</f>
        <v>Chéserex</v>
      </c>
      <c r="C193" s="18">
        <f>'A) Base RI'!C193+'A) Base RI'!D193</f>
        <v>5448330.6299999999</v>
      </c>
      <c r="D193" s="18">
        <f>'A) Base RI'!AO193</f>
        <v>-10175.629999999999</v>
      </c>
      <c r="E193" s="61">
        <f>'A) Base RI'!AP193</f>
        <v>0</v>
      </c>
      <c r="F193" s="61">
        <f>'A) Base RI'!AQ193</f>
        <v>-770.14</v>
      </c>
      <c r="G193" s="4">
        <f t="shared" si="12"/>
        <v>5437384.8600000003</v>
      </c>
      <c r="H193" s="18">
        <f>'A) Base RI'!E193</f>
        <v>0</v>
      </c>
      <c r="I193" s="18">
        <f>'A) Base RI'!F193</f>
        <v>0</v>
      </c>
      <c r="J193" s="18">
        <f>'A) Base RI'!G193+'A) Base RI'!H193</f>
        <v>1662760.5499999998</v>
      </c>
      <c r="K193" s="18">
        <f>'A) Base RI'!I193</f>
        <v>25328.95</v>
      </c>
      <c r="L193" s="18">
        <f>'A) Base RI'!J193</f>
        <v>169400.71</v>
      </c>
      <c r="M193" s="18">
        <f>'A) Base RI'!K193</f>
        <v>1077</v>
      </c>
      <c r="N193" s="18">
        <f>'A) Base RI'!Q193</f>
        <v>7311.68</v>
      </c>
      <c r="O193" s="18">
        <f t="shared" si="13"/>
        <v>287067.2</v>
      </c>
      <c r="P193" s="18">
        <f>'A) Base RI'!L193</f>
        <v>287067.2</v>
      </c>
      <c r="Q193" s="64">
        <f>'A) Base RI'!AR193</f>
        <v>1</v>
      </c>
      <c r="R193" s="4">
        <f t="shared" si="14"/>
        <v>7590330.9500000002</v>
      </c>
      <c r="S193" s="63">
        <f>'A) Base RI'!AM193</f>
        <v>52</v>
      </c>
      <c r="T193" s="4">
        <f t="shared" si="15"/>
        <v>7302186.75</v>
      </c>
      <c r="U193" s="4">
        <f t="shared" si="16"/>
        <v>145967.90288461538</v>
      </c>
      <c r="V193" s="18">
        <v>0</v>
      </c>
      <c r="W193" s="18">
        <f>'A) Base RI'!P193</f>
        <v>116479.9</v>
      </c>
      <c r="X193" s="18">
        <f>'A) Base RI'!R193</f>
        <v>190672.3</v>
      </c>
      <c r="Y193" s="4">
        <f t="shared" si="17"/>
        <v>307152.19999999995</v>
      </c>
      <c r="Z193" s="18">
        <f>'A) Base RI'!N193</f>
        <v>17582.150000000001</v>
      </c>
      <c r="AA193" s="18">
        <f>'A) Base RI'!S193+'A) Base RI'!T193</f>
        <v>1407.5</v>
      </c>
      <c r="AB193" s="18">
        <f>'A) Base RI'!U193</f>
        <v>8925</v>
      </c>
      <c r="AC193" s="18">
        <f>'A) Base RI'!V193</f>
        <v>0</v>
      </c>
      <c r="AD193" s="18">
        <f>'A) Base RI'!W193</f>
        <v>0</v>
      </c>
      <c r="AE193" s="18">
        <f>'A) Base RI'!Y193</f>
        <v>69339</v>
      </c>
      <c r="AF193" s="18">
        <f>'A) Base RI'!Z193</f>
        <v>158290.15</v>
      </c>
      <c r="AG193" s="18">
        <f>'A) Base RI'!AA193</f>
        <v>39656</v>
      </c>
      <c r="AH193" s="18">
        <f>'A) Base RI'!AB193</f>
        <v>0</v>
      </c>
      <c r="AI193" s="18">
        <f>'A) Base RI'!AC193</f>
        <v>76414.55</v>
      </c>
      <c r="AJ193" s="18">
        <f>'A) Base RI'!AD193</f>
        <v>0</v>
      </c>
      <c r="AK193" s="18">
        <f>'A) Base RI'!AE193</f>
        <v>0</v>
      </c>
      <c r="AL193" s="18">
        <f>'A) Base RI'!AF193</f>
        <v>0</v>
      </c>
      <c r="AM193" s="18">
        <f>'A) Base RI'!AG193</f>
        <v>6646.3</v>
      </c>
      <c r="AN193" s="18">
        <f>'A) Base RI'!AH193</f>
        <v>0</v>
      </c>
      <c r="AO193" s="18">
        <f>'A) Base RI'!AI193</f>
        <v>0</v>
      </c>
      <c r="AP193" s="18">
        <f>'A) Base RI'!AJ193</f>
        <v>0</v>
      </c>
      <c r="AQ193" s="18">
        <f>'A) Base RI'!AK193</f>
        <v>0</v>
      </c>
      <c r="AR193" s="18">
        <f>'A) Base RI'!AN193</f>
        <v>1225</v>
      </c>
    </row>
    <row r="194" spans="1:44" x14ac:dyDescent="0.25">
      <c r="A194" s="13">
        <f>'A) Base RI'!A194</f>
        <v>5710</v>
      </c>
      <c r="B194" s="62" t="str">
        <f>'A) Base RI'!B194</f>
        <v>Coinsins</v>
      </c>
      <c r="C194" s="18">
        <f>'A) Base RI'!C194+'A) Base RI'!D194</f>
        <v>1339254.79</v>
      </c>
      <c r="D194" s="18">
        <f>'A) Base RI'!AO194</f>
        <v>-3077.09</v>
      </c>
      <c r="E194" s="61">
        <f>'A) Base RI'!AP194</f>
        <v>0</v>
      </c>
      <c r="F194" s="61">
        <f>'A) Base RI'!AQ194</f>
        <v>-5370.89</v>
      </c>
      <c r="G194" s="4">
        <f t="shared" si="12"/>
        <v>1330806.81</v>
      </c>
      <c r="H194" s="18">
        <f>'A) Base RI'!E194</f>
        <v>0</v>
      </c>
      <c r="I194" s="18">
        <f>'A) Base RI'!F194</f>
        <v>0</v>
      </c>
      <c r="J194" s="18">
        <f>'A) Base RI'!G194+'A) Base RI'!H194</f>
        <v>2297421.4</v>
      </c>
      <c r="K194" s="18">
        <f>'A) Base RI'!I194</f>
        <v>85756.6</v>
      </c>
      <c r="L194" s="18">
        <f>'A) Base RI'!J194</f>
        <v>167010.85</v>
      </c>
      <c r="M194" s="18">
        <f>'A) Base RI'!K194</f>
        <v>5016.6000000000004</v>
      </c>
      <c r="N194" s="18">
        <f>'A) Base RI'!Q194</f>
        <v>4332.92</v>
      </c>
      <c r="O194" s="18">
        <f t="shared" si="13"/>
        <v>106917.2</v>
      </c>
      <c r="P194" s="18">
        <f>'A) Base RI'!L194</f>
        <v>106917.2</v>
      </c>
      <c r="Q194" s="64">
        <f>'A) Base RI'!AR194</f>
        <v>1</v>
      </c>
      <c r="R194" s="4">
        <f t="shared" si="14"/>
        <v>3997262.3800000004</v>
      </c>
      <c r="S194" s="63">
        <f>'A) Base RI'!AM194</f>
        <v>39</v>
      </c>
      <c r="T194" s="4">
        <f t="shared" si="15"/>
        <v>3885328.58</v>
      </c>
      <c r="U194" s="4">
        <f t="shared" si="16"/>
        <v>102493.90717948719</v>
      </c>
      <c r="V194" s="18">
        <f>'A) Base RI'!O194</f>
        <v>0</v>
      </c>
      <c r="W194" s="18">
        <f>'A) Base RI'!P194</f>
        <v>83705.8</v>
      </c>
      <c r="X194" s="18">
        <f>'A) Base RI'!R194</f>
        <v>14150.6</v>
      </c>
      <c r="Y194" s="4">
        <f t="shared" si="17"/>
        <v>97856.400000000009</v>
      </c>
      <c r="Z194" s="18">
        <f>'A) Base RI'!N194</f>
        <v>30789.45</v>
      </c>
      <c r="AA194" s="18">
        <f>'A) Base RI'!S194+'A) Base RI'!T194</f>
        <v>62.5</v>
      </c>
      <c r="AB194" s="18">
        <f>'A) Base RI'!U194</f>
        <v>0</v>
      </c>
      <c r="AC194" s="18">
        <f>'A) Base RI'!V194</f>
        <v>0</v>
      </c>
      <c r="AD194" s="18">
        <f>'A) Base RI'!W194</f>
        <v>0</v>
      </c>
      <c r="AE194" s="18">
        <f>'A) Base RI'!Y194</f>
        <v>0</v>
      </c>
      <c r="AF194" s="18">
        <f>'A) Base RI'!Z194</f>
        <v>49546.9</v>
      </c>
      <c r="AG194" s="18">
        <f>'A) Base RI'!AA194</f>
        <v>63126.75</v>
      </c>
      <c r="AH194" s="18">
        <f>'A) Base RI'!AB194</f>
        <v>0</v>
      </c>
      <c r="AI194" s="18">
        <f>'A) Base RI'!AC194</f>
        <v>13137.05</v>
      </c>
      <c r="AJ194" s="18">
        <f>'A) Base RI'!AD194</f>
        <v>47454.35</v>
      </c>
      <c r="AK194" s="18">
        <f>'A) Base RI'!AE194</f>
        <v>0</v>
      </c>
      <c r="AL194" s="18">
        <f>'A) Base RI'!AF194</f>
        <v>0</v>
      </c>
      <c r="AM194" s="18">
        <f>'A) Base RI'!AG194</f>
        <v>7467</v>
      </c>
      <c r="AN194" s="18">
        <f>'A) Base RI'!AH194</f>
        <v>0</v>
      </c>
      <c r="AO194" s="18">
        <f>'A) Base RI'!AI194</f>
        <v>0</v>
      </c>
      <c r="AP194" s="18">
        <f>'A) Base RI'!AJ194</f>
        <v>0</v>
      </c>
      <c r="AQ194" s="18">
        <f>'A) Base RI'!AK194</f>
        <v>0</v>
      </c>
      <c r="AR194" s="18">
        <f>'A) Base RI'!AN194</f>
        <v>427</v>
      </c>
    </row>
    <row r="195" spans="1:44" x14ac:dyDescent="0.25">
      <c r="A195" s="13">
        <f>'A) Base RI'!A195</f>
        <v>5711</v>
      </c>
      <c r="B195" s="62" t="str">
        <f>'A) Base RI'!B195</f>
        <v>Commugny</v>
      </c>
      <c r="C195" s="18">
        <f>'A) Base RI'!C195+'A) Base RI'!D195</f>
        <v>12571879.07</v>
      </c>
      <c r="D195" s="18">
        <f>'A) Base RI'!AO195</f>
        <v>-28034.799999999999</v>
      </c>
      <c r="E195" s="61">
        <f>'A) Base RI'!AP195</f>
        <v>0</v>
      </c>
      <c r="F195" s="61">
        <f>'A) Base RI'!AQ195</f>
        <v>-21230.62</v>
      </c>
      <c r="G195" s="4">
        <f t="shared" si="12"/>
        <v>12522613.65</v>
      </c>
      <c r="H195" s="18">
        <f>'A) Base RI'!E195</f>
        <v>0</v>
      </c>
      <c r="I195" s="18">
        <f>'A) Base RI'!F195</f>
        <v>0</v>
      </c>
      <c r="J195" s="18">
        <f>'A) Base RI'!G195+'A) Base RI'!H195</f>
        <v>49874.35</v>
      </c>
      <c r="K195" s="18">
        <f>'A) Base RI'!I195</f>
        <v>137221.47</v>
      </c>
      <c r="L195" s="18">
        <f>'A) Base RI'!J195</f>
        <v>172165.9</v>
      </c>
      <c r="M195" s="18">
        <f>'A) Base RI'!K195</f>
        <v>7542.5</v>
      </c>
      <c r="N195" s="18">
        <f>'A) Base RI'!Q195</f>
        <v>41674.400000000001</v>
      </c>
      <c r="O195" s="18">
        <f t="shared" si="13"/>
        <v>754109.34615384613</v>
      </c>
      <c r="P195" s="18">
        <f>'A) Base RI'!L195</f>
        <v>980342.15</v>
      </c>
      <c r="Q195" s="64">
        <f>'A) Base RI'!AR195</f>
        <v>1.3</v>
      </c>
      <c r="R195" s="4">
        <f t="shared" si="14"/>
        <v>13685201.616153847</v>
      </c>
      <c r="S195" s="63">
        <f>'A) Base RI'!AM195</f>
        <v>58</v>
      </c>
      <c r="T195" s="4">
        <f t="shared" si="15"/>
        <v>12923549.770000001</v>
      </c>
      <c r="U195" s="4">
        <f t="shared" si="16"/>
        <v>235951.75200265253</v>
      </c>
      <c r="V195" s="18">
        <f>'A) Base RI'!O195</f>
        <v>0</v>
      </c>
      <c r="W195" s="18">
        <f>'A) Base RI'!P195</f>
        <v>412478.7</v>
      </c>
      <c r="X195" s="18">
        <f>'A) Base RI'!R195</f>
        <v>618840.65</v>
      </c>
      <c r="Y195" s="4">
        <f t="shared" si="17"/>
        <v>1031319.3500000001</v>
      </c>
      <c r="Z195" s="18">
        <f>'A) Base RI'!N195</f>
        <v>27071.55</v>
      </c>
      <c r="AA195" s="18">
        <f>'A) Base RI'!S195+'A) Base RI'!T195</f>
        <v>62.5</v>
      </c>
      <c r="AB195" s="18">
        <f>'A) Base RI'!U195</f>
        <v>16650</v>
      </c>
      <c r="AC195" s="18">
        <f>'A) Base RI'!V195</f>
        <v>0</v>
      </c>
      <c r="AD195" s="18">
        <f>'A) Base RI'!W195</f>
        <v>0</v>
      </c>
      <c r="AE195" s="18">
        <f>'A) Base RI'!Y195</f>
        <v>56073.5</v>
      </c>
      <c r="AF195" s="18">
        <f>'A) Base RI'!Z195</f>
        <v>0</v>
      </c>
      <c r="AG195" s="18">
        <f>'A) Base RI'!AA195</f>
        <v>169322.26</v>
      </c>
      <c r="AH195" s="18">
        <f>'A) Base RI'!AB195</f>
        <v>0</v>
      </c>
      <c r="AI195" s="18">
        <f>'A) Base RI'!AC195</f>
        <v>183592.52</v>
      </c>
      <c r="AJ195" s="18">
        <f>'A) Base RI'!AD195</f>
        <v>74068.240000000005</v>
      </c>
      <c r="AK195" s="18">
        <f>'A) Base RI'!AE195</f>
        <v>0</v>
      </c>
      <c r="AL195" s="18">
        <f>'A) Base RI'!AF195</f>
        <v>0</v>
      </c>
      <c r="AM195" s="18">
        <f>'A) Base RI'!AG195</f>
        <v>15009</v>
      </c>
      <c r="AN195" s="18">
        <f>'A) Base RI'!AH195</f>
        <v>0</v>
      </c>
      <c r="AO195" s="18">
        <f>'A) Base RI'!AI195</f>
        <v>0</v>
      </c>
      <c r="AP195" s="18">
        <f>'A) Base RI'!AJ195</f>
        <v>0</v>
      </c>
      <c r="AQ195" s="18">
        <f>'A) Base RI'!AK195</f>
        <v>0</v>
      </c>
      <c r="AR195" s="18">
        <f>'A) Base RI'!AN195</f>
        <v>2524</v>
      </c>
    </row>
    <row r="196" spans="1:44" x14ac:dyDescent="0.25">
      <c r="A196" s="13">
        <f>'A) Base RI'!A196</f>
        <v>5712</v>
      </c>
      <c r="B196" s="62" t="str">
        <f>'A) Base RI'!B196</f>
        <v>Coppet</v>
      </c>
      <c r="C196" s="18">
        <f>'A) Base RI'!C196+'A) Base RI'!D196</f>
        <v>13090413.709999999</v>
      </c>
      <c r="D196" s="18">
        <f>'A) Base RI'!AO196</f>
        <v>-142819.73000000001</v>
      </c>
      <c r="E196" s="61">
        <f>'A) Base RI'!AP196</f>
        <v>0</v>
      </c>
      <c r="F196" s="61">
        <f>'A) Base RI'!AQ196</f>
        <v>-22713.97</v>
      </c>
      <c r="G196" s="4">
        <f t="shared" si="12"/>
        <v>12924880.009999998</v>
      </c>
      <c r="H196" s="18">
        <f>'A) Base RI'!E196</f>
        <v>0</v>
      </c>
      <c r="I196" s="18">
        <f>'A) Base RI'!F196</f>
        <v>0</v>
      </c>
      <c r="J196" s="18">
        <f>'A) Base RI'!G196+'A) Base RI'!H196</f>
        <v>140713.9</v>
      </c>
      <c r="K196" s="18">
        <f>'A) Base RI'!I196</f>
        <v>1196611.8999999999</v>
      </c>
      <c r="L196" s="18">
        <f>'A) Base RI'!J196</f>
        <v>227517.83</v>
      </c>
      <c r="M196" s="18">
        <f>'A) Base RI'!K196</f>
        <v>26587.5</v>
      </c>
      <c r="N196" s="18">
        <f>'A) Base RI'!Q196</f>
        <v>8037.53</v>
      </c>
      <c r="O196" s="18">
        <f t="shared" si="13"/>
        <v>985375.53333333333</v>
      </c>
      <c r="P196" s="18">
        <f>'A) Base RI'!L196</f>
        <v>1478063.3</v>
      </c>
      <c r="Q196" s="64">
        <f>'A) Base RI'!AR196</f>
        <v>1.5</v>
      </c>
      <c r="R196" s="4">
        <f t="shared" si="14"/>
        <v>15509724.203333331</v>
      </c>
      <c r="S196" s="63">
        <f>'A) Base RI'!AM196</f>
        <v>53</v>
      </c>
      <c r="T196" s="4">
        <f t="shared" si="15"/>
        <v>14497761.169999998</v>
      </c>
      <c r="U196" s="4">
        <f t="shared" si="16"/>
        <v>292636.3057232704</v>
      </c>
      <c r="V196" s="18">
        <f>'A) Base RI'!O196</f>
        <v>129106.1</v>
      </c>
      <c r="W196" s="18">
        <f>'A) Base RI'!P196</f>
        <v>925995.65</v>
      </c>
      <c r="X196" s="18">
        <f>'A) Base RI'!R196</f>
        <v>1012967.1</v>
      </c>
      <c r="Y196" s="4">
        <f t="shared" si="17"/>
        <v>2068068.85</v>
      </c>
      <c r="Z196" s="18">
        <f>'A) Base RI'!N196</f>
        <v>118944.8</v>
      </c>
      <c r="AA196" s="18">
        <f>'A) Base RI'!S196+'A) Base RI'!T196</f>
        <v>287.5</v>
      </c>
      <c r="AB196" s="18">
        <f>'A) Base RI'!U196</f>
        <v>7450</v>
      </c>
      <c r="AC196" s="18">
        <f>'A) Base RI'!V196</f>
        <v>0</v>
      </c>
      <c r="AD196" s="18">
        <f>'A) Base RI'!W196</f>
        <v>0</v>
      </c>
      <c r="AE196" s="18">
        <f>'A) Base RI'!Y196</f>
        <v>154375.6</v>
      </c>
      <c r="AF196" s="18">
        <f>'A) Base RI'!Z196</f>
        <v>0</v>
      </c>
      <c r="AG196" s="18">
        <f>'A) Base RI'!AA196</f>
        <v>238736.75</v>
      </c>
      <c r="AH196" s="18">
        <f>'A) Base RI'!AB196</f>
        <v>0</v>
      </c>
      <c r="AI196" s="18">
        <f>'A) Base RI'!AC196</f>
        <v>546507</v>
      </c>
      <c r="AJ196" s="18">
        <f>'A) Base RI'!AD196</f>
        <v>0</v>
      </c>
      <c r="AK196" s="18">
        <f>'A) Base RI'!AE196</f>
        <v>0</v>
      </c>
      <c r="AL196" s="18">
        <f>'A) Base RI'!AF196</f>
        <v>0</v>
      </c>
      <c r="AM196" s="18">
        <f>'A) Base RI'!AG196</f>
        <v>0</v>
      </c>
      <c r="AN196" s="18">
        <f>'A) Base RI'!AH196</f>
        <v>0</v>
      </c>
      <c r="AO196" s="18">
        <f>'A) Base RI'!AI196</f>
        <v>0</v>
      </c>
      <c r="AP196" s="18">
        <f>'A) Base RI'!AJ196</f>
        <v>0</v>
      </c>
      <c r="AQ196" s="18">
        <f>'A) Base RI'!AK196</f>
        <v>0</v>
      </c>
      <c r="AR196" s="18">
        <f>'A) Base RI'!AN196</f>
        <v>2892</v>
      </c>
    </row>
    <row r="197" spans="1:44" x14ac:dyDescent="0.25">
      <c r="A197" s="13">
        <f>'A) Base RI'!A197</f>
        <v>5713</v>
      </c>
      <c r="B197" s="62" t="str">
        <f>'A) Base RI'!B197</f>
        <v>Crans-près-Céligny</v>
      </c>
      <c r="C197" s="18">
        <f>'A) Base RI'!C197+'A) Base RI'!D197</f>
        <v>16452918.129999999</v>
      </c>
      <c r="D197" s="18">
        <f>'A) Base RI'!AO197</f>
        <v>-18757.009999999998</v>
      </c>
      <c r="E197" s="61">
        <f>'A) Base RI'!AP197</f>
        <v>0</v>
      </c>
      <c r="F197" s="61">
        <f>'A) Base RI'!AQ197</f>
        <v>-13189.44</v>
      </c>
      <c r="G197" s="4">
        <f t="shared" si="12"/>
        <v>16420971.68</v>
      </c>
      <c r="H197" s="18">
        <f>'A) Base RI'!E197</f>
        <v>0</v>
      </c>
      <c r="I197" s="18">
        <f>'A) Base RI'!F197</f>
        <v>0</v>
      </c>
      <c r="J197" s="18">
        <f>'A) Base RI'!G197+'A) Base RI'!H197</f>
        <v>53443.6</v>
      </c>
      <c r="K197" s="18">
        <f>'A) Base RI'!I197</f>
        <v>410153.08</v>
      </c>
      <c r="L197" s="18">
        <f>'A) Base RI'!J197</f>
        <v>241140.4</v>
      </c>
      <c r="M197" s="18">
        <f>'A) Base RI'!K197</f>
        <v>6810</v>
      </c>
      <c r="N197" s="18">
        <f>'A) Base RI'!Q197</f>
        <v>7621.97</v>
      </c>
      <c r="O197" s="18">
        <f t="shared" si="13"/>
        <v>666752.30000000005</v>
      </c>
      <c r="P197" s="18">
        <f>'A) Base RI'!L197</f>
        <v>666752.30000000005</v>
      </c>
      <c r="Q197" s="64">
        <f>'A) Base RI'!AR197</f>
        <v>1</v>
      </c>
      <c r="R197" s="4">
        <f t="shared" si="14"/>
        <v>17806893.029999997</v>
      </c>
      <c r="S197" s="63">
        <f>'A) Base RI'!AM197</f>
        <v>53</v>
      </c>
      <c r="T197" s="4">
        <f t="shared" si="15"/>
        <v>17133330.729999997</v>
      </c>
      <c r="U197" s="4">
        <f t="shared" si="16"/>
        <v>335979.11377358483</v>
      </c>
      <c r="V197" s="18">
        <f>'A) Base RI'!O197</f>
        <v>20431.2</v>
      </c>
      <c r="W197" s="18">
        <f>'A) Base RI'!P197</f>
        <v>445342.3</v>
      </c>
      <c r="X197" s="18">
        <f>'A) Base RI'!R197</f>
        <v>1401192.05</v>
      </c>
      <c r="Y197" s="4">
        <f t="shared" si="17"/>
        <v>1866965.55</v>
      </c>
      <c r="Z197" s="18">
        <f>'A) Base RI'!N197</f>
        <v>27235.75</v>
      </c>
      <c r="AA197" s="18">
        <f>'A) Base RI'!S197+'A) Base RI'!T197</f>
        <v>44.75</v>
      </c>
      <c r="AB197" s="18">
        <f>'A) Base RI'!U197</f>
        <v>11550</v>
      </c>
      <c r="AC197" s="18">
        <f>'A) Base RI'!V197</f>
        <v>0</v>
      </c>
      <c r="AD197" s="18">
        <f>'A) Base RI'!W197</f>
        <v>0</v>
      </c>
      <c r="AE197" s="18">
        <f>'A) Base RI'!Y197</f>
        <v>48300</v>
      </c>
      <c r="AF197" s="18">
        <f>'A) Base RI'!Z197</f>
        <v>0</v>
      </c>
      <c r="AG197" s="18">
        <f>'A) Base RI'!AA197</f>
        <v>343788.94</v>
      </c>
      <c r="AH197" s="18">
        <f>'A) Base RI'!AB197</f>
        <v>0</v>
      </c>
      <c r="AI197" s="18">
        <f>'A) Base RI'!AC197</f>
        <v>209293.47</v>
      </c>
      <c r="AJ197" s="18">
        <f>'A) Base RI'!AD197</f>
        <v>0</v>
      </c>
      <c r="AK197" s="18">
        <f>'A) Base RI'!AE197</f>
        <v>0</v>
      </c>
      <c r="AL197" s="18">
        <f>'A) Base RI'!AF197</f>
        <v>0</v>
      </c>
      <c r="AM197" s="18">
        <f>'A) Base RI'!AG197</f>
        <v>0</v>
      </c>
      <c r="AN197" s="18">
        <f>'A) Base RI'!AH197</f>
        <v>87959.5</v>
      </c>
      <c r="AO197" s="18">
        <f>'A) Base RI'!AI197</f>
        <v>0</v>
      </c>
      <c r="AP197" s="18">
        <f>'A) Base RI'!AJ197</f>
        <v>0</v>
      </c>
      <c r="AQ197" s="18">
        <f>'A) Base RI'!AK197</f>
        <v>0</v>
      </c>
      <c r="AR197" s="18">
        <f>'A) Base RI'!AN197</f>
        <v>2048</v>
      </c>
    </row>
    <row r="198" spans="1:44" x14ac:dyDescent="0.25">
      <c r="A198" s="13">
        <f>'A) Base RI'!A198</f>
        <v>5714</v>
      </c>
      <c r="B198" s="62" t="str">
        <f>'A) Base RI'!B198</f>
        <v>Crassier</v>
      </c>
      <c r="C198" s="18">
        <f>'A) Base RI'!C198+'A) Base RI'!D198</f>
        <v>3549815.3</v>
      </c>
      <c r="D198" s="18">
        <f>'A) Base RI'!AO198</f>
        <v>-30851.39</v>
      </c>
      <c r="E198" s="61">
        <f>'A) Base RI'!AP198</f>
        <v>0</v>
      </c>
      <c r="F198" s="61">
        <f>'A) Base RI'!AQ198</f>
        <v>-1120.58</v>
      </c>
      <c r="G198" s="4">
        <f t="shared" si="12"/>
        <v>3517843.3299999996</v>
      </c>
      <c r="H198" s="18">
        <f>'A) Base RI'!E198</f>
        <v>0</v>
      </c>
      <c r="I198" s="18">
        <f>'A) Base RI'!F198</f>
        <v>0</v>
      </c>
      <c r="J198" s="18">
        <f>'A) Base RI'!G198+'A) Base RI'!H198</f>
        <v>229128.85</v>
      </c>
      <c r="K198" s="18">
        <f>'A) Base RI'!I198</f>
        <v>171300.65</v>
      </c>
      <c r="L198" s="18">
        <f>'A) Base RI'!J198</f>
        <v>-44674.95</v>
      </c>
      <c r="M198" s="18">
        <f>'A) Base RI'!K198</f>
        <v>6322.5</v>
      </c>
      <c r="N198" s="18">
        <f>'A) Base RI'!Q198</f>
        <v>3916.78</v>
      </c>
      <c r="O198" s="18">
        <f t="shared" si="13"/>
        <v>237418.65</v>
      </c>
      <c r="P198" s="18">
        <f>'A) Base RI'!L198</f>
        <v>237418.65</v>
      </c>
      <c r="Q198" s="64">
        <f>'A) Base RI'!AR198</f>
        <v>1</v>
      </c>
      <c r="R198" s="4">
        <f t="shared" si="14"/>
        <v>4121255.8099999991</v>
      </c>
      <c r="S198" s="63">
        <f>'A) Base RI'!AM198</f>
        <v>64</v>
      </c>
      <c r="T198" s="4">
        <f t="shared" si="15"/>
        <v>3877514.6599999992</v>
      </c>
      <c r="U198" s="4">
        <f t="shared" si="16"/>
        <v>64394.622031249986</v>
      </c>
      <c r="V198" s="18">
        <f>'A) Base RI'!O198</f>
        <v>47885.3</v>
      </c>
      <c r="W198" s="18">
        <f>'A) Base RI'!P198</f>
        <v>332134.95</v>
      </c>
      <c r="X198" s="18">
        <f>'A) Base RI'!R198</f>
        <v>120662.7</v>
      </c>
      <c r="Y198" s="4">
        <f t="shared" si="17"/>
        <v>500682.95</v>
      </c>
      <c r="Z198" s="18">
        <f>'A) Base RI'!N198</f>
        <v>96409.9</v>
      </c>
      <c r="AA198" s="18">
        <f>'A) Base RI'!S198+'A) Base RI'!T198</f>
        <v>512.5</v>
      </c>
      <c r="AB198" s="18">
        <f>'A) Base RI'!U198</f>
        <v>3810</v>
      </c>
      <c r="AC198" s="18">
        <f>'A) Base RI'!V198</f>
        <v>0</v>
      </c>
      <c r="AD198" s="18">
        <f>'A) Base RI'!W198</f>
        <v>0</v>
      </c>
      <c r="AE198" s="18">
        <f>'A) Base RI'!Y198</f>
        <v>10078.85</v>
      </c>
      <c r="AF198" s="18">
        <f>'A) Base RI'!Z198</f>
        <v>0</v>
      </c>
      <c r="AG198" s="18">
        <f>'A) Base RI'!AA198</f>
        <v>38462.050000000003</v>
      </c>
      <c r="AH198" s="18">
        <f>'A) Base RI'!AB198</f>
        <v>0</v>
      </c>
      <c r="AI198" s="18">
        <f>'A) Base RI'!AC198</f>
        <v>107670.95</v>
      </c>
      <c r="AJ198" s="18">
        <f>'A) Base RI'!AD198</f>
        <v>3269.25</v>
      </c>
      <c r="AK198" s="18">
        <f>'A) Base RI'!AE198</f>
        <v>0</v>
      </c>
      <c r="AL198" s="18">
        <f>'A) Base RI'!AF198</f>
        <v>0</v>
      </c>
      <c r="AM198" s="18">
        <f>'A) Base RI'!AG198</f>
        <v>1637</v>
      </c>
      <c r="AN198" s="18">
        <f>'A) Base RI'!AH198</f>
        <v>34617.050000000003</v>
      </c>
      <c r="AO198" s="18">
        <f>'A) Base RI'!AI198</f>
        <v>0</v>
      </c>
      <c r="AP198" s="18">
        <f>'A) Base RI'!AJ198</f>
        <v>0</v>
      </c>
      <c r="AQ198" s="18">
        <f>'A) Base RI'!AK198</f>
        <v>0</v>
      </c>
      <c r="AR198" s="18">
        <f>'A) Base RI'!AN198</f>
        <v>1114</v>
      </c>
    </row>
    <row r="199" spans="1:44" x14ac:dyDescent="0.25">
      <c r="A199" s="13">
        <f>'A) Base RI'!A199</f>
        <v>5715</v>
      </c>
      <c r="B199" s="62" t="str">
        <f>'A) Base RI'!B199</f>
        <v>Duillier</v>
      </c>
      <c r="C199" s="18">
        <f>'A) Base RI'!C199+'A) Base RI'!D199</f>
        <v>3517083.96</v>
      </c>
      <c r="D199" s="18">
        <f>'A) Base RI'!AO199</f>
        <v>-44725.06</v>
      </c>
      <c r="E199" s="61">
        <f>'A) Base RI'!AP199</f>
        <v>0</v>
      </c>
      <c r="F199" s="61">
        <f>'A) Base RI'!AQ199</f>
        <v>-827.1</v>
      </c>
      <c r="G199" s="4">
        <f t="shared" si="12"/>
        <v>3471531.8</v>
      </c>
      <c r="H199" s="18">
        <f>'A) Base RI'!E199</f>
        <v>0</v>
      </c>
      <c r="I199" s="18">
        <f>'A) Base RI'!F199</f>
        <v>0</v>
      </c>
      <c r="J199" s="18">
        <f>'A) Base RI'!G199+'A) Base RI'!H199</f>
        <v>55511.8</v>
      </c>
      <c r="K199" s="18">
        <f>'A) Base RI'!I199</f>
        <v>45844.6</v>
      </c>
      <c r="L199" s="18">
        <f>'A) Base RI'!J199</f>
        <v>176658.68</v>
      </c>
      <c r="M199" s="18">
        <f>'A) Base RI'!K199</f>
        <v>555.5</v>
      </c>
      <c r="N199" s="18">
        <f>'A) Base RI'!Q199</f>
        <v>8810.9699999999993</v>
      </c>
      <c r="O199" s="18">
        <f t="shared" si="13"/>
        <v>229500.3</v>
      </c>
      <c r="P199" s="18">
        <f>'A) Base RI'!L199</f>
        <v>229500.3</v>
      </c>
      <c r="Q199" s="64">
        <f>'A) Base RI'!AR199</f>
        <v>1</v>
      </c>
      <c r="R199" s="4">
        <f t="shared" si="14"/>
        <v>3988413.65</v>
      </c>
      <c r="S199" s="63">
        <f>'A) Base RI'!AM199</f>
        <v>66</v>
      </c>
      <c r="T199" s="4">
        <f t="shared" si="15"/>
        <v>3758357.85</v>
      </c>
      <c r="U199" s="4">
        <f t="shared" si="16"/>
        <v>60430.509848484849</v>
      </c>
      <c r="V199" s="18">
        <f>'A) Base RI'!O199</f>
        <v>0</v>
      </c>
      <c r="W199" s="18">
        <f>'A) Base RI'!P199</f>
        <v>39419.300000000003</v>
      </c>
      <c r="X199" s="18">
        <f>'A) Base RI'!R199</f>
        <v>2178.6</v>
      </c>
      <c r="Y199" s="4">
        <f t="shared" si="17"/>
        <v>41597.9</v>
      </c>
      <c r="Z199" s="18">
        <f>'A) Base RI'!N199</f>
        <v>40511.949999999997</v>
      </c>
      <c r="AA199" s="18">
        <f>'A) Base RI'!S199+'A) Base RI'!T199</f>
        <v>0</v>
      </c>
      <c r="AB199" s="18">
        <f>'A) Base RI'!U199</f>
        <v>5650</v>
      </c>
      <c r="AC199" s="18">
        <f>'A) Base RI'!V199</f>
        <v>0</v>
      </c>
      <c r="AD199" s="18">
        <f>'A) Base RI'!W199</f>
        <v>0</v>
      </c>
      <c r="AE199" s="18">
        <f>'A) Base RI'!Y199</f>
        <v>52830</v>
      </c>
      <c r="AF199" s="18">
        <f>'A) Base RI'!Z199</f>
        <v>0</v>
      </c>
      <c r="AG199" s="18">
        <f>'A) Base RI'!AA199</f>
        <v>87598.7</v>
      </c>
      <c r="AH199" s="18">
        <f>'A) Base RI'!AB199</f>
        <v>0</v>
      </c>
      <c r="AI199" s="18">
        <f>'A) Base RI'!AC199</f>
        <v>98478.68</v>
      </c>
      <c r="AJ199" s="18">
        <f>'A) Base RI'!AD199</f>
        <v>20942</v>
      </c>
      <c r="AK199" s="18">
        <f>'A) Base RI'!AE199</f>
        <v>0</v>
      </c>
      <c r="AL199" s="18">
        <f>'A) Base RI'!AF199</f>
        <v>0</v>
      </c>
      <c r="AM199" s="18">
        <f>'A) Base RI'!AG199</f>
        <v>5813</v>
      </c>
      <c r="AN199" s="18">
        <f>'A) Base RI'!AH199</f>
        <v>60444.74</v>
      </c>
      <c r="AO199" s="18">
        <f>'A) Base RI'!AI199</f>
        <v>0</v>
      </c>
      <c r="AP199" s="18">
        <f>'A) Base RI'!AJ199</f>
        <v>0</v>
      </c>
      <c r="AQ199" s="18">
        <f>'A) Base RI'!AK199</f>
        <v>0</v>
      </c>
      <c r="AR199" s="18">
        <f>'A) Base RI'!AN199</f>
        <v>1014</v>
      </c>
    </row>
    <row r="200" spans="1:44" x14ac:dyDescent="0.25">
      <c r="A200" s="13">
        <f>'A) Base RI'!A200</f>
        <v>5716</v>
      </c>
      <c r="B200" s="62" t="str">
        <f>'A) Base RI'!B200</f>
        <v>Eysins</v>
      </c>
      <c r="C200" s="18">
        <f>'A) Base RI'!C200+'A) Base RI'!D200</f>
        <v>4339320.1100000003</v>
      </c>
      <c r="D200" s="18">
        <f>'A) Base RI'!AO200</f>
        <v>-156887.17000000001</v>
      </c>
      <c r="E200" s="61">
        <f>'A) Base RI'!AP200</f>
        <v>0</v>
      </c>
      <c r="F200" s="61">
        <f>'A) Base RI'!AQ200</f>
        <v>-16601.55</v>
      </c>
      <c r="G200" s="4">
        <f t="shared" ref="G200:G263" si="18">SUM(C200:F200)</f>
        <v>4165831.3900000006</v>
      </c>
      <c r="H200" s="18">
        <f>'A) Base RI'!E200</f>
        <v>0</v>
      </c>
      <c r="I200" s="18">
        <f>'A) Base RI'!F200</f>
        <v>0</v>
      </c>
      <c r="J200" s="18">
        <f>'A) Base RI'!G200+'A) Base RI'!H200</f>
        <v>2312851.7000000002</v>
      </c>
      <c r="K200" s="18">
        <f>'A) Base RI'!I200</f>
        <v>46425.8</v>
      </c>
      <c r="L200" s="18">
        <f>'A) Base RI'!J200</f>
        <v>1262707.0900000001</v>
      </c>
      <c r="M200" s="18">
        <f>'A) Base RI'!K200</f>
        <v>112177</v>
      </c>
      <c r="N200" s="18">
        <f>'A) Base RI'!Q200</f>
        <v>8833.2999999999993</v>
      </c>
      <c r="O200" s="18">
        <f t="shared" ref="O200:O263" si="19">P200/Q200*1</f>
        <v>485008.55</v>
      </c>
      <c r="P200" s="18">
        <f>'A) Base RI'!L200</f>
        <v>485008.55</v>
      </c>
      <c r="Q200" s="64">
        <f>'A) Base RI'!AR200</f>
        <v>1</v>
      </c>
      <c r="R200" s="4">
        <f t="shared" ref="R200:R263" si="20">SUM(G200:O200)</f>
        <v>8393834.8300000001</v>
      </c>
      <c r="S200" s="63">
        <f>'A) Base RI'!AM200</f>
        <v>61</v>
      </c>
      <c r="T200" s="4">
        <f t="shared" ref="T200:T263" si="21">(G200+H200+J200+K200+L200+N200)</f>
        <v>7796649.2800000003</v>
      </c>
      <c r="U200" s="4">
        <f t="shared" ref="U200:U263" si="22">R200/S200</f>
        <v>137603.84967213115</v>
      </c>
      <c r="V200" s="18">
        <f>'A) Base RI'!O200</f>
        <v>723</v>
      </c>
      <c r="W200" s="18">
        <f>'A) Base RI'!P200</f>
        <v>435198.55</v>
      </c>
      <c r="X200" s="18">
        <f>'A) Base RI'!R200</f>
        <v>187850.9</v>
      </c>
      <c r="Y200" s="4">
        <f t="shared" ref="Y200:Y263" si="23">SUM(V200:X200)</f>
        <v>623772.44999999995</v>
      </c>
      <c r="Z200" s="18">
        <f>'A) Base RI'!N200</f>
        <v>622531.44999999995</v>
      </c>
      <c r="AA200" s="18">
        <f>'A) Base RI'!S200+'A) Base RI'!T200</f>
        <v>56.25</v>
      </c>
      <c r="AB200" s="18">
        <f>'A) Base RI'!U200</f>
        <v>8050</v>
      </c>
      <c r="AC200" s="18">
        <f>'A) Base RI'!V200</f>
        <v>0</v>
      </c>
      <c r="AD200" s="18">
        <f>'A) Base RI'!W200</f>
        <v>0</v>
      </c>
      <c r="AE200" s="18">
        <f>'A) Base RI'!Y200</f>
        <v>203065.79</v>
      </c>
      <c r="AF200" s="18">
        <f>'A) Base RI'!Z200</f>
        <v>0</v>
      </c>
      <c r="AG200" s="18">
        <f>'A) Base RI'!AA200</f>
        <v>205033</v>
      </c>
      <c r="AH200" s="18">
        <f>'A) Base RI'!AB200</f>
        <v>0</v>
      </c>
      <c r="AI200" s="18">
        <f>'A) Base RI'!AC200</f>
        <v>190855</v>
      </c>
      <c r="AJ200" s="18">
        <f>'A) Base RI'!AD200</f>
        <v>0</v>
      </c>
      <c r="AK200" s="18">
        <f>'A) Base RI'!AE200</f>
        <v>0</v>
      </c>
      <c r="AL200" s="18">
        <f>'A) Base RI'!AF200</f>
        <v>0</v>
      </c>
      <c r="AM200" s="18">
        <f>'A) Base RI'!AG200</f>
        <v>0</v>
      </c>
      <c r="AN200" s="18">
        <f>'A) Base RI'!AH200</f>
        <v>64075.15</v>
      </c>
      <c r="AO200" s="18">
        <f>'A) Base RI'!AI200</f>
        <v>0</v>
      </c>
      <c r="AP200" s="18">
        <f>'A) Base RI'!AJ200</f>
        <v>0</v>
      </c>
      <c r="AQ200" s="18">
        <f>'A) Base RI'!AK200</f>
        <v>0</v>
      </c>
      <c r="AR200" s="18">
        <f>'A) Base RI'!AN200</f>
        <v>1462</v>
      </c>
    </row>
    <row r="201" spans="1:44" x14ac:dyDescent="0.25">
      <c r="A201" s="13">
        <f>'A) Base RI'!A201</f>
        <v>5717</v>
      </c>
      <c r="B201" s="62" t="str">
        <f>'A) Base RI'!B201</f>
        <v>Founex</v>
      </c>
      <c r="C201" s="18">
        <f>'A) Base RI'!C201+'A) Base RI'!D201</f>
        <v>16045915.289999999</v>
      </c>
      <c r="D201" s="18">
        <f>'A) Base RI'!AO201</f>
        <v>-214136.61</v>
      </c>
      <c r="E201" s="61">
        <f>'A) Base RI'!AP201</f>
        <v>-22553.5</v>
      </c>
      <c r="F201" s="61">
        <f>'A) Base RI'!AQ201</f>
        <v>-69110.11</v>
      </c>
      <c r="G201" s="4">
        <f t="shared" si="18"/>
        <v>15740115.07</v>
      </c>
      <c r="H201" s="18">
        <f>'A) Base RI'!E201</f>
        <v>0</v>
      </c>
      <c r="I201" s="18">
        <f>'A) Base RI'!F201</f>
        <v>0</v>
      </c>
      <c r="J201" s="18">
        <f>'A) Base RI'!G201+'A) Base RI'!H201</f>
        <v>227635.05</v>
      </c>
      <c r="K201" s="18">
        <f>'A) Base RI'!I201</f>
        <v>1226654.31</v>
      </c>
      <c r="L201" s="18">
        <f>'A) Base RI'!J201</f>
        <v>592624.28</v>
      </c>
      <c r="M201" s="18">
        <f>'A) Base RI'!K201</f>
        <v>40242.5</v>
      </c>
      <c r="N201" s="18">
        <f>'A) Base RI'!Q201</f>
        <v>1665.76</v>
      </c>
      <c r="O201" s="18">
        <f t="shared" si="19"/>
        <v>1079574.2</v>
      </c>
      <c r="P201" s="18">
        <f>'A) Base RI'!L201</f>
        <v>1079574.2</v>
      </c>
      <c r="Q201" s="64">
        <f>'A) Base RI'!AR201</f>
        <v>1</v>
      </c>
      <c r="R201" s="4">
        <f t="shared" si="20"/>
        <v>18908511.170000002</v>
      </c>
      <c r="S201" s="63">
        <f>'A) Base RI'!AM201</f>
        <v>57</v>
      </c>
      <c r="T201" s="4">
        <f t="shared" si="21"/>
        <v>17788694.470000003</v>
      </c>
      <c r="U201" s="4">
        <f t="shared" si="22"/>
        <v>331728.2661403509</v>
      </c>
      <c r="V201" s="18">
        <f>'A) Base RI'!O201</f>
        <v>320762.59999999998</v>
      </c>
      <c r="W201" s="18">
        <f>'A) Base RI'!P201</f>
        <v>1120948.8</v>
      </c>
      <c r="X201" s="18">
        <f>'A) Base RI'!R201</f>
        <v>1136755.7</v>
      </c>
      <c r="Y201" s="4">
        <f t="shared" si="23"/>
        <v>2578467.0999999996</v>
      </c>
      <c r="Z201" s="18">
        <f>'A) Base RI'!N201</f>
        <v>171235.5</v>
      </c>
      <c r="AA201" s="18">
        <f>'A) Base RI'!S201+'A) Base RI'!T201</f>
        <v>1225</v>
      </c>
      <c r="AB201" s="18">
        <f>'A) Base RI'!U201</f>
        <v>17185</v>
      </c>
      <c r="AC201" s="18">
        <f>'A) Base RI'!V201</f>
        <v>0</v>
      </c>
      <c r="AD201" s="18">
        <f>'A) Base RI'!W201</f>
        <v>0</v>
      </c>
      <c r="AE201" s="18">
        <f>'A) Base RI'!Y201</f>
        <v>353636.25</v>
      </c>
      <c r="AF201" s="18">
        <f>'A) Base RI'!Z201</f>
        <v>0</v>
      </c>
      <c r="AG201" s="18">
        <f>'A) Base RI'!AA201</f>
        <v>183746.9</v>
      </c>
      <c r="AH201" s="18">
        <f>'A) Base RI'!AB201</f>
        <v>0</v>
      </c>
      <c r="AI201" s="18">
        <f>'A) Base RI'!AC201</f>
        <v>476497.4</v>
      </c>
      <c r="AJ201" s="18">
        <f>'A) Base RI'!AD201</f>
        <v>0</v>
      </c>
      <c r="AK201" s="18">
        <f>'A) Base RI'!AE201</f>
        <v>0</v>
      </c>
      <c r="AL201" s="18">
        <f>'A) Base RI'!AF201</f>
        <v>0</v>
      </c>
      <c r="AM201" s="18">
        <f>'A) Base RI'!AG201</f>
        <v>3586.1</v>
      </c>
      <c r="AN201" s="18">
        <f>'A) Base RI'!AH201</f>
        <v>0</v>
      </c>
      <c r="AO201" s="18">
        <f>'A) Base RI'!AI201</f>
        <v>0</v>
      </c>
      <c r="AP201" s="18">
        <f>'A) Base RI'!AJ201</f>
        <v>0</v>
      </c>
      <c r="AQ201" s="18">
        <f>'A) Base RI'!AK201</f>
        <v>0</v>
      </c>
      <c r="AR201" s="18">
        <f>'A) Base RI'!AN201</f>
        <v>3276</v>
      </c>
    </row>
    <row r="202" spans="1:44" x14ac:dyDescent="0.25">
      <c r="A202" s="13">
        <f>'A) Base RI'!A202</f>
        <v>5718</v>
      </c>
      <c r="B202" s="62" t="str">
        <f>'A) Base RI'!B202</f>
        <v>Genolier</v>
      </c>
      <c r="C202" s="18">
        <f>'A) Base RI'!C202+'A) Base RI'!D202</f>
        <v>8269005.4800000004</v>
      </c>
      <c r="D202" s="18">
        <f>'A) Base RI'!AO202</f>
        <v>32563.03</v>
      </c>
      <c r="E202" s="61">
        <f>'A) Base RI'!AP202</f>
        <v>0</v>
      </c>
      <c r="F202" s="61">
        <f>'A) Base RI'!AQ202</f>
        <v>-5460.87</v>
      </c>
      <c r="G202" s="4">
        <f t="shared" si="18"/>
        <v>8296107.6400000006</v>
      </c>
      <c r="H202" s="18">
        <f>'A) Base RI'!E202</f>
        <v>0</v>
      </c>
      <c r="I202" s="18">
        <f>'A) Base RI'!F202</f>
        <v>0</v>
      </c>
      <c r="J202" s="18">
        <f>'A) Base RI'!G202+'A) Base RI'!H202</f>
        <v>523297.39999999997</v>
      </c>
      <c r="K202" s="18">
        <f>'A) Base RI'!I202</f>
        <v>242459.2</v>
      </c>
      <c r="L202" s="18">
        <f>'A) Base RI'!J202</f>
        <v>209610.47</v>
      </c>
      <c r="M202" s="18">
        <f>'A) Base RI'!K202</f>
        <v>30301</v>
      </c>
      <c r="N202" s="18">
        <f>'A) Base RI'!Q202</f>
        <v>-32806.519999999997</v>
      </c>
      <c r="O202" s="18">
        <f t="shared" si="19"/>
        <v>557310.5</v>
      </c>
      <c r="P202" s="18">
        <f>'A) Base RI'!L202</f>
        <v>557310.5</v>
      </c>
      <c r="Q202" s="64">
        <f>'A) Base RI'!AR202</f>
        <v>1</v>
      </c>
      <c r="R202" s="4">
        <f t="shared" si="20"/>
        <v>9826279.6900000013</v>
      </c>
      <c r="S202" s="63">
        <f>'A) Base RI'!AM202</f>
        <v>55</v>
      </c>
      <c r="T202" s="4">
        <f t="shared" si="21"/>
        <v>9238668.1900000013</v>
      </c>
      <c r="U202" s="4">
        <f t="shared" si="22"/>
        <v>178659.63072727274</v>
      </c>
      <c r="V202" s="18">
        <f>'A) Base RI'!O202</f>
        <v>26160.400000000001</v>
      </c>
      <c r="W202" s="18">
        <f>'A) Base RI'!P202</f>
        <v>340760.4</v>
      </c>
      <c r="X202" s="18">
        <f>'A) Base RI'!R202</f>
        <v>689674.25</v>
      </c>
      <c r="Y202" s="4">
        <f t="shared" si="23"/>
        <v>1056595.05</v>
      </c>
      <c r="Z202" s="18">
        <f>'A) Base RI'!N202</f>
        <v>308788.84999999998</v>
      </c>
      <c r="AA202" s="18">
        <f>'A) Base RI'!S202+'A) Base RI'!T202</f>
        <v>62.6</v>
      </c>
      <c r="AB202" s="18">
        <f>'A) Base RI'!U202</f>
        <v>6275</v>
      </c>
      <c r="AC202" s="18">
        <f>'A) Base RI'!V202</f>
        <v>0</v>
      </c>
      <c r="AD202" s="18">
        <f>'A) Base RI'!W202</f>
        <v>0</v>
      </c>
      <c r="AE202" s="18">
        <f>'A) Base RI'!Y202</f>
        <v>84326.95</v>
      </c>
      <c r="AF202" s="18">
        <f>'A) Base RI'!Z202</f>
        <v>0</v>
      </c>
      <c r="AG202" s="18">
        <f>'A) Base RI'!AA202</f>
        <v>191285.2</v>
      </c>
      <c r="AH202" s="18">
        <f>'A) Base RI'!AB202</f>
        <v>0</v>
      </c>
      <c r="AI202" s="18">
        <f>'A) Base RI'!AC202</f>
        <v>160670.1</v>
      </c>
      <c r="AJ202" s="18">
        <f>'A) Base RI'!AD202</f>
        <v>187393.2</v>
      </c>
      <c r="AK202" s="18">
        <f>'A) Base RI'!AE202</f>
        <v>0</v>
      </c>
      <c r="AL202" s="18">
        <f>'A) Base RI'!AF202</f>
        <v>0</v>
      </c>
      <c r="AM202" s="18">
        <f>'A) Base RI'!AG202</f>
        <v>26844.5</v>
      </c>
      <c r="AN202" s="18">
        <f>'A) Base RI'!AH202</f>
        <v>0</v>
      </c>
      <c r="AO202" s="18">
        <f>'A) Base RI'!AI202</f>
        <v>0</v>
      </c>
      <c r="AP202" s="18">
        <f>'A) Base RI'!AJ202</f>
        <v>0</v>
      </c>
      <c r="AQ202" s="18">
        <f>'A) Base RI'!AK202</f>
        <v>0</v>
      </c>
      <c r="AR202" s="18">
        <f>'A) Base RI'!AN202</f>
        <v>1875</v>
      </c>
    </row>
    <row r="203" spans="1:44" x14ac:dyDescent="0.25">
      <c r="A203" s="13">
        <f>'A) Base RI'!A203</f>
        <v>5719</v>
      </c>
      <c r="B203" s="62" t="str">
        <f>'A) Base RI'!B203</f>
        <v>Gingins</v>
      </c>
      <c r="C203" s="18">
        <f>'A) Base RI'!C203+'A) Base RI'!D203</f>
        <v>4192600.8600000003</v>
      </c>
      <c r="D203" s="18">
        <f>'A) Base RI'!AO203</f>
        <v>-34984</v>
      </c>
      <c r="E203" s="61">
        <f>'A) Base RI'!AP203</f>
        <v>0</v>
      </c>
      <c r="F203" s="61">
        <f>'A) Base RI'!AQ203</f>
        <v>-1423.8</v>
      </c>
      <c r="G203" s="4">
        <f t="shared" si="18"/>
        <v>4156193.0600000005</v>
      </c>
      <c r="H203" s="18">
        <f>'A) Base RI'!E203</f>
        <v>0</v>
      </c>
      <c r="I203" s="18">
        <f>'A) Base RI'!F203</f>
        <v>0</v>
      </c>
      <c r="J203" s="18">
        <f>'A) Base RI'!G203+'A) Base RI'!H203</f>
        <v>73297.8</v>
      </c>
      <c r="K203" s="18">
        <f>'A) Base RI'!I203</f>
        <v>236256.95</v>
      </c>
      <c r="L203" s="18">
        <f>'A) Base RI'!J203</f>
        <v>81432.320000000007</v>
      </c>
      <c r="M203" s="18">
        <f>'A) Base RI'!K203</f>
        <v>8527.5</v>
      </c>
      <c r="N203" s="18">
        <f>'A) Base RI'!Q203</f>
        <v>7210.51</v>
      </c>
      <c r="O203" s="18">
        <f t="shared" si="19"/>
        <v>337943.16666666669</v>
      </c>
      <c r="P203" s="18">
        <f>'A) Base RI'!L203</f>
        <v>202765.9</v>
      </c>
      <c r="Q203" s="64">
        <f>'A) Base RI'!AR203</f>
        <v>0.6</v>
      </c>
      <c r="R203" s="4">
        <f t="shared" si="20"/>
        <v>4900861.3066666676</v>
      </c>
      <c r="S203" s="63">
        <f>'A) Base RI'!AM203</f>
        <v>51</v>
      </c>
      <c r="T203" s="4">
        <f t="shared" si="21"/>
        <v>4554390.6400000006</v>
      </c>
      <c r="U203" s="4">
        <f t="shared" si="22"/>
        <v>96095.319738562102</v>
      </c>
      <c r="V203" s="18">
        <f>'A) Base RI'!O203</f>
        <v>14942.5</v>
      </c>
      <c r="W203" s="18">
        <f>'A) Base RI'!P203</f>
        <v>218760.25</v>
      </c>
      <c r="X203" s="18">
        <f>'A) Base RI'!R203</f>
        <v>177526.25</v>
      </c>
      <c r="Y203" s="4">
        <f t="shared" si="23"/>
        <v>411229</v>
      </c>
      <c r="Z203" s="18">
        <f>'A) Base RI'!N203</f>
        <v>91397.2</v>
      </c>
      <c r="AA203" s="18">
        <f>'A) Base RI'!S203+'A) Base RI'!T203</f>
        <v>31.3</v>
      </c>
      <c r="AB203" s="18">
        <f>'A) Base RI'!U203</f>
        <v>12900</v>
      </c>
      <c r="AC203" s="18">
        <f>'A) Base RI'!V203</f>
        <v>0</v>
      </c>
      <c r="AD203" s="18">
        <f>'A) Base RI'!W203</f>
        <v>0</v>
      </c>
      <c r="AE203" s="18">
        <f>'A) Base RI'!Y203</f>
        <v>54495</v>
      </c>
      <c r="AF203" s="18">
        <f>'A) Base RI'!Z203</f>
        <v>0</v>
      </c>
      <c r="AG203" s="18">
        <f>'A) Base RI'!AA203</f>
        <v>35392</v>
      </c>
      <c r="AH203" s="18">
        <f>'A) Base RI'!AB203</f>
        <v>0</v>
      </c>
      <c r="AI203" s="18">
        <f>'A) Base RI'!AC203</f>
        <v>128577</v>
      </c>
      <c r="AJ203" s="18">
        <f>'A) Base RI'!AD203</f>
        <v>67394</v>
      </c>
      <c r="AK203" s="18">
        <f>'A) Base RI'!AE203</f>
        <v>0</v>
      </c>
      <c r="AL203" s="18">
        <f>'A) Base RI'!AF203</f>
        <v>0</v>
      </c>
      <c r="AM203" s="18">
        <f>'A) Base RI'!AG203</f>
        <v>3272</v>
      </c>
      <c r="AN203" s="18">
        <f>'A) Base RI'!AH203</f>
        <v>0</v>
      </c>
      <c r="AO203" s="18">
        <f>'A) Base RI'!AI203</f>
        <v>0</v>
      </c>
      <c r="AP203" s="18">
        <f>'A) Base RI'!AJ203</f>
        <v>0</v>
      </c>
      <c r="AQ203" s="18">
        <f>'A) Base RI'!AK203</f>
        <v>0</v>
      </c>
      <c r="AR203" s="18">
        <f>'A) Base RI'!AN203</f>
        <v>1217</v>
      </c>
    </row>
    <row r="204" spans="1:44" x14ac:dyDescent="0.25">
      <c r="A204" s="13">
        <f>'A) Base RI'!A204</f>
        <v>5720</v>
      </c>
      <c r="B204" s="62" t="str">
        <f>'A) Base RI'!B204</f>
        <v>Givrins</v>
      </c>
      <c r="C204" s="18">
        <f>'A) Base RI'!C204+'A) Base RI'!D204</f>
        <v>3785736.11</v>
      </c>
      <c r="D204" s="18">
        <f>'A) Base RI'!AO204</f>
        <v>0</v>
      </c>
      <c r="E204" s="61">
        <f>'A) Base RI'!AP204</f>
        <v>0</v>
      </c>
      <c r="F204" s="61">
        <f>'A) Base RI'!AQ204</f>
        <v>0</v>
      </c>
      <c r="G204" s="4">
        <f t="shared" si="18"/>
        <v>3785736.11</v>
      </c>
      <c r="H204" s="18">
        <f>'A) Base RI'!E204</f>
        <v>0</v>
      </c>
      <c r="I204" s="18">
        <f>'A) Base RI'!F204</f>
        <v>0</v>
      </c>
      <c r="J204" s="18">
        <f>'A) Base RI'!G204+'A) Base RI'!H204</f>
        <v>175923.3</v>
      </c>
      <c r="K204" s="18">
        <f>'A) Base RI'!I204</f>
        <v>195702.9</v>
      </c>
      <c r="L204" s="18">
        <f>'A) Base RI'!J204</f>
        <v>153308.73000000001</v>
      </c>
      <c r="M204" s="18">
        <f>'A) Base RI'!K204</f>
        <v>0</v>
      </c>
      <c r="N204" s="18">
        <f>'A) Base RI'!Q204</f>
        <v>5665.26</v>
      </c>
      <c r="O204" s="18">
        <f t="shared" si="19"/>
        <v>251053.55555555556</v>
      </c>
      <c r="P204" s="18">
        <f>'A) Base RI'!L204</f>
        <v>225948.2</v>
      </c>
      <c r="Q204" s="64">
        <f>'A) Base RI'!AR204</f>
        <v>0.9</v>
      </c>
      <c r="R204" s="4">
        <f t="shared" si="20"/>
        <v>4567389.8555555558</v>
      </c>
      <c r="S204" s="63">
        <f>'A) Base RI'!AM204</f>
        <v>61</v>
      </c>
      <c r="T204" s="4">
        <f t="shared" si="21"/>
        <v>4316336.3</v>
      </c>
      <c r="U204" s="4">
        <f t="shared" si="22"/>
        <v>74875.243533697634</v>
      </c>
      <c r="V204" s="18">
        <v>0</v>
      </c>
      <c r="W204" s="18">
        <f>'A) Base RI'!P204</f>
        <v>172418.15</v>
      </c>
      <c r="X204" s="18">
        <f>'A) Base RI'!R204</f>
        <v>141095</v>
      </c>
      <c r="Y204" s="4">
        <f t="shared" si="23"/>
        <v>313513.15000000002</v>
      </c>
      <c r="Z204" s="18">
        <f>'A) Base RI'!N204</f>
        <v>23964.05</v>
      </c>
      <c r="AA204" s="18">
        <f>'A) Base RI'!S204+'A) Base RI'!T204</f>
        <v>0</v>
      </c>
      <c r="AB204" s="18">
        <f>'A) Base RI'!U204</f>
        <v>4400</v>
      </c>
      <c r="AC204" s="18">
        <f>'A) Base RI'!V204</f>
        <v>0</v>
      </c>
      <c r="AD204" s="18">
        <f>'A) Base RI'!W204</f>
        <v>0</v>
      </c>
      <c r="AE204" s="18">
        <f>'A) Base RI'!Y204</f>
        <v>85564.4</v>
      </c>
      <c r="AF204" s="18">
        <f>'A) Base RI'!Z204</f>
        <v>0</v>
      </c>
      <c r="AG204" s="18">
        <f>'A) Base RI'!AA204</f>
        <v>124559.7</v>
      </c>
      <c r="AH204" s="18">
        <f>'A) Base RI'!AB204</f>
        <v>0</v>
      </c>
      <c r="AI204" s="18">
        <f>'A) Base RI'!AC204</f>
        <v>49346.9</v>
      </c>
      <c r="AJ204" s="18">
        <f>'A) Base RI'!AD204</f>
        <v>85090.55</v>
      </c>
      <c r="AK204" s="18">
        <f>'A) Base RI'!AE204</f>
        <v>0</v>
      </c>
      <c r="AL204" s="18">
        <f>'A) Base RI'!AF204</f>
        <v>0</v>
      </c>
      <c r="AM204" s="18">
        <f>'A) Base RI'!AG204</f>
        <v>0</v>
      </c>
      <c r="AN204" s="18">
        <f>'A) Base RI'!AH204</f>
        <v>0</v>
      </c>
      <c r="AO204" s="18">
        <f>'A) Base RI'!AI204</f>
        <v>0</v>
      </c>
      <c r="AP204" s="18">
        <f>'A) Base RI'!AJ204</f>
        <v>0</v>
      </c>
      <c r="AQ204" s="18">
        <f>'A) Base RI'!AK204</f>
        <v>0</v>
      </c>
      <c r="AR204" s="18">
        <f>'A) Base RI'!AN204</f>
        <v>948</v>
      </c>
    </row>
    <row r="205" spans="1:44" x14ac:dyDescent="0.25">
      <c r="A205" s="13">
        <f>'A) Base RI'!A205</f>
        <v>5721</v>
      </c>
      <c r="B205" s="62" t="str">
        <f>'A) Base RI'!B205</f>
        <v>Gland</v>
      </c>
      <c r="C205" s="18">
        <f>'A) Base RI'!C205+'A) Base RI'!D205</f>
        <v>25780181.550000001</v>
      </c>
      <c r="D205" s="18">
        <f>'A) Base RI'!AO205</f>
        <v>-417175.82</v>
      </c>
      <c r="E205" s="61">
        <f>'A) Base RI'!AP205</f>
        <v>0</v>
      </c>
      <c r="F205" s="61">
        <f>'A) Base RI'!AQ205</f>
        <v>-5422.32</v>
      </c>
      <c r="G205" s="4">
        <f t="shared" si="18"/>
        <v>25357583.41</v>
      </c>
      <c r="H205" s="18">
        <f>'A) Base RI'!E205</f>
        <v>0</v>
      </c>
      <c r="I205" s="18">
        <f>'A) Base RI'!F205</f>
        <v>0</v>
      </c>
      <c r="J205" s="18">
        <f>'A) Base RI'!G205+'A) Base RI'!H205</f>
        <v>3168457.9</v>
      </c>
      <c r="K205" s="18">
        <f>'A) Base RI'!I205</f>
        <v>1378097.35</v>
      </c>
      <c r="L205" s="18">
        <f>'A) Base RI'!J205</f>
        <v>1444292.68</v>
      </c>
      <c r="M205" s="18">
        <f>'A) Base RI'!K205</f>
        <v>188735</v>
      </c>
      <c r="N205" s="18">
        <f>'A) Base RI'!Q205</f>
        <v>256128.12</v>
      </c>
      <c r="O205" s="18">
        <f t="shared" si="19"/>
        <v>2280492.65</v>
      </c>
      <c r="P205" s="18">
        <f>'A) Base RI'!L205</f>
        <v>2280492.65</v>
      </c>
      <c r="Q205" s="64">
        <f>'A) Base RI'!AR205</f>
        <v>1</v>
      </c>
      <c r="R205" s="4">
        <f t="shared" si="20"/>
        <v>34073787.109999999</v>
      </c>
      <c r="S205" s="63">
        <f>'A) Base RI'!AM205</f>
        <v>62.5</v>
      </c>
      <c r="T205" s="4">
        <f t="shared" si="21"/>
        <v>31604559.460000001</v>
      </c>
      <c r="U205" s="4">
        <f t="shared" si="22"/>
        <v>545180.59375999996</v>
      </c>
      <c r="V205" s="18">
        <f>'A) Base RI'!O205</f>
        <v>372064.1</v>
      </c>
      <c r="W205" s="18">
        <f>'A) Base RI'!P205</f>
        <v>1347316.35</v>
      </c>
      <c r="X205" s="18">
        <f>'A) Base RI'!R205</f>
        <v>927904.25</v>
      </c>
      <c r="Y205" s="4">
        <f t="shared" si="23"/>
        <v>2647284.7000000002</v>
      </c>
      <c r="Z205" s="18">
        <f>'A) Base RI'!N205</f>
        <v>1634077.65</v>
      </c>
      <c r="AA205" s="18">
        <f>'A) Base RI'!S205+'A) Base RI'!T205</f>
        <v>2025</v>
      </c>
      <c r="AB205" s="18">
        <f>'A) Base RI'!U205</f>
        <v>49550</v>
      </c>
      <c r="AC205" s="18">
        <f>'A) Base RI'!V205</f>
        <v>0</v>
      </c>
      <c r="AD205" s="18">
        <f>'A) Base RI'!W205</f>
        <v>0</v>
      </c>
      <c r="AE205" s="18">
        <f>'A) Base RI'!Y205</f>
        <v>613710.75</v>
      </c>
      <c r="AF205" s="18">
        <f>'A) Base RI'!Z205</f>
        <v>0</v>
      </c>
      <c r="AG205" s="18">
        <f>'A) Base RI'!AA205</f>
        <v>880761</v>
      </c>
      <c r="AH205" s="18">
        <f>'A) Base RI'!AB205</f>
        <v>0</v>
      </c>
      <c r="AI205" s="18">
        <f>'A) Base RI'!AC205</f>
        <v>1369735.65</v>
      </c>
      <c r="AJ205" s="18">
        <f>'A) Base RI'!AD205</f>
        <v>245484.3</v>
      </c>
      <c r="AK205" s="18">
        <f>'A) Base RI'!AE205</f>
        <v>0</v>
      </c>
      <c r="AL205" s="18">
        <f>'A) Base RI'!AF205</f>
        <v>0</v>
      </c>
      <c r="AM205" s="18">
        <f>'A) Base RI'!AG205</f>
        <v>37312</v>
      </c>
      <c r="AN205" s="18">
        <f>'A) Base RI'!AH205</f>
        <v>344582.69</v>
      </c>
      <c r="AO205" s="18">
        <f>'A) Base RI'!AI205</f>
        <v>196869.26</v>
      </c>
      <c r="AP205" s="18">
        <f>'A) Base RI'!AJ205</f>
        <v>344533.19</v>
      </c>
      <c r="AQ205" s="18">
        <f>'A) Base RI'!AK205</f>
        <v>246139.12</v>
      </c>
      <c r="AR205" s="18">
        <f>'A) Base RI'!AN205</f>
        <v>12482</v>
      </c>
    </row>
    <row r="206" spans="1:44" x14ac:dyDescent="0.25">
      <c r="A206" s="13">
        <f>'A) Base RI'!A206</f>
        <v>5722</v>
      </c>
      <c r="B206" s="62" t="str">
        <f>'A) Base RI'!B206</f>
        <v>Grens</v>
      </c>
      <c r="C206" s="18">
        <f>'A) Base RI'!C206+'A) Base RI'!D206</f>
        <v>930464.39999999991</v>
      </c>
      <c r="D206" s="18">
        <f>'A) Base RI'!AO206</f>
        <v>-6571.62</v>
      </c>
      <c r="E206" s="61">
        <f>'A) Base RI'!AP206</f>
        <v>0</v>
      </c>
      <c r="F206" s="61">
        <f>'A) Base RI'!AQ206</f>
        <v>-574.79</v>
      </c>
      <c r="G206" s="4">
        <f t="shared" si="18"/>
        <v>923317.98999999987</v>
      </c>
      <c r="H206" s="18">
        <f>'A) Base RI'!E206</f>
        <v>0</v>
      </c>
      <c r="I206" s="18">
        <f>'A) Base RI'!F206</f>
        <v>0</v>
      </c>
      <c r="J206" s="18">
        <f>'A) Base RI'!G206+'A) Base RI'!H206</f>
        <v>29583.5</v>
      </c>
      <c r="K206" s="18">
        <f>'A) Base RI'!I206</f>
        <v>0</v>
      </c>
      <c r="L206" s="18">
        <f>'A) Base RI'!J206</f>
        <v>-3336.84</v>
      </c>
      <c r="M206" s="18">
        <f>'A) Base RI'!K206</f>
        <v>980</v>
      </c>
      <c r="N206" s="18">
        <f>'A) Base RI'!Q206</f>
        <v>6491.87</v>
      </c>
      <c r="O206" s="18">
        <f t="shared" si="19"/>
        <v>67426.399999999994</v>
      </c>
      <c r="P206" s="18">
        <f>'A) Base RI'!L206</f>
        <v>67426.399999999994</v>
      </c>
      <c r="Q206" s="64">
        <f>'A) Base RI'!AR206</f>
        <v>1</v>
      </c>
      <c r="R206" s="4">
        <f t="shared" si="20"/>
        <v>1024462.9199999999</v>
      </c>
      <c r="S206" s="63">
        <f>'A) Base RI'!AM206</f>
        <v>57</v>
      </c>
      <c r="T206" s="4">
        <f t="shared" si="21"/>
        <v>956056.5199999999</v>
      </c>
      <c r="U206" s="4">
        <f t="shared" si="22"/>
        <v>17973.033684210524</v>
      </c>
      <c r="V206" s="18">
        <f>'A) Base RI'!O206</f>
        <v>11707.6</v>
      </c>
      <c r="W206" s="18">
        <f>'A) Base RI'!P206</f>
        <v>26805.4</v>
      </c>
      <c r="X206" s="18">
        <f>'A) Base RI'!R206</f>
        <v>8033.85</v>
      </c>
      <c r="Y206" s="4">
        <f t="shared" si="23"/>
        <v>46546.85</v>
      </c>
      <c r="Z206" s="18">
        <f>'A) Base RI'!N206</f>
        <v>10774.3</v>
      </c>
      <c r="AA206" s="18">
        <f>'A) Base RI'!S206+'A) Base RI'!T206</f>
        <v>496.95</v>
      </c>
      <c r="AB206" s="18">
        <f>'A) Base RI'!U206</f>
        <v>1200</v>
      </c>
      <c r="AC206" s="18">
        <f>'A) Base RI'!V206</f>
        <v>0</v>
      </c>
      <c r="AD206" s="18">
        <f>'A) Base RI'!W206</f>
        <v>0</v>
      </c>
      <c r="AE206" s="18">
        <f>'A) Base RI'!Y206</f>
        <v>0</v>
      </c>
      <c r="AF206" s="18">
        <f>'A) Base RI'!Z206</f>
        <v>2580.85</v>
      </c>
      <c r="AG206" s="18">
        <f>'A) Base RI'!AA206</f>
        <v>52613</v>
      </c>
      <c r="AH206" s="18">
        <f>'A) Base RI'!AB206</f>
        <v>0</v>
      </c>
      <c r="AI206" s="18">
        <f>'A) Base RI'!AC206</f>
        <v>25226.95</v>
      </c>
      <c r="AJ206" s="18">
        <f>'A) Base RI'!AD206</f>
        <v>0</v>
      </c>
      <c r="AK206" s="18">
        <f>'A) Base RI'!AE206</f>
        <v>0</v>
      </c>
      <c r="AL206" s="18">
        <f>'A) Base RI'!AF206</f>
        <v>0</v>
      </c>
      <c r="AM206" s="18">
        <f>'A) Base RI'!AG206</f>
        <v>1701.1</v>
      </c>
      <c r="AN206" s="18">
        <f>'A) Base RI'!AH206</f>
        <v>11795.1</v>
      </c>
      <c r="AO206" s="18">
        <f>'A) Base RI'!AI206</f>
        <v>0</v>
      </c>
      <c r="AP206" s="18">
        <f>'A) Base RI'!AJ206</f>
        <v>0</v>
      </c>
      <c r="AQ206" s="18">
        <f>'A) Base RI'!AK206</f>
        <v>0</v>
      </c>
      <c r="AR206" s="18">
        <f>'A) Base RI'!AN206</f>
        <v>366</v>
      </c>
    </row>
    <row r="207" spans="1:44" x14ac:dyDescent="0.25">
      <c r="A207" s="13">
        <f>'A) Base RI'!A207</f>
        <v>5723</v>
      </c>
      <c r="B207" s="62" t="str">
        <f>'A) Base RI'!B207</f>
        <v>Mies</v>
      </c>
      <c r="C207" s="18">
        <f>'A) Base RI'!C207+'A) Base RI'!D207</f>
        <v>8344718.5</v>
      </c>
      <c r="D207" s="18">
        <f>'A) Base RI'!AO207</f>
        <v>-14144.48</v>
      </c>
      <c r="E207" s="61">
        <f>'A) Base RI'!AP207</f>
        <v>0</v>
      </c>
      <c r="F207" s="61">
        <f>'A) Base RI'!AQ207</f>
        <v>-6159.42</v>
      </c>
      <c r="G207" s="4">
        <f t="shared" si="18"/>
        <v>8324414.5999999996</v>
      </c>
      <c r="H207" s="18">
        <f>'A) Base RI'!E207</f>
        <v>0</v>
      </c>
      <c r="I207" s="18">
        <f>'A) Base RI'!F207</f>
        <v>0</v>
      </c>
      <c r="J207" s="18">
        <f>'A) Base RI'!G207+'A) Base RI'!H207</f>
        <v>137710.04999999999</v>
      </c>
      <c r="K207" s="18">
        <f>'A) Base RI'!I207</f>
        <v>727627.32</v>
      </c>
      <c r="L207" s="18">
        <f>'A) Base RI'!J207</f>
        <v>243442.94</v>
      </c>
      <c r="M207" s="18">
        <f>'A) Base RI'!K207</f>
        <v>18517.5</v>
      </c>
      <c r="N207" s="18">
        <f>'A) Base RI'!Q207</f>
        <v>2376.11</v>
      </c>
      <c r="O207" s="18">
        <f t="shared" si="19"/>
        <v>669478.65</v>
      </c>
      <c r="P207" s="18">
        <f>'A) Base RI'!L207</f>
        <v>669478.65</v>
      </c>
      <c r="Q207" s="64">
        <f>'A) Base RI'!AR207</f>
        <v>1</v>
      </c>
      <c r="R207" s="4">
        <f t="shared" si="20"/>
        <v>10123567.17</v>
      </c>
      <c r="S207" s="63">
        <f>'A) Base RI'!AM207</f>
        <v>52</v>
      </c>
      <c r="T207" s="4">
        <f t="shared" si="21"/>
        <v>9435571.0199999996</v>
      </c>
      <c r="U207" s="4">
        <f t="shared" si="22"/>
        <v>194683.98403846152</v>
      </c>
      <c r="V207" s="18">
        <f>'A) Base RI'!O207</f>
        <v>495141.7</v>
      </c>
      <c r="W207" s="18">
        <f>'A) Base RI'!P207</f>
        <v>1677329.15</v>
      </c>
      <c r="X207" s="18">
        <f>'A) Base RI'!R207</f>
        <v>3801813.9</v>
      </c>
      <c r="Y207" s="4">
        <f t="shared" si="23"/>
        <v>5974284.75</v>
      </c>
      <c r="Z207" s="18">
        <f>'A) Base RI'!N207</f>
        <v>168885.8</v>
      </c>
      <c r="AA207" s="18">
        <f>'A) Base RI'!S207+'A) Base RI'!T207</f>
        <v>0</v>
      </c>
      <c r="AB207" s="18">
        <f>'A) Base RI'!U207</f>
        <v>6627.5</v>
      </c>
      <c r="AC207" s="18">
        <f>'A) Base RI'!V207</f>
        <v>0</v>
      </c>
      <c r="AD207" s="18">
        <f>'A) Base RI'!W207</f>
        <v>0</v>
      </c>
      <c r="AE207" s="18">
        <f>'A) Base RI'!Y207</f>
        <v>85930.55</v>
      </c>
      <c r="AF207" s="18">
        <f>'A) Base RI'!Z207</f>
        <v>0</v>
      </c>
      <c r="AG207" s="18">
        <f>'A) Base RI'!AA207</f>
        <v>117543.65</v>
      </c>
      <c r="AH207" s="18">
        <f>'A) Base RI'!AB207</f>
        <v>0</v>
      </c>
      <c r="AI207" s="18">
        <f>'A) Base RI'!AC207</f>
        <v>194746.15</v>
      </c>
      <c r="AJ207" s="18">
        <f>'A) Base RI'!AD207</f>
        <v>0</v>
      </c>
      <c r="AK207" s="18">
        <f>'A) Base RI'!AE207</f>
        <v>0</v>
      </c>
      <c r="AL207" s="18">
        <f>'A) Base RI'!AF207</f>
        <v>0</v>
      </c>
      <c r="AM207" s="18">
        <f>'A) Base RI'!AG207</f>
        <v>11640</v>
      </c>
      <c r="AN207" s="18">
        <f>'A) Base RI'!AH207</f>
        <v>87151.45</v>
      </c>
      <c r="AO207" s="18">
        <f>'A) Base RI'!AI207</f>
        <v>0</v>
      </c>
      <c r="AP207" s="18">
        <f>'A) Base RI'!AJ207</f>
        <v>0</v>
      </c>
      <c r="AQ207" s="18">
        <f>'A) Base RI'!AK207</f>
        <v>0</v>
      </c>
      <c r="AR207" s="18">
        <f>'A) Base RI'!AN207</f>
        <v>1775</v>
      </c>
    </row>
    <row r="208" spans="1:44" x14ac:dyDescent="0.25">
      <c r="A208" s="13">
        <f>'A) Base RI'!A208</f>
        <v>5724</v>
      </c>
      <c r="B208" s="62" t="str">
        <f>'A) Base RI'!B208</f>
        <v>Nyon</v>
      </c>
      <c r="C208" s="18">
        <f>'A) Base RI'!C208+'A) Base RI'!D208</f>
        <v>54926978.539999999</v>
      </c>
      <c r="D208" s="18">
        <f>'A) Base RI'!AO208</f>
        <v>-492268.26</v>
      </c>
      <c r="E208" s="61">
        <f>'A) Base RI'!AP208</f>
        <v>0</v>
      </c>
      <c r="F208" s="61">
        <f>'A) Base RI'!AQ208</f>
        <v>-16201.56</v>
      </c>
      <c r="G208" s="4">
        <f t="shared" si="18"/>
        <v>54418508.719999999</v>
      </c>
      <c r="H208" s="18">
        <f>'A) Base RI'!E208</f>
        <v>0</v>
      </c>
      <c r="I208" s="18">
        <f>'A) Base RI'!F208</f>
        <v>0</v>
      </c>
      <c r="J208" s="18">
        <f>'A) Base RI'!G208+'A) Base RI'!H208</f>
        <v>13709970.949999999</v>
      </c>
      <c r="K208" s="18">
        <f>'A) Base RI'!I208</f>
        <v>1395470.69</v>
      </c>
      <c r="L208" s="18">
        <f>'A) Base RI'!J208</f>
        <v>3411649.71</v>
      </c>
      <c r="M208" s="18">
        <f>'A) Base RI'!K208</f>
        <v>658910</v>
      </c>
      <c r="N208" s="18">
        <f>'A) Base RI'!Q208</f>
        <v>135623.6</v>
      </c>
      <c r="O208" s="18">
        <f t="shared" si="19"/>
        <v>4230819.961538462</v>
      </c>
      <c r="P208" s="18">
        <f>'A) Base RI'!L208</f>
        <v>5500065.9500000002</v>
      </c>
      <c r="Q208" s="64">
        <f>'A) Base RI'!AR208</f>
        <v>1.3</v>
      </c>
      <c r="R208" s="4">
        <f t="shared" si="20"/>
        <v>77960953.631538451</v>
      </c>
      <c r="S208" s="63">
        <f>'A) Base RI'!AM208</f>
        <v>61</v>
      </c>
      <c r="T208" s="4">
        <f t="shared" si="21"/>
        <v>73071223.669999987</v>
      </c>
      <c r="U208" s="4">
        <f t="shared" si="22"/>
        <v>1278048.420189155</v>
      </c>
      <c r="V208" s="18">
        <f>'A) Base RI'!O208</f>
        <v>936861.4</v>
      </c>
      <c r="W208" s="18">
        <f>'A) Base RI'!P208</f>
        <v>2362468.25</v>
      </c>
      <c r="X208" s="18">
        <f>'A) Base RI'!R208</f>
        <v>2143651.85</v>
      </c>
      <c r="Y208" s="4">
        <f t="shared" si="23"/>
        <v>5442981.5</v>
      </c>
      <c r="Z208" s="18">
        <f>'A) Base RI'!N208</f>
        <v>3818619.2</v>
      </c>
      <c r="AA208" s="18">
        <f>'A) Base RI'!S208+'A) Base RI'!T208</f>
        <v>4500</v>
      </c>
      <c r="AB208" s="18">
        <f>'A) Base RI'!U208</f>
        <v>36147.5</v>
      </c>
      <c r="AC208" s="18">
        <f>'A) Base RI'!V208</f>
        <v>0</v>
      </c>
      <c r="AD208" s="18">
        <f>'A) Base RI'!W208</f>
        <v>0</v>
      </c>
      <c r="AE208" s="18">
        <f>'A) Base RI'!Y208</f>
        <v>657258.30000000005</v>
      </c>
      <c r="AF208" s="18">
        <f>'A) Base RI'!Z208</f>
        <v>0</v>
      </c>
      <c r="AG208" s="18">
        <f>'A) Base RI'!AA208</f>
        <v>3444822.57</v>
      </c>
      <c r="AH208" s="18">
        <f>'A) Base RI'!AB208</f>
        <v>0</v>
      </c>
      <c r="AI208" s="18">
        <f>'A) Base RI'!AC208</f>
        <v>2898161.05</v>
      </c>
      <c r="AJ208" s="18">
        <f>'A) Base RI'!AD208</f>
        <v>748376</v>
      </c>
      <c r="AK208" s="18">
        <f>'A) Base RI'!AE208</f>
        <v>0</v>
      </c>
      <c r="AL208" s="18">
        <f>'A) Base RI'!AF208</f>
        <v>0</v>
      </c>
      <c r="AM208" s="18">
        <f>'A) Base RI'!AG208</f>
        <v>128862</v>
      </c>
      <c r="AN208" s="18">
        <f>'A) Base RI'!AH208</f>
        <v>686325.07</v>
      </c>
      <c r="AO208" s="18">
        <f>'A) Base RI'!AI208</f>
        <v>784350.04</v>
      </c>
      <c r="AP208" s="18">
        <f>'A) Base RI'!AJ208</f>
        <v>465432.88</v>
      </c>
      <c r="AQ208" s="18">
        <f>'A) Base RI'!AK208</f>
        <v>98055.94</v>
      </c>
      <c r="AR208" s="18">
        <f>'A) Base RI'!AN208</f>
        <v>19632</v>
      </c>
    </row>
    <row r="209" spans="1:44" x14ac:dyDescent="0.25">
      <c r="A209" s="13">
        <f>'A) Base RI'!A209</f>
        <v>5725</v>
      </c>
      <c r="B209" s="62" t="str">
        <f>'A) Base RI'!B209</f>
        <v>Prangins</v>
      </c>
      <c r="C209" s="18">
        <f>'A) Base RI'!C209+'A) Base RI'!D209</f>
        <v>15670429.780000001</v>
      </c>
      <c r="D209" s="18">
        <f>'A) Base RI'!AO209</f>
        <v>-49390.11</v>
      </c>
      <c r="E209" s="61">
        <f>'A) Base RI'!AP209</f>
        <v>0</v>
      </c>
      <c r="F209" s="61">
        <f>'A) Base RI'!AQ209</f>
        <v>-74752.08</v>
      </c>
      <c r="G209" s="4">
        <f t="shared" si="18"/>
        <v>15546287.590000002</v>
      </c>
      <c r="H209" s="18">
        <f>'A) Base RI'!E209</f>
        <v>0</v>
      </c>
      <c r="I209" s="18">
        <f>'A) Base RI'!F209</f>
        <v>0</v>
      </c>
      <c r="J209" s="18">
        <f>'A) Base RI'!G209+'A) Base RI'!H209</f>
        <v>1086531.25</v>
      </c>
      <c r="K209" s="18">
        <f>'A) Base RI'!I209</f>
        <v>632682.94999999995</v>
      </c>
      <c r="L209" s="18">
        <f>'A) Base RI'!J209</f>
        <v>194535.11</v>
      </c>
      <c r="M209" s="18">
        <f>'A) Base RI'!K209</f>
        <v>41053.5</v>
      </c>
      <c r="N209" s="18">
        <f>'A) Base RI'!Q209</f>
        <v>9689.25</v>
      </c>
      <c r="O209" s="18">
        <f t="shared" si="19"/>
        <v>1020104.2142857143</v>
      </c>
      <c r="P209" s="18">
        <f>'A) Base RI'!L209</f>
        <v>1428145.9</v>
      </c>
      <c r="Q209" s="64">
        <f>'A) Base RI'!AR209</f>
        <v>1.4</v>
      </c>
      <c r="R209" s="4">
        <f t="shared" si="20"/>
        <v>18530883.864285715</v>
      </c>
      <c r="S209" s="63">
        <f>'A) Base RI'!AM209</f>
        <v>56</v>
      </c>
      <c r="T209" s="4">
        <f t="shared" si="21"/>
        <v>17469726.150000002</v>
      </c>
      <c r="U209" s="4">
        <f t="shared" si="22"/>
        <v>330908.64043367346</v>
      </c>
      <c r="V209" s="18">
        <f>'A) Base RI'!O209</f>
        <v>-717.5</v>
      </c>
      <c r="W209" s="18">
        <f>'A) Base RI'!P209</f>
        <v>1234329.8999999999</v>
      </c>
      <c r="X209" s="18">
        <f>'A) Base RI'!R209</f>
        <v>1407598.65</v>
      </c>
      <c r="Y209" s="4">
        <f t="shared" si="23"/>
        <v>2641211.0499999998</v>
      </c>
      <c r="Z209" s="18">
        <f>'A) Base RI'!N209</f>
        <v>393665.75</v>
      </c>
      <c r="AA209" s="18">
        <f>'A) Base RI'!S209+'A) Base RI'!T209</f>
        <v>491.25</v>
      </c>
      <c r="AB209" s="18">
        <f>'A) Base RI'!U209</f>
        <v>15715</v>
      </c>
      <c r="AC209" s="18">
        <f>'A) Base RI'!V209</f>
        <v>0</v>
      </c>
      <c r="AD209" s="18">
        <f>'A) Base RI'!W209</f>
        <v>0</v>
      </c>
      <c r="AE209" s="18">
        <f>'A) Base RI'!Y209</f>
        <v>179395.19</v>
      </c>
      <c r="AF209" s="18">
        <f>'A) Base RI'!Z209</f>
        <v>0</v>
      </c>
      <c r="AG209" s="18">
        <f>'A) Base RI'!AA209</f>
        <v>308475.45</v>
      </c>
      <c r="AH209" s="18">
        <f>'A) Base RI'!AB209</f>
        <v>0</v>
      </c>
      <c r="AI209" s="18">
        <f>'A) Base RI'!AC209</f>
        <v>342344.83</v>
      </c>
      <c r="AJ209" s="18">
        <f>'A) Base RI'!AD209</f>
        <v>0</v>
      </c>
      <c r="AK209" s="18">
        <f>'A) Base RI'!AE209</f>
        <v>0</v>
      </c>
      <c r="AL209" s="18">
        <f>'A) Base RI'!AF209</f>
        <v>0</v>
      </c>
      <c r="AM209" s="18">
        <f>'A) Base RI'!AG209</f>
        <v>45236.6</v>
      </c>
      <c r="AN209" s="18">
        <f>'A) Base RI'!AH209</f>
        <v>0</v>
      </c>
      <c r="AO209" s="18">
        <f>'A) Base RI'!AI209</f>
        <v>0</v>
      </c>
      <c r="AP209" s="18">
        <f>'A) Base RI'!AJ209</f>
        <v>0</v>
      </c>
      <c r="AQ209" s="18">
        <f>'A) Base RI'!AK209</f>
        <v>0</v>
      </c>
      <c r="AR209" s="18">
        <f>'A) Base RI'!AN209</f>
        <v>3930</v>
      </c>
    </row>
    <row r="210" spans="1:44" x14ac:dyDescent="0.25">
      <c r="A210" s="13">
        <f>'A) Base RI'!A210</f>
        <v>5726</v>
      </c>
      <c r="B210" s="62" t="str">
        <f>'A) Base RI'!B210</f>
        <v>La Rippe</v>
      </c>
      <c r="C210" s="18">
        <f>'A) Base RI'!C210+'A) Base RI'!D210</f>
        <v>3047828.55</v>
      </c>
      <c r="D210" s="18">
        <f>'A) Base RI'!AO210</f>
        <v>-9562.64</v>
      </c>
      <c r="E210" s="61">
        <f>'A) Base RI'!AP210</f>
        <v>0</v>
      </c>
      <c r="F210" s="61">
        <f>'A) Base RI'!AQ210</f>
        <v>-3835.24</v>
      </c>
      <c r="G210" s="4">
        <f t="shared" si="18"/>
        <v>3034430.6699999995</v>
      </c>
      <c r="H210" s="18">
        <f>'A) Base RI'!E210</f>
        <v>0</v>
      </c>
      <c r="I210" s="18">
        <f>'A) Base RI'!F210</f>
        <v>0</v>
      </c>
      <c r="J210" s="18">
        <f>'A) Base RI'!G210+'A) Base RI'!H210</f>
        <v>30228.6</v>
      </c>
      <c r="K210" s="18">
        <f>'A) Base RI'!I210</f>
        <v>32023.55</v>
      </c>
      <c r="L210" s="18">
        <f>'A) Base RI'!J210</f>
        <v>85245.61</v>
      </c>
      <c r="M210" s="18">
        <f>'A) Base RI'!K210</f>
        <v>5974</v>
      </c>
      <c r="N210" s="18">
        <f>'A) Base RI'!Q210</f>
        <v>-1275.55</v>
      </c>
      <c r="O210" s="18">
        <f t="shared" si="19"/>
        <v>219859.1</v>
      </c>
      <c r="P210" s="18">
        <f>'A) Base RI'!L210</f>
        <v>219859.1</v>
      </c>
      <c r="Q210" s="64">
        <f>'A) Base RI'!AR210</f>
        <v>1</v>
      </c>
      <c r="R210" s="4">
        <f t="shared" si="20"/>
        <v>3406485.9799999995</v>
      </c>
      <c r="S210" s="63">
        <f>'A) Base RI'!AM210</f>
        <v>65</v>
      </c>
      <c r="T210" s="4">
        <f t="shared" si="21"/>
        <v>3180652.8799999994</v>
      </c>
      <c r="U210" s="4">
        <f t="shared" si="22"/>
        <v>52407.476615384607</v>
      </c>
      <c r="V210" s="18">
        <f>'A) Base RI'!O210</f>
        <v>3157.5</v>
      </c>
      <c r="W210" s="18">
        <f>'A) Base RI'!P210</f>
        <v>109764.5</v>
      </c>
      <c r="X210" s="18">
        <f>'A) Base RI'!R210</f>
        <v>115196.5</v>
      </c>
      <c r="Y210" s="4">
        <f t="shared" si="23"/>
        <v>228118.5</v>
      </c>
      <c r="Z210" s="18">
        <f>'A) Base RI'!N210</f>
        <v>17871.650000000001</v>
      </c>
      <c r="AA210" s="18">
        <f>'A) Base RI'!S210+'A) Base RI'!T210</f>
        <v>0</v>
      </c>
      <c r="AB210" s="18">
        <f>'A) Base RI'!U210</f>
        <v>7950</v>
      </c>
      <c r="AC210" s="18">
        <f>'A) Base RI'!V210</f>
        <v>0</v>
      </c>
      <c r="AD210" s="18">
        <f>'A) Base RI'!W210</f>
        <v>0</v>
      </c>
      <c r="AE210" s="18">
        <f>'A) Base RI'!Y210</f>
        <v>798.4</v>
      </c>
      <c r="AF210" s="18">
        <f>'A) Base RI'!Z210</f>
        <v>0</v>
      </c>
      <c r="AG210" s="18">
        <f>'A) Base RI'!AA210</f>
        <v>84465.15</v>
      </c>
      <c r="AH210" s="18">
        <f>'A) Base RI'!AB210</f>
        <v>0</v>
      </c>
      <c r="AI210" s="18">
        <f>'A) Base RI'!AC210</f>
        <v>79812.149999999994</v>
      </c>
      <c r="AJ210" s="18">
        <f>'A) Base RI'!AD210</f>
        <v>0</v>
      </c>
      <c r="AK210" s="18">
        <f>'A) Base RI'!AE210</f>
        <v>-22223.8</v>
      </c>
      <c r="AL210" s="18">
        <f>'A) Base RI'!AF210</f>
        <v>0</v>
      </c>
      <c r="AM210" s="18">
        <f>'A) Base RI'!AG210</f>
        <v>7799.3</v>
      </c>
      <c r="AN210" s="18">
        <f>'A) Base RI'!AH210</f>
        <v>0</v>
      </c>
      <c r="AO210" s="18">
        <f>'A) Base RI'!AI210</f>
        <v>0</v>
      </c>
      <c r="AP210" s="18">
        <f>'A) Base RI'!AJ210</f>
        <v>0</v>
      </c>
      <c r="AQ210" s="18">
        <f>'A) Base RI'!AK210</f>
        <v>0</v>
      </c>
      <c r="AR210" s="18">
        <f>'A) Base RI'!AN210</f>
        <v>1057</v>
      </c>
    </row>
    <row r="211" spans="1:44" x14ac:dyDescent="0.25">
      <c r="A211" s="13">
        <f>'A) Base RI'!A211</f>
        <v>5727</v>
      </c>
      <c r="B211" s="62" t="str">
        <f>'A) Base RI'!B211</f>
        <v>Saint-Cergue</v>
      </c>
      <c r="C211" s="18">
        <f>'A) Base RI'!C211+'A) Base RI'!D211</f>
        <v>4996560.6999999993</v>
      </c>
      <c r="D211" s="18">
        <f>'A) Base RI'!AO211</f>
        <v>-146999.39000000001</v>
      </c>
      <c r="E211" s="61">
        <f>'A) Base RI'!AP211</f>
        <v>0</v>
      </c>
      <c r="F211" s="61">
        <f>'A) Base RI'!AQ211</f>
        <v>-267.35000000000002</v>
      </c>
      <c r="G211" s="4">
        <f t="shared" si="18"/>
        <v>4849293.96</v>
      </c>
      <c r="H211" s="18">
        <f>'A) Base RI'!E211</f>
        <v>0</v>
      </c>
      <c r="I211" s="18">
        <f>'A) Base RI'!F211</f>
        <v>0</v>
      </c>
      <c r="J211" s="18">
        <f>'A) Base RI'!G211+'A) Base RI'!H211</f>
        <v>69971.55</v>
      </c>
      <c r="K211" s="18">
        <f>'A) Base RI'!I211</f>
        <v>119140.55</v>
      </c>
      <c r="L211" s="18">
        <f>'A) Base RI'!J211</f>
        <v>199796.58</v>
      </c>
      <c r="M211" s="18">
        <f>'A) Base RI'!K211</f>
        <v>6644.5</v>
      </c>
      <c r="N211" s="18">
        <f>'A) Base RI'!Q211</f>
        <v>31975.54</v>
      </c>
      <c r="O211" s="18">
        <f t="shared" si="19"/>
        <v>417835.03333333338</v>
      </c>
      <c r="P211" s="18">
        <f>'A) Base RI'!L211</f>
        <v>626752.55000000005</v>
      </c>
      <c r="Q211" s="64">
        <f>'A) Base RI'!AR211</f>
        <v>1.5</v>
      </c>
      <c r="R211" s="4">
        <f t="shared" si="20"/>
        <v>5694657.7133333329</v>
      </c>
      <c r="S211" s="63">
        <f>'A) Base RI'!AM211</f>
        <v>66</v>
      </c>
      <c r="T211" s="4">
        <f t="shared" si="21"/>
        <v>5270178.18</v>
      </c>
      <c r="U211" s="4">
        <f t="shared" si="22"/>
        <v>86282.692626262622</v>
      </c>
      <c r="V211" s="18">
        <f>'A) Base RI'!O211</f>
        <v>47711</v>
      </c>
      <c r="W211" s="18">
        <f>'A) Base RI'!P211</f>
        <v>339781.75</v>
      </c>
      <c r="X211" s="18">
        <f>'A) Base RI'!R211</f>
        <v>217911.95</v>
      </c>
      <c r="Y211" s="4">
        <f t="shared" si="23"/>
        <v>605404.69999999995</v>
      </c>
      <c r="Z211" s="18">
        <f>'A) Base RI'!N211</f>
        <v>128781.25</v>
      </c>
      <c r="AA211" s="18">
        <f>'A) Base RI'!S211+'A) Base RI'!T211</f>
        <v>450</v>
      </c>
      <c r="AB211" s="18">
        <f>'A) Base RI'!U211</f>
        <v>10775</v>
      </c>
      <c r="AC211" s="18">
        <f>'A) Base RI'!V211</f>
        <v>0</v>
      </c>
      <c r="AD211" s="18">
        <f>'A) Base RI'!W211</f>
        <v>0</v>
      </c>
      <c r="AE211" s="18">
        <f>'A) Base RI'!Y211</f>
        <v>105104.51</v>
      </c>
      <c r="AF211" s="18">
        <f>'A) Base RI'!Z211</f>
        <v>299814</v>
      </c>
      <c r="AG211" s="18">
        <f>'A) Base RI'!AA211</f>
        <v>0</v>
      </c>
      <c r="AH211" s="18">
        <f>'A) Base RI'!AB211</f>
        <v>0</v>
      </c>
      <c r="AI211" s="18">
        <f>'A) Base RI'!AC211</f>
        <v>237414.7</v>
      </c>
      <c r="AJ211" s="18">
        <f>'A) Base RI'!AD211</f>
        <v>103895.6</v>
      </c>
      <c r="AK211" s="18">
        <f>'A) Base RI'!AE211</f>
        <v>0</v>
      </c>
      <c r="AL211" s="18">
        <f>'A) Base RI'!AF211</f>
        <v>0</v>
      </c>
      <c r="AM211" s="18">
        <f>'A) Base RI'!AG211</f>
        <v>44987.55</v>
      </c>
      <c r="AN211" s="18">
        <f>'A) Base RI'!AH211</f>
        <v>0</v>
      </c>
      <c r="AO211" s="18">
        <f>'A) Base RI'!AI211</f>
        <v>0</v>
      </c>
      <c r="AP211" s="18">
        <f>'A) Base RI'!AJ211</f>
        <v>0</v>
      </c>
      <c r="AQ211" s="18">
        <f>'A) Base RI'!AK211</f>
        <v>0</v>
      </c>
      <c r="AR211" s="18">
        <f>'A) Base RI'!AN211</f>
        <v>2340</v>
      </c>
    </row>
    <row r="212" spans="1:44" x14ac:dyDescent="0.25">
      <c r="A212" s="13">
        <f>'A) Base RI'!A212</f>
        <v>5728</v>
      </c>
      <c r="B212" s="62" t="str">
        <f>'A) Base RI'!B212</f>
        <v>Signy-Avenex</v>
      </c>
      <c r="C212" s="18">
        <f>'A) Base RI'!C212+'A) Base RI'!D212</f>
        <v>1352551.77</v>
      </c>
      <c r="D212" s="18">
        <f>'A) Base RI'!AO212</f>
        <v>-5775.13</v>
      </c>
      <c r="E212" s="61">
        <f>'A) Base RI'!AP212</f>
        <v>-5713.15</v>
      </c>
      <c r="F212" s="61">
        <f>'A) Base RI'!AQ212</f>
        <v>-314.38</v>
      </c>
      <c r="G212" s="4">
        <f t="shared" si="18"/>
        <v>1340749.1100000003</v>
      </c>
      <c r="H212" s="18">
        <f>'A) Base RI'!E212</f>
        <v>0</v>
      </c>
      <c r="I212" s="18">
        <f>'A) Base RI'!F212</f>
        <v>0</v>
      </c>
      <c r="J212" s="18">
        <f>'A) Base RI'!G212+'A) Base RI'!H212</f>
        <v>438674.55</v>
      </c>
      <c r="K212" s="18">
        <f>'A) Base RI'!I212</f>
        <v>58381</v>
      </c>
      <c r="L212" s="18">
        <f>'A) Base RI'!J212</f>
        <v>112973.55</v>
      </c>
      <c r="M212" s="18">
        <f>'A) Base RI'!K212</f>
        <v>47389</v>
      </c>
      <c r="N212" s="18">
        <f>'A) Base RI'!Q212</f>
        <v>5573.93</v>
      </c>
      <c r="O212" s="18">
        <f t="shared" si="19"/>
        <v>184702.9</v>
      </c>
      <c r="P212" s="18">
        <f>'A) Base RI'!L212</f>
        <v>184702.9</v>
      </c>
      <c r="Q212" s="64">
        <f>'A) Base RI'!AR212</f>
        <v>1</v>
      </c>
      <c r="R212" s="4">
        <f t="shared" si="20"/>
        <v>2188444.0400000005</v>
      </c>
      <c r="S212" s="63">
        <f>'A) Base RI'!AM212</f>
        <v>56</v>
      </c>
      <c r="T212" s="4">
        <f t="shared" si="21"/>
        <v>1956352.1400000004</v>
      </c>
      <c r="U212" s="4">
        <f t="shared" si="22"/>
        <v>39079.357857142866</v>
      </c>
      <c r="V212" s="18">
        <f>'A) Base RI'!O212</f>
        <v>0</v>
      </c>
      <c r="W212" s="18">
        <f>'A) Base RI'!P212</f>
        <v>123761</v>
      </c>
      <c r="X212" s="18">
        <f>'A) Base RI'!R212</f>
        <v>70536.5</v>
      </c>
      <c r="Y212" s="4">
        <f t="shared" si="23"/>
        <v>194297.5</v>
      </c>
      <c r="Z212" s="18">
        <f>'A) Base RI'!N212</f>
        <v>174685.55</v>
      </c>
      <c r="AA212" s="18">
        <f>'A) Base RI'!S212+'A) Base RI'!T212</f>
        <v>762.5</v>
      </c>
      <c r="AB212" s="18">
        <f>'A) Base RI'!U212</f>
        <v>1300</v>
      </c>
      <c r="AC212" s="18">
        <f>'A) Base RI'!V212</f>
        <v>0</v>
      </c>
      <c r="AD212" s="18">
        <f>'A) Base RI'!W212</f>
        <v>0</v>
      </c>
      <c r="AE212" s="18">
        <f>'A) Base RI'!Y212</f>
        <v>69890.399999999994</v>
      </c>
      <c r="AF212" s="18">
        <f>'A) Base RI'!Z212</f>
        <v>0</v>
      </c>
      <c r="AG212" s="18">
        <f>'A) Base RI'!AA212</f>
        <v>82597.100000000006</v>
      </c>
      <c r="AH212" s="18">
        <f>'A) Base RI'!AB212</f>
        <v>0</v>
      </c>
      <c r="AI212" s="18">
        <f>'A) Base RI'!AC212</f>
        <v>25019.9</v>
      </c>
      <c r="AJ212" s="18">
        <f>'A) Base RI'!AD212</f>
        <v>0</v>
      </c>
      <c r="AK212" s="18">
        <f>'A) Base RI'!AE212</f>
        <v>0</v>
      </c>
      <c r="AL212" s="18">
        <f>'A) Base RI'!AF212</f>
        <v>0</v>
      </c>
      <c r="AM212" s="18">
        <f>'A) Base RI'!AG212</f>
        <v>0</v>
      </c>
      <c r="AN212" s="18">
        <f>'A) Base RI'!AH212</f>
        <v>57119.75</v>
      </c>
      <c r="AO212" s="18">
        <f>'A) Base RI'!AI212</f>
        <v>0</v>
      </c>
      <c r="AP212" s="18">
        <f>'A) Base RI'!AJ212</f>
        <v>0</v>
      </c>
      <c r="AQ212" s="18">
        <f>'A) Base RI'!AK212</f>
        <v>0</v>
      </c>
      <c r="AR212" s="18">
        <f>'A) Base RI'!AN212</f>
        <v>457</v>
      </c>
    </row>
    <row r="213" spans="1:44" x14ac:dyDescent="0.25">
      <c r="A213" s="13">
        <f>'A) Base RI'!A213</f>
        <v>5729</v>
      </c>
      <c r="B213" s="62" t="str">
        <f>'A) Base RI'!B213</f>
        <v>Tannay</v>
      </c>
      <c r="C213" s="18">
        <f>'A) Base RI'!C213+'A) Base RI'!D213</f>
        <v>8062992.2199999997</v>
      </c>
      <c r="D213" s="18">
        <f>'A) Base RI'!AO213</f>
        <v>-13347.53</v>
      </c>
      <c r="E213" s="61">
        <f>'A) Base RI'!AP213</f>
        <v>0</v>
      </c>
      <c r="F213" s="61">
        <f>'A) Base RI'!AQ213</f>
        <v>-55850.55</v>
      </c>
      <c r="G213" s="4">
        <f t="shared" si="18"/>
        <v>7993794.1399999997</v>
      </c>
      <c r="H213" s="18">
        <f>'A) Base RI'!E213</f>
        <v>0</v>
      </c>
      <c r="I213" s="18">
        <f>'A) Base RI'!F213</f>
        <v>0</v>
      </c>
      <c r="J213" s="18">
        <f>'A) Base RI'!G213+'A) Base RI'!H213</f>
        <v>498903.7</v>
      </c>
      <c r="K213" s="18">
        <f>'A) Base RI'!I213</f>
        <v>131540.04999999999</v>
      </c>
      <c r="L213" s="18">
        <f>'A) Base RI'!J213</f>
        <v>193805.48</v>
      </c>
      <c r="M213" s="18">
        <f>'A) Base RI'!K213</f>
        <v>1697.5</v>
      </c>
      <c r="N213" s="18">
        <f>'A) Base RI'!Q213</f>
        <v>16613.25</v>
      </c>
      <c r="O213" s="18">
        <f t="shared" si="19"/>
        <v>444809.26666666666</v>
      </c>
      <c r="P213" s="18">
        <f>'A) Base RI'!L213</f>
        <v>667213.9</v>
      </c>
      <c r="Q213" s="64">
        <f>'A) Base RI'!AR213</f>
        <v>1.5</v>
      </c>
      <c r="R213" s="4">
        <f t="shared" si="20"/>
        <v>9281163.3866666686</v>
      </c>
      <c r="S213" s="63">
        <f>'A) Base RI'!AM213</f>
        <v>61</v>
      </c>
      <c r="T213" s="4">
        <f t="shared" si="21"/>
        <v>8834656.620000001</v>
      </c>
      <c r="U213" s="4">
        <f t="shared" si="22"/>
        <v>152150.21945355195</v>
      </c>
      <c r="V213" s="18">
        <f>'A) Base RI'!O213</f>
        <v>43250</v>
      </c>
      <c r="W213" s="18">
        <f>'A) Base RI'!P213</f>
        <v>416093.3</v>
      </c>
      <c r="X213" s="18">
        <f>'A) Base RI'!R213</f>
        <v>433104.95</v>
      </c>
      <c r="Y213" s="4">
        <f t="shared" si="23"/>
        <v>892448.25</v>
      </c>
      <c r="Z213" s="18">
        <f>'A) Base RI'!N213</f>
        <v>10805.5</v>
      </c>
      <c r="AA213" s="18">
        <f>'A) Base RI'!S213+'A) Base RI'!T213</f>
        <v>0</v>
      </c>
      <c r="AB213" s="18">
        <f>'A) Base RI'!U213</f>
        <v>7720</v>
      </c>
      <c r="AC213" s="18">
        <f>'A) Base RI'!V213</f>
        <v>0</v>
      </c>
      <c r="AD213" s="18">
        <f>'A) Base RI'!W213</f>
        <v>0</v>
      </c>
      <c r="AE213" s="18">
        <f>'A) Base RI'!Y213</f>
        <v>30776.6</v>
      </c>
      <c r="AF213" s="18">
        <f>'A) Base RI'!Z213</f>
        <v>0</v>
      </c>
      <c r="AG213" s="18">
        <f>'A) Base RI'!AA213</f>
        <v>74075.45</v>
      </c>
      <c r="AH213" s="18">
        <f>'A) Base RI'!AB213</f>
        <v>0</v>
      </c>
      <c r="AI213" s="18">
        <f>'A) Base RI'!AC213</f>
        <v>147403.95000000001</v>
      </c>
      <c r="AJ213" s="18">
        <f>'A) Base RI'!AD213</f>
        <v>0</v>
      </c>
      <c r="AK213" s="18">
        <f>'A) Base RI'!AE213</f>
        <v>0</v>
      </c>
      <c r="AL213" s="18">
        <f>'A) Base RI'!AF213</f>
        <v>0</v>
      </c>
      <c r="AM213" s="18">
        <f>'A) Base RI'!AG213</f>
        <v>795.45</v>
      </c>
      <c r="AN213" s="18">
        <f>'A) Base RI'!AH213</f>
        <v>0</v>
      </c>
      <c r="AO213" s="18">
        <f>'A) Base RI'!AI213</f>
        <v>0</v>
      </c>
      <c r="AP213" s="18">
        <f>'A) Base RI'!AJ213</f>
        <v>0</v>
      </c>
      <c r="AQ213" s="18">
        <f>'A) Base RI'!AK213</f>
        <v>0</v>
      </c>
      <c r="AR213" s="18">
        <f>'A) Base RI'!AN213</f>
        <v>1511</v>
      </c>
    </row>
    <row r="214" spans="1:44" x14ac:dyDescent="0.25">
      <c r="A214" s="13">
        <f>'A) Base RI'!A214</f>
        <v>5730</v>
      </c>
      <c r="B214" s="62" t="str">
        <f>'A) Base RI'!B214</f>
        <v>Trélex</v>
      </c>
      <c r="C214" s="18">
        <f>'A) Base RI'!C214+'A) Base RI'!D214</f>
        <v>6964387.0299999993</v>
      </c>
      <c r="D214" s="18">
        <f>'A) Base RI'!AO214</f>
        <v>-37173.51</v>
      </c>
      <c r="E214" s="61">
        <f>'A) Base RI'!AP214</f>
        <v>0</v>
      </c>
      <c r="F214" s="61">
        <f>'A) Base RI'!AQ214</f>
        <v>-4086.27</v>
      </c>
      <c r="G214" s="4">
        <f t="shared" si="18"/>
        <v>6923127.25</v>
      </c>
      <c r="H214" s="18">
        <f>'A) Base RI'!E214</f>
        <v>0</v>
      </c>
      <c r="I214" s="18">
        <f>'A) Base RI'!F214</f>
        <v>0</v>
      </c>
      <c r="J214" s="18">
        <f>'A) Base RI'!G214+'A) Base RI'!H214</f>
        <v>47671.149999999994</v>
      </c>
      <c r="K214" s="18">
        <f>'A) Base RI'!I214</f>
        <v>95217.5</v>
      </c>
      <c r="L214" s="18">
        <f>'A) Base RI'!J214</f>
        <v>77974.92</v>
      </c>
      <c r="M214" s="18">
        <f>'A) Base RI'!K214</f>
        <v>4566</v>
      </c>
      <c r="N214" s="18">
        <f>'A) Base RI'!Q214</f>
        <v>36308.589999999997</v>
      </c>
      <c r="O214" s="18">
        <f t="shared" si="19"/>
        <v>369825.5</v>
      </c>
      <c r="P214" s="18">
        <f>'A) Base RI'!L214</f>
        <v>332842.95</v>
      </c>
      <c r="Q214" s="64">
        <f>'A) Base RI'!AR214</f>
        <v>0.9</v>
      </c>
      <c r="R214" s="4">
        <f t="shared" si="20"/>
        <v>7554690.9100000001</v>
      </c>
      <c r="S214" s="63">
        <f>'A) Base RI'!AM214</f>
        <v>53</v>
      </c>
      <c r="T214" s="4">
        <f t="shared" si="21"/>
        <v>7180299.4100000001</v>
      </c>
      <c r="U214" s="4">
        <f t="shared" si="22"/>
        <v>142541.33792452831</v>
      </c>
      <c r="V214" s="18">
        <f>'A) Base RI'!O214</f>
        <v>81269.5</v>
      </c>
      <c r="W214" s="18">
        <f>'A) Base RI'!P214</f>
        <v>136670.54999999999</v>
      </c>
      <c r="X214" s="18">
        <f>'A) Base RI'!R214</f>
        <v>142149.4</v>
      </c>
      <c r="Y214" s="4">
        <f t="shared" si="23"/>
        <v>360089.44999999995</v>
      </c>
      <c r="Z214" s="18">
        <f>'A) Base RI'!N214</f>
        <v>11764.75</v>
      </c>
      <c r="AA214" s="18">
        <f>'A) Base RI'!S214+'A) Base RI'!T214</f>
        <v>112.6</v>
      </c>
      <c r="AB214" s="18">
        <f>'A) Base RI'!U214</f>
        <v>4575</v>
      </c>
      <c r="AC214" s="18">
        <f>'A) Base RI'!V214</f>
        <v>0</v>
      </c>
      <c r="AD214" s="18">
        <f>'A) Base RI'!W214</f>
        <v>0</v>
      </c>
      <c r="AE214" s="18">
        <f>'A) Base RI'!Y214</f>
        <v>12356.2</v>
      </c>
      <c r="AF214" s="18">
        <f>'A) Base RI'!Z214</f>
        <v>0</v>
      </c>
      <c r="AG214" s="18">
        <f>'A) Base RI'!AA214</f>
        <v>149857.20000000001</v>
      </c>
      <c r="AH214" s="18">
        <f>'A) Base RI'!AB214</f>
        <v>0</v>
      </c>
      <c r="AI214" s="18">
        <f>'A) Base RI'!AC214</f>
        <v>24316.7</v>
      </c>
      <c r="AJ214" s="18">
        <f>'A) Base RI'!AD214</f>
        <v>0</v>
      </c>
      <c r="AK214" s="18">
        <f>'A) Base RI'!AE214</f>
        <v>0</v>
      </c>
      <c r="AL214" s="18">
        <f>'A) Base RI'!AF214</f>
        <v>0</v>
      </c>
      <c r="AM214" s="18">
        <f>'A) Base RI'!AG214</f>
        <v>0</v>
      </c>
      <c r="AN214" s="18">
        <f>'A) Base RI'!AH214</f>
        <v>0</v>
      </c>
      <c r="AO214" s="18">
        <f>'A) Base RI'!AI214</f>
        <v>0</v>
      </c>
      <c r="AP214" s="18">
        <f>'A) Base RI'!AJ214</f>
        <v>0</v>
      </c>
      <c r="AQ214" s="18">
        <f>'A) Base RI'!AK214</f>
        <v>0</v>
      </c>
      <c r="AR214" s="18">
        <f>'A) Base RI'!AN214</f>
        <v>1397</v>
      </c>
    </row>
    <row r="215" spans="1:44" x14ac:dyDescent="0.25">
      <c r="A215" s="13">
        <f>'A) Base RI'!A215</f>
        <v>5731</v>
      </c>
      <c r="B215" s="62" t="str">
        <f>'A) Base RI'!B215</f>
        <v>Le Vaud</v>
      </c>
      <c r="C215" s="18">
        <f>'A) Base RI'!C215+'A) Base RI'!D215</f>
        <v>2999780.48</v>
      </c>
      <c r="D215" s="18">
        <f>'A) Base RI'!AO215</f>
        <v>-7770.21</v>
      </c>
      <c r="E215" s="61">
        <f>'A) Base RI'!AP215</f>
        <v>0</v>
      </c>
      <c r="F215" s="61">
        <f>'A) Base RI'!AQ215</f>
        <v>-1838.91</v>
      </c>
      <c r="G215" s="4">
        <f t="shared" si="18"/>
        <v>2990171.36</v>
      </c>
      <c r="H215" s="18">
        <f>'A) Base RI'!E215</f>
        <v>0</v>
      </c>
      <c r="I215" s="18">
        <f>'A) Base RI'!F215</f>
        <v>0</v>
      </c>
      <c r="J215" s="18">
        <f>'A) Base RI'!G215+'A) Base RI'!H215</f>
        <v>30696</v>
      </c>
      <c r="K215" s="18">
        <f>'A) Base RI'!I215</f>
        <v>36728</v>
      </c>
      <c r="L215" s="18">
        <f>'A) Base RI'!J215</f>
        <v>23821.83</v>
      </c>
      <c r="M215" s="18">
        <f>'A) Base RI'!K215</f>
        <v>4005</v>
      </c>
      <c r="N215" s="18">
        <f>'A) Base RI'!Q215</f>
        <v>5009.43</v>
      </c>
      <c r="O215" s="18">
        <f t="shared" si="19"/>
        <v>221155.66666666666</v>
      </c>
      <c r="P215" s="18">
        <f>'A) Base RI'!L215</f>
        <v>331733.5</v>
      </c>
      <c r="Q215" s="64">
        <f>'A) Base RI'!AR215</f>
        <v>1.5</v>
      </c>
      <c r="R215" s="4">
        <f t="shared" si="20"/>
        <v>3311587.2866666666</v>
      </c>
      <c r="S215" s="63">
        <f>'A) Base RI'!AM215</f>
        <v>75</v>
      </c>
      <c r="T215" s="4">
        <f t="shared" si="21"/>
        <v>3086426.62</v>
      </c>
      <c r="U215" s="4">
        <f t="shared" si="22"/>
        <v>44154.497155555553</v>
      </c>
      <c r="V215" s="18">
        <v>0</v>
      </c>
      <c r="W215" s="18">
        <f>'A) Base RI'!P215</f>
        <v>80042.75</v>
      </c>
      <c r="X215" s="18">
        <f>'A) Base RI'!R215</f>
        <v>55147.95</v>
      </c>
      <c r="Y215" s="4">
        <f t="shared" si="23"/>
        <v>135190.70000000001</v>
      </c>
      <c r="Z215" s="18">
        <f>'A) Base RI'!N215</f>
        <v>16404.900000000001</v>
      </c>
      <c r="AA215" s="18">
        <f>'A) Base RI'!S215+'A) Base RI'!T215</f>
        <v>1253.75</v>
      </c>
      <c r="AB215" s="18">
        <f>'A) Base RI'!U215</f>
        <v>11900</v>
      </c>
      <c r="AC215" s="18">
        <f>'A) Base RI'!V215</f>
        <v>0</v>
      </c>
      <c r="AD215" s="18">
        <f>'A) Base RI'!W215</f>
        <v>0</v>
      </c>
      <c r="AE215" s="18">
        <f>'A) Base RI'!Y215</f>
        <v>99393</v>
      </c>
      <c r="AF215" s="18">
        <f>'A) Base RI'!Z215</f>
        <v>0</v>
      </c>
      <c r="AG215" s="18">
        <f>'A) Base RI'!AA215</f>
        <v>156882</v>
      </c>
      <c r="AH215" s="18">
        <f>'A) Base RI'!AB215</f>
        <v>0</v>
      </c>
      <c r="AI215" s="18">
        <f>'A) Base RI'!AC215</f>
        <v>109603</v>
      </c>
      <c r="AJ215" s="18">
        <f>'A) Base RI'!AD215</f>
        <v>92753</v>
      </c>
      <c r="AK215" s="18">
        <f>'A) Base RI'!AE215</f>
        <v>0</v>
      </c>
      <c r="AL215" s="18">
        <f>'A) Base RI'!AF215</f>
        <v>0</v>
      </c>
      <c r="AM215" s="18">
        <f>'A) Base RI'!AG215</f>
        <v>10641</v>
      </c>
      <c r="AN215" s="18">
        <f>'A) Base RI'!AH215</f>
        <v>0</v>
      </c>
      <c r="AO215" s="18">
        <f>'A) Base RI'!AI215</f>
        <v>0</v>
      </c>
      <c r="AP215" s="18">
        <f>'A) Base RI'!AJ215</f>
        <v>0</v>
      </c>
      <c r="AQ215" s="18">
        <f>'A) Base RI'!AK215</f>
        <v>0</v>
      </c>
      <c r="AR215" s="18">
        <f>'A) Base RI'!AN215</f>
        <v>1238</v>
      </c>
    </row>
    <row r="216" spans="1:44" x14ac:dyDescent="0.25">
      <c r="A216" s="13">
        <f>'A) Base RI'!A216</f>
        <v>5732</v>
      </c>
      <c r="B216" s="62" t="str">
        <f>'A) Base RI'!B216</f>
        <v>Vich</v>
      </c>
      <c r="C216" s="18">
        <f>'A) Base RI'!C216+'A) Base RI'!D216</f>
        <v>2195768.3199999998</v>
      </c>
      <c r="D216" s="18">
        <f>'A) Base RI'!AO216</f>
        <v>-17993.91</v>
      </c>
      <c r="E216" s="61">
        <f>'A) Base RI'!AP216</f>
        <v>0</v>
      </c>
      <c r="F216" s="61">
        <f>'A) Base RI'!AQ216</f>
        <v>-1008.68</v>
      </c>
      <c r="G216" s="4">
        <f t="shared" si="18"/>
        <v>2176765.7299999995</v>
      </c>
      <c r="H216" s="18">
        <f>'A) Base RI'!E216</f>
        <v>0</v>
      </c>
      <c r="I216" s="18">
        <f>'A) Base RI'!F216</f>
        <v>0</v>
      </c>
      <c r="J216" s="18">
        <f>'A) Base RI'!G216+'A) Base RI'!H216</f>
        <v>148201.80000000002</v>
      </c>
      <c r="K216" s="18">
        <f>'A) Base RI'!I216</f>
        <v>217817.05</v>
      </c>
      <c r="L216" s="18">
        <f>'A) Base RI'!J216</f>
        <v>39066.07</v>
      </c>
      <c r="M216" s="18">
        <f>'A) Base RI'!K216</f>
        <v>18748.5</v>
      </c>
      <c r="N216" s="18">
        <f>'A) Base RI'!Q216</f>
        <v>1338.33</v>
      </c>
      <c r="O216" s="18">
        <f t="shared" si="19"/>
        <v>225373.85</v>
      </c>
      <c r="P216" s="18">
        <f>'A) Base RI'!L216</f>
        <v>225373.85</v>
      </c>
      <c r="Q216" s="64">
        <f>'A) Base RI'!AR216</f>
        <v>1</v>
      </c>
      <c r="R216" s="4">
        <f t="shared" si="20"/>
        <v>2827311.3299999991</v>
      </c>
      <c r="S216" s="63">
        <f>'A) Base RI'!AM216</f>
        <v>70</v>
      </c>
      <c r="T216" s="4">
        <f t="shared" si="21"/>
        <v>2583188.9799999991</v>
      </c>
      <c r="U216" s="4">
        <f t="shared" si="22"/>
        <v>40390.161857142848</v>
      </c>
      <c r="V216" s="18">
        <v>0</v>
      </c>
      <c r="W216" s="18">
        <f>'A) Base RI'!P216</f>
        <v>289384.90000000002</v>
      </c>
      <c r="X216" s="18">
        <f>'A) Base RI'!R216</f>
        <v>221479.35</v>
      </c>
      <c r="Y216" s="4">
        <f t="shared" si="23"/>
        <v>510864.25</v>
      </c>
      <c r="Z216" s="18">
        <f>'A) Base RI'!N216</f>
        <v>90334.1</v>
      </c>
      <c r="AA216" s="18">
        <f>'A) Base RI'!S216+'A) Base RI'!T216</f>
        <v>125</v>
      </c>
      <c r="AB216" s="18">
        <f>'A) Base RI'!U216</f>
        <v>8205</v>
      </c>
      <c r="AC216" s="18">
        <f>'A) Base RI'!V216</f>
        <v>0</v>
      </c>
      <c r="AD216" s="18">
        <f>'A) Base RI'!W216</f>
        <v>0</v>
      </c>
      <c r="AE216" s="18">
        <f>'A) Base RI'!Y216</f>
        <v>316693.40000000002</v>
      </c>
      <c r="AF216" s="18">
        <f>'A) Base RI'!Z216</f>
        <v>4976.55</v>
      </c>
      <c r="AG216" s="18">
        <f>'A) Base RI'!AA216</f>
        <v>66389.399999999994</v>
      </c>
      <c r="AH216" s="18">
        <f>'A) Base RI'!AB216</f>
        <v>0</v>
      </c>
      <c r="AI216" s="18">
        <f>'A) Base RI'!AC216</f>
        <v>0</v>
      </c>
      <c r="AJ216" s="18">
        <f>'A) Base RI'!AD216</f>
        <v>476705.3</v>
      </c>
      <c r="AK216" s="18">
        <f>'A) Base RI'!AE216</f>
        <v>16624</v>
      </c>
      <c r="AL216" s="18">
        <f>'A) Base RI'!AF216</f>
        <v>0</v>
      </c>
      <c r="AM216" s="18">
        <f>'A) Base RI'!AG216</f>
        <v>9442</v>
      </c>
      <c r="AN216" s="18">
        <f>'A) Base RI'!AH216</f>
        <v>46615.83</v>
      </c>
      <c r="AO216" s="18">
        <f>'A) Base RI'!AI216</f>
        <v>0</v>
      </c>
      <c r="AP216" s="18">
        <f>'A) Base RI'!AJ216</f>
        <v>0</v>
      </c>
      <c r="AQ216" s="18">
        <f>'A) Base RI'!AK216</f>
        <v>0</v>
      </c>
      <c r="AR216" s="18">
        <f>'A) Base RI'!AN216</f>
        <v>763</v>
      </c>
    </row>
    <row r="217" spans="1:44" x14ac:dyDescent="0.25">
      <c r="A217" s="13">
        <f>'A) Base RI'!A217</f>
        <v>5741</v>
      </c>
      <c r="B217" s="62" t="str">
        <f>'A) Base RI'!B217</f>
        <v>L'Abergement</v>
      </c>
      <c r="C217" s="18">
        <f>'A) Base RI'!C217+'A) Base RI'!D217</f>
        <v>412686.05</v>
      </c>
      <c r="D217" s="18">
        <f>'A) Base RI'!AO217</f>
        <v>-19162.150000000001</v>
      </c>
      <c r="E217" s="61">
        <f>'A) Base RI'!AP217</f>
        <v>0</v>
      </c>
      <c r="F217" s="61">
        <f>'A) Base RI'!AQ217</f>
        <v>-0.14000000000000001</v>
      </c>
      <c r="G217" s="4">
        <f t="shared" si="18"/>
        <v>393523.75999999995</v>
      </c>
      <c r="H217" s="18">
        <f>'A) Base RI'!E217</f>
        <v>0</v>
      </c>
      <c r="I217" s="18">
        <f>'A) Base RI'!F217</f>
        <v>1250</v>
      </c>
      <c r="J217" s="18">
        <f>'A) Base RI'!G217+'A) Base RI'!H217</f>
        <v>16678.95</v>
      </c>
      <c r="K217" s="18">
        <f>'A) Base RI'!I217</f>
        <v>0</v>
      </c>
      <c r="L217" s="18">
        <f>'A) Base RI'!J217</f>
        <v>5002.47</v>
      </c>
      <c r="M217" s="18">
        <f>'A) Base RI'!K217</f>
        <v>0</v>
      </c>
      <c r="N217" s="18">
        <f>'A) Base RI'!Q217</f>
        <v>8408.3700000000008</v>
      </c>
      <c r="O217" s="18">
        <f t="shared" si="19"/>
        <v>33494.458333333336</v>
      </c>
      <c r="P217" s="18">
        <f>'A) Base RI'!L217</f>
        <v>40193.35</v>
      </c>
      <c r="Q217" s="64">
        <f>'A) Base RI'!AR217</f>
        <v>1.2</v>
      </c>
      <c r="R217" s="4">
        <f t="shared" si="20"/>
        <v>458358.00833333324</v>
      </c>
      <c r="S217" s="63">
        <f>'A) Base RI'!AM217</f>
        <v>81</v>
      </c>
      <c r="T217" s="4">
        <f t="shared" si="21"/>
        <v>423613.54999999993</v>
      </c>
      <c r="U217" s="4">
        <f t="shared" si="22"/>
        <v>5658.7408436213982</v>
      </c>
      <c r="V217" s="18">
        <v>0</v>
      </c>
      <c r="W217" s="18">
        <f>'A) Base RI'!P217</f>
        <v>18040</v>
      </c>
      <c r="X217" s="18">
        <f>'A) Base RI'!R217</f>
        <v>22253</v>
      </c>
      <c r="Y217" s="4">
        <f t="shared" si="23"/>
        <v>40293</v>
      </c>
      <c r="Z217" s="18">
        <f>'A) Base RI'!N217</f>
        <v>13788.45</v>
      </c>
      <c r="AA217" s="18">
        <f>'A) Base RI'!S217+'A) Base RI'!T217</f>
        <v>200</v>
      </c>
      <c r="AB217" s="18">
        <f>'A) Base RI'!U217</f>
        <v>960</v>
      </c>
      <c r="AC217" s="18">
        <f>'A) Base RI'!V217</f>
        <v>0</v>
      </c>
      <c r="AD217" s="18">
        <f>'A) Base RI'!W217</f>
        <v>0</v>
      </c>
      <c r="AE217" s="18">
        <f>'A) Base RI'!Y217</f>
        <v>1400</v>
      </c>
      <c r="AF217" s="18">
        <f>'A) Base RI'!Z217</f>
        <v>66225.350000000006</v>
      </c>
      <c r="AG217" s="18">
        <f>'A) Base RI'!AA217</f>
        <v>0</v>
      </c>
      <c r="AH217" s="18">
        <f>'A) Base RI'!AB217</f>
        <v>8244.2000000000007</v>
      </c>
      <c r="AI217" s="18">
        <f>'A) Base RI'!AC217</f>
        <v>26804.5</v>
      </c>
      <c r="AJ217" s="18">
        <f>'A) Base RI'!AD217</f>
        <v>7439.8</v>
      </c>
      <c r="AK217" s="18">
        <f>'A) Base RI'!AE217</f>
        <v>3937.6</v>
      </c>
      <c r="AL217" s="18">
        <f>'A) Base RI'!AF217</f>
        <v>0</v>
      </c>
      <c r="AM217" s="18">
        <f>'A) Base RI'!AG217</f>
        <v>0</v>
      </c>
      <c r="AN217" s="18">
        <f>'A) Base RI'!AH217</f>
        <v>0</v>
      </c>
      <c r="AO217" s="18">
        <f>'A) Base RI'!AI217</f>
        <v>0</v>
      </c>
      <c r="AP217" s="18">
        <f>'A) Base RI'!AJ217</f>
        <v>0</v>
      </c>
      <c r="AQ217" s="18">
        <f>'A) Base RI'!AK217</f>
        <v>0</v>
      </c>
      <c r="AR217" s="18">
        <f>'A) Base RI'!AN217</f>
        <v>250</v>
      </c>
    </row>
    <row r="218" spans="1:44" x14ac:dyDescent="0.25">
      <c r="A218" s="13">
        <f>'A) Base RI'!A218</f>
        <v>5742</v>
      </c>
      <c r="B218" s="62" t="str">
        <f>'A) Base RI'!B218</f>
        <v>Agiez</v>
      </c>
      <c r="C218" s="18">
        <f>'A) Base RI'!C218+'A) Base RI'!D218</f>
        <v>579290.28</v>
      </c>
      <c r="D218" s="18">
        <f>'A) Base RI'!AO218</f>
        <v>-21217.54</v>
      </c>
      <c r="E218" s="61">
        <f>'A) Base RI'!AP218</f>
        <v>0</v>
      </c>
      <c r="F218" s="61">
        <f>'A) Base RI'!AQ218</f>
        <v>-1.81</v>
      </c>
      <c r="G218" s="4">
        <f t="shared" si="18"/>
        <v>558070.92999999993</v>
      </c>
      <c r="H218" s="18">
        <f>'A) Base RI'!E218</f>
        <v>0</v>
      </c>
      <c r="I218" s="18">
        <f>'A) Base RI'!F218</f>
        <v>0</v>
      </c>
      <c r="J218" s="18">
        <f>'A) Base RI'!G218+'A) Base RI'!H218</f>
        <v>11278.15</v>
      </c>
      <c r="K218" s="18">
        <f>'A) Base RI'!I218</f>
        <v>0</v>
      </c>
      <c r="L218" s="18">
        <f>'A) Base RI'!J218</f>
        <v>16092.52</v>
      </c>
      <c r="M218" s="18">
        <f>'A) Base RI'!K218</f>
        <v>703</v>
      </c>
      <c r="N218" s="18">
        <f>'A) Base RI'!Q218</f>
        <v>18246.650000000001</v>
      </c>
      <c r="O218" s="18">
        <f t="shared" si="19"/>
        <v>41395.9</v>
      </c>
      <c r="P218" s="18">
        <f>'A) Base RI'!L218</f>
        <v>20697.95</v>
      </c>
      <c r="Q218" s="64">
        <f>'A) Base RI'!AR218</f>
        <v>0.5</v>
      </c>
      <c r="R218" s="4">
        <f t="shared" si="20"/>
        <v>645787.15</v>
      </c>
      <c r="S218" s="63">
        <f>'A) Base RI'!AM218</f>
        <v>76</v>
      </c>
      <c r="T218" s="4">
        <f t="shared" si="21"/>
        <v>603688.25</v>
      </c>
      <c r="U218" s="4">
        <f t="shared" si="22"/>
        <v>8497.199342105263</v>
      </c>
      <c r="V218" s="18">
        <f>'A) Base RI'!O218</f>
        <v>476.8</v>
      </c>
      <c r="W218" s="18">
        <f>'A) Base RI'!P218</f>
        <v>41046.35</v>
      </c>
      <c r="X218" s="18">
        <f>'A) Base RI'!R218</f>
        <v>22382.05</v>
      </c>
      <c r="Y218" s="4">
        <f t="shared" si="23"/>
        <v>63905.2</v>
      </c>
      <c r="Z218" s="18">
        <f>'A) Base RI'!N218</f>
        <v>3852.35</v>
      </c>
      <c r="AA218" s="18">
        <f>'A) Base RI'!S218+'A) Base RI'!T218</f>
        <v>0</v>
      </c>
      <c r="AB218" s="18">
        <f>'A) Base RI'!U218</f>
        <v>1880</v>
      </c>
      <c r="AC218" s="18">
        <f>'A) Base RI'!V218</f>
        <v>0</v>
      </c>
      <c r="AD218" s="18">
        <f>'A) Base RI'!W218</f>
        <v>0</v>
      </c>
      <c r="AE218" s="18">
        <f>'A) Base RI'!Y218</f>
        <v>0</v>
      </c>
      <c r="AF218" s="18">
        <f>'A) Base RI'!Z218</f>
        <v>0</v>
      </c>
      <c r="AG218" s="18">
        <f>'A) Base RI'!AA218</f>
        <v>0</v>
      </c>
      <c r="AH218" s="18">
        <f>'A) Base RI'!AB218</f>
        <v>0</v>
      </c>
      <c r="AI218" s="18">
        <f>'A) Base RI'!AC218</f>
        <v>27482.75</v>
      </c>
      <c r="AJ218" s="18">
        <f>'A) Base RI'!AD218</f>
        <v>4730.45</v>
      </c>
      <c r="AK218" s="18">
        <f>'A) Base RI'!AE218</f>
        <v>0</v>
      </c>
      <c r="AL218" s="18">
        <f>'A) Base RI'!AF218</f>
        <v>0</v>
      </c>
      <c r="AM218" s="18">
        <f>'A) Base RI'!AG218</f>
        <v>0</v>
      </c>
      <c r="AN218" s="18">
        <f>'A) Base RI'!AH218</f>
        <v>0</v>
      </c>
      <c r="AO218" s="18">
        <f>'A) Base RI'!AI218</f>
        <v>0</v>
      </c>
      <c r="AP218" s="18">
        <f>'A) Base RI'!AJ218</f>
        <v>0</v>
      </c>
      <c r="AQ218" s="18">
        <f>'A) Base RI'!AK218</f>
        <v>0</v>
      </c>
      <c r="AR218" s="18">
        <f>'A) Base RI'!AN218</f>
        <v>297</v>
      </c>
    </row>
    <row r="219" spans="1:44" x14ac:dyDescent="0.25">
      <c r="A219" s="13">
        <f>'A) Base RI'!A219</f>
        <v>5743</v>
      </c>
      <c r="B219" s="62" t="str">
        <f>'A) Base RI'!B219</f>
        <v>Arnex-sur-Orbe</v>
      </c>
      <c r="C219" s="18">
        <f>'A) Base RI'!C219+'A) Base RI'!D219</f>
        <v>949828.78</v>
      </c>
      <c r="D219" s="18">
        <f>'A) Base RI'!AO219</f>
        <v>-19338.78</v>
      </c>
      <c r="E219" s="61">
        <f>'A) Base RI'!AP219</f>
        <v>0</v>
      </c>
      <c r="F219" s="61">
        <f>'A) Base RI'!AQ219</f>
        <v>-11663.45</v>
      </c>
      <c r="G219" s="4">
        <f t="shared" si="18"/>
        <v>918826.55</v>
      </c>
      <c r="H219" s="18">
        <f>'A) Base RI'!E219</f>
        <v>0</v>
      </c>
      <c r="I219" s="18">
        <f>'A) Base RI'!F219</f>
        <v>3350</v>
      </c>
      <c r="J219" s="18">
        <f>'A) Base RI'!G219+'A) Base RI'!H219</f>
        <v>20630.75</v>
      </c>
      <c r="K219" s="18">
        <f>'A) Base RI'!I219</f>
        <v>0</v>
      </c>
      <c r="L219" s="18">
        <f>'A) Base RI'!J219</f>
        <v>21952.77</v>
      </c>
      <c r="M219" s="18">
        <f>'A) Base RI'!K219</f>
        <v>0</v>
      </c>
      <c r="N219" s="18">
        <f>'A) Base RI'!Q219</f>
        <v>4916.4799999999996</v>
      </c>
      <c r="O219" s="18">
        <f t="shared" si="19"/>
        <v>69497.375</v>
      </c>
      <c r="P219" s="18">
        <f>'A) Base RI'!L219</f>
        <v>55597.9</v>
      </c>
      <c r="Q219" s="64">
        <f>'A) Base RI'!AR219</f>
        <v>0.8</v>
      </c>
      <c r="R219" s="4">
        <f t="shared" si="20"/>
        <v>1039173.925</v>
      </c>
      <c r="S219" s="63">
        <f>'A) Base RI'!AM219</f>
        <v>73</v>
      </c>
      <c r="T219" s="4">
        <f t="shared" si="21"/>
        <v>966326.55</v>
      </c>
      <c r="U219" s="4">
        <f t="shared" si="22"/>
        <v>14235.259246575342</v>
      </c>
      <c r="V219" s="18">
        <f>'A) Base RI'!O219</f>
        <v>59445.1</v>
      </c>
      <c r="W219" s="18">
        <f>'A) Base RI'!P219</f>
        <v>11588.5</v>
      </c>
      <c r="X219" s="18">
        <f>'A) Base RI'!R219</f>
        <v>49772.1</v>
      </c>
      <c r="Y219" s="4">
        <f t="shared" si="23"/>
        <v>120805.70000000001</v>
      </c>
      <c r="Z219" s="18">
        <f>'A) Base RI'!N219</f>
        <v>27744.9</v>
      </c>
      <c r="AA219" s="18">
        <f>'A) Base RI'!S219+'A) Base RI'!T219</f>
        <v>125</v>
      </c>
      <c r="AB219" s="18">
        <f>'A) Base RI'!U219</f>
        <v>1675</v>
      </c>
      <c r="AC219" s="18">
        <f>'A) Base RI'!V219</f>
        <v>0</v>
      </c>
      <c r="AD219" s="18">
        <f>'A) Base RI'!W219</f>
        <v>0</v>
      </c>
      <c r="AE219" s="18">
        <f>'A) Base RI'!Y219</f>
        <v>37542</v>
      </c>
      <c r="AF219" s="18">
        <f>'A) Base RI'!Z219</f>
        <v>0</v>
      </c>
      <c r="AG219" s="18">
        <f>'A) Base RI'!AA219</f>
        <v>71977.399999999994</v>
      </c>
      <c r="AH219" s="18">
        <f>'A) Base RI'!AB219</f>
        <v>0</v>
      </c>
      <c r="AI219" s="18">
        <f>'A) Base RI'!AC219</f>
        <v>24317.45</v>
      </c>
      <c r="AJ219" s="18">
        <f>'A) Base RI'!AD219</f>
        <v>675</v>
      </c>
      <c r="AK219" s="18">
        <f>'A) Base RI'!AE219</f>
        <v>250</v>
      </c>
      <c r="AL219" s="18">
        <f>'A) Base RI'!AF219</f>
        <v>17438.400000000001</v>
      </c>
      <c r="AM219" s="18">
        <f>'A) Base RI'!AG219</f>
        <v>1653.1</v>
      </c>
      <c r="AN219" s="18">
        <f>'A) Base RI'!AH219</f>
        <v>0</v>
      </c>
      <c r="AO219" s="18">
        <f>'A) Base RI'!AI219</f>
        <v>0</v>
      </c>
      <c r="AP219" s="18">
        <f>'A) Base RI'!AJ219</f>
        <v>0</v>
      </c>
      <c r="AQ219" s="18">
        <f>'A) Base RI'!AK219</f>
        <v>0</v>
      </c>
      <c r="AR219" s="18">
        <f>'A) Base RI'!AN219</f>
        <v>615</v>
      </c>
    </row>
    <row r="220" spans="1:44" x14ac:dyDescent="0.25">
      <c r="A220" s="13">
        <f>'A) Base RI'!A220</f>
        <v>5744</v>
      </c>
      <c r="B220" s="62" t="str">
        <f>'A) Base RI'!B220</f>
        <v>Ballaigues</v>
      </c>
      <c r="C220" s="18">
        <f>'A) Base RI'!C220+'A) Base RI'!D220</f>
        <v>1479180.36</v>
      </c>
      <c r="D220" s="18">
        <f>'A) Base RI'!AO220</f>
        <v>-30920.77</v>
      </c>
      <c r="E220" s="61">
        <f>'A) Base RI'!AP220</f>
        <v>0</v>
      </c>
      <c r="F220" s="61">
        <f>'A) Base RI'!AQ220</f>
        <v>-956.95</v>
      </c>
      <c r="G220" s="4">
        <f t="shared" si="18"/>
        <v>1447302.6400000001</v>
      </c>
      <c r="H220" s="18">
        <f>'A) Base RI'!E220</f>
        <v>0</v>
      </c>
      <c r="I220" s="18">
        <f>'A) Base RI'!F220</f>
        <v>5590</v>
      </c>
      <c r="J220" s="18">
        <f>'A) Base RI'!G220+'A) Base RI'!H220</f>
        <v>4883231.8</v>
      </c>
      <c r="K220" s="18">
        <f>'A) Base RI'!I220</f>
        <v>0</v>
      </c>
      <c r="L220" s="18">
        <f>'A) Base RI'!J220</f>
        <v>108700.05</v>
      </c>
      <c r="M220" s="18">
        <f>'A) Base RI'!K220</f>
        <v>0</v>
      </c>
      <c r="N220" s="18">
        <f>'A) Base RI'!Q220</f>
        <v>5934.4</v>
      </c>
      <c r="O220" s="18">
        <f t="shared" si="19"/>
        <v>136047</v>
      </c>
      <c r="P220" s="18">
        <f>'A) Base RI'!L220</f>
        <v>136047</v>
      </c>
      <c r="Q220" s="64">
        <f>'A) Base RI'!AR220</f>
        <v>1</v>
      </c>
      <c r="R220" s="4">
        <f t="shared" si="20"/>
        <v>6586805.8899999997</v>
      </c>
      <c r="S220" s="63">
        <f>'A) Base RI'!AM220</f>
        <v>66</v>
      </c>
      <c r="T220" s="4">
        <f t="shared" si="21"/>
        <v>6445168.8899999997</v>
      </c>
      <c r="U220" s="4">
        <f t="shared" si="22"/>
        <v>99800.089242424234</v>
      </c>
      <c r="V220" s="18">
        <f>'A) Base RI'!O220</f>
        <v>67607</v>
      </c>
      <c r="W220" s="18">
        <f>'A) Base RI'!P220</f>
        <v>39744.300000000003</v>
      </c>
      <c r="X220" s="18">
        <f>'A) Base RI'!R220</f>
        <v>58794.400000000001</v>
      </c>
      <c r="Y220" s="4">
        <f t="shared" si="23"/>
        <v>166145.70000000001</v>
      </c>
      <c r="Z220" s="18">
        <f>'A) Base RI'!N220</f>
        <v>817380.1</v>
      </c>
      <c r="AA220" s="18">
        <f>'A) Base RI'!S220+'A) Base RI'!T220</f>
        <v>87.6</v>
      </c>
      <c r="AB220" s="18">
        <f>'A) Base RI'!U220</f>
        <v>4405</v>
      </c>
      <c r="AC220" s="18">
        <f>'A) Base RI'!V220</f>
        <v>300</v>
      </c>
      <c r="AD220" s="18">
        <f>'A) Base RI'!W220</f>
        <v>0</v>
      </c>
      <c r="AE220" s="18">
        <f>'A) Base RI'!Y220</f>
        <v>7906</v>
      </c>
      <c r="AF220" s="18">
        <f>'A) Base RI'!Z220</f>
        <v>0</v>
      </c>
      <c r="AG220" s="18">
        <f>'A) Base RI'!AA220</f>
        <v>64574</v>
      </c>
      <c r="AH220" s="18">
        <f>'A) Base RI'!AB220</f>
        <v>0</v>
      </c>
      <c r="AI220" s="18">
        <f>'A) Base RI'!AC220</f>
        <v>92426.94</v>
      </c>
      <c r="AJ220" s="18">
        <f>'A) Base RI'!AD220</f>
        <v>11671</v>
      </c>
      <c r="AK220" s="18">
        <f>'A) Base RI'!AE220</f>
        <v>0</v>
      </c>
      <c r="AL220" s="18">
        <f>'A) Base RI'!AF220</f>
        <v>0</v>
      </c>
      <c r="AM220" s="18">
        <f>'A) Base RI'!AG220</f>
        <v>0</v>
      </c>
      <c r="AN220" s="18">
        <f>'A) Base RI'!AH220</f>
        <v>95374.17</v>
      </c>
      <c r="AO220" s="18">
        <f>'A) Base RI'!AI220</f>
        <v>0</v>
      </c>
      <c r="AP220" s="18">
        <f>'A) Base RI'!AJ220</f>
        <v>0</v>
      </c>
      <c r="AQ220" s="18">
        <f>'A) Base RI'!AK220</f>
        <v>0</v>
      </c>
      <c r="AR220" s="18">
        <f>'A) Base RI'!AN220</f>
        <v>1037</v>
      </c>
    </row>
    <row r="221" spans="1:44" x14ac:dyDescent="0.25">
      <c r="A221" s="13">
        <f>'A) Base RI'!A221</f>
        <v>5745</v>
      </c>
      <c r="B221" s="62" t="str">
        <f>'A) Base RI'!B221</f>
        <v>Baulmes</v>
      </c>
      <c r="C221" s="18">
        <f>'A) Base RI'!C221+'A) Base RI'!D221</f>
        <v>1904224.56</v>
      </c>
      <c r="D221" s="18">
        <f>'A) Base RI'!AO221</f>
        <v>-22680.51</v>
      </c>
      <c r="E221" s="61">
        <f>'A) Base RI'!AP221</f>
        <v>0</v>
      </c>
      <c r="F221" s="61">
        <f>'A) Base RI'!AQ221</f>
        <v>-244.23</v>
      </c>
      <c r="G221" s="4">
        <f t="shared" si="18"/>
        <v>1881299.82</v>
      </c>
      <c r="H221" s="18">
        <f>'A) Base RI'!E221</f>
        <v>0</v>
      </c>
      <c r="I221" s="18">
        <f>'A) Base RI'!F221</f>
        <v>0</v>
      </c>
      <c r="J221" s="18">
        <f>'A) Base RI'!G221+'A) Base RI'!H221</f>
        <v>102787.34999999999</v>
      </c>
      <c r="K221" s="18">
        <f>'A) Base RI'!I221</f>
        <v>0</v>
      </c>
      <c r="L221" s="18">
        <f>'A) Base RI'!J221</f>
        <v>30899.94</v>
      </c>
      <c r="M221" s="18">
        <f>'A) Base RI'!K221</f>
        <v>0</v>
      </c>
      <c r="N221" s="18">
        <f>'A) Base RI'!Q221</f>
        <v>-767.32</v>
      </c>
      <c r="O221" s="18">
        <f t="shared" si="19"/>
        <v>114141</v>
      </c>
      <c r="P221" s="18">
        <f>'A) Base RI'!L221</f>
        <v>114141</v>
      </c>
      <c r="Q221" s="64">
        <f>'A) Base RI'!AR221</f>
        <v>1</v>
      </c>
      <c r="R221" s="4">
        <f t="shared" si="20"/>
        <v>2128360.79</v>
      </c>
      <c r="S221" s="63">
        <f>'A) Base RI'!AM221</f>
        <v>78</v>
      </c>
      <c r="T221" s="4">
        <f t="shared" si="21"/>
        <v>2014219.79</v>
      </c>
      <c r="U221" s="4">
        <f t="shared" si="22"/>
        <v>27286.676794871797</v>
      </c>
      <c r="V221" s="18">
        <f>'A) Base RI'!O221</f>
        <v>0</v>
      </c>
      <c r="W221" s="18">
        <f>'A) Base RI'!P221</f>
        <v>34325</v>
      </c>
      <c r="X221" s="18">
        <f>'A) Base RI'!R221</f>
        <v>17616.7</v>
      </c>
      <c r="Y221" s="4">
        <f t="shared" si="23"/>
        <v>51941.7</v>
      </c>
      <c r="Z221" s="18">
        <f>'A) Base RI'!N221</f>
        <v>199337.60000000001</v>
      </c>
      <c r="AA221" s="18">
        <f>'A) Base RI'!S221+'A) Base RI'!T221</f>
        <v>187.5</v>
      </c>
      <c r="AB221" s="18">
        <f>'A) Base RI'!U221</f>
        <v>4200</v>
      </c>
      <c r="AC221" s="18">
        <f>'A) Base RI'!V221</f>
        <v>0</v>
      </c>
      <c r="AD221" s="18">
        <f>'A) Base RI'!W221</f>
        <v>0</v>
      </c>
      <c r="AE221" s="18">
        <f>'A) Base RI'!Y221</f>
        <v>768.7</v>
      </c>
      <c r="AF221" s="18">
        <f>'A) Base RI'!Z221</f>
        <v>0</v>
      </c>
      <c r="AG221" s="18">
        <f>'A) Base RI'!AA221</f>
        <v>135096.03</v>
      </c>
      <c r="AH221" s="18">
        <f>'A) Base RI'!AB221</f>
        <v>0</v>
      </c>
      <c r="AI221" s="18">
        <f>'A) Base RI'!AC221</f>
        <v>72755.45</v>
      </c>
      <c r="AJ221" s="18">
        <f>'A) Base RI'!AD221</f>
        <v>20839</v>
      </c>
      <c r="AK221" s="18">
        <f>'A) Base RI'!AE221</f>
        <v>0</v>
      </c>
      <c r="AL221" s="18">
        <f>'A) Base RI'!AF221</f>
        <v>0</v>
      </c>
      <c r="AM221" s="18">
        <f>'A) Base RI'!AG221</f>
        <v>0</v>
      </c>
      <c r="AN221" s="18">
        <f>'A) Base RI'!AH221</f>
        <v>0</v>
      </c>
      <c r="AO221" s="18">
        <f>'A) Base RI'!AI221</f>
        <v>0</v>
      </c>
      <c r="AP221" s="18">
        <f>'A) Base RI'!AJ221</f>
        <v>0</v>
      </c>
      <c r="AQ221" s="18">
        <f>'A) Base RI'!AK221</f>
        <v>0</v>
      </c>
      <c r="AR221" s="18">
        <f>'A) Base RI'!AN221</f>
        <v>1019</v>
      </c>
    </row>
    <row r="222" spans="1:44" x14ac:dyDescent="0.25">
      <c r="A222" s="13">
        <f>'A) Base RI'!A222</f>
        <v>5746</v>
      </c>
      <c r="B222" s="62" t="str">
        <f>'A) Base RI'!B222</f>
        <v>Bavois</v>
      </c>
      <c r="C222" s="18">
        <f>'A) Base RI'!C222+'A) Base RI'!D222</f>
        <v>1586206.3099999998</v>
      </c>
      <c r="D222" s="18">
        <f>'A) Base RI'!AO222</f>
        <v>-55716.42</v>
      </c>
      <c r="E222" s="61">
        <f>'A) Base RI'!AP222</f>
        <v>0</v>
      </c>
      <c r="F222" s="61">
        <f>'A) Base RI'!AQ222</f>
        <v>-34.86</v>
      </c>
      <c r="G222" s="4">
        <f t="shared" si="18"/>
        <v>1530455.0299999998</v>
      </c>
      <c r="H222" s="18">
        <f>'A) Base RI'!E222</f>
        <v>0</v>
      </c>
      <c r="I222" s="18">
        <f>'A) Base RI'!F222</f>
        <v>0</v>
      </c>
      <c r="J222" s="18">
        <f>'A) Base RI'!G222+'A) Base RI'!H222</f>
        <v>91741.799999999988</v>
      </c>
      <c r="K222" s="18">
        <f>'A) Base RI'!I222</f>
        <v>0</v>
      </c>
      <c r="L222" s="18">
        <f>'A) Base RI'!J222</f>
        <v>50468.67</v>
      </c>
      <c r="M222" s="18">
        <f>'A) Base RI'!K222</f>
        <v>0</v>
      </c>
      <c r="N222" s="18">
        <f>'A) Base RI'!Q222</f>
        <v>2139.21</v>
      </c>
      <c r="O222" s="18">
        <f t="shared" si="19"/>
        <v>147322.04166666669</v>
      </c>
      <c r="P222" s="18">
        <f>'A) Base RI'!L222</f>
        <v>176786.45</v>
      </c>
      <c r="Q222" s="64">
        <f>'A) Base RI'!AR222</f>
        <v>1.2</v>
      </c>
      <c r="R222" s="4">
        <f t="shared" si="20"/>
        <v>1822126.7516666665</v>
      </c>
      <c r="S222" s="63">
        <f>'A) Base RI'!AM222</f>
        <v>73</v>
      </c>
      <c r="T222" s="4">
        <f t="shared" si="21"/>
        <v>1674804.7099999997</v>
      </c>
      <c r="U222" s="4">
        <f t="shared" si="22"/>
        <v>24960.640433789951</v>
      </c>
      <c r="V222" s="18">
        <f>'A) Base RI'!O222</f>
        <v>65863.199999999997</v>
      </c>
      <c r="W222" s="18">
        <f>'A) Base RI'!P222</f>
        <v>42216.800000000003</v>
      </c>
      <c r="X222" s="18">
        <f>'A) Base RI'!R222</f>
        <v>7672.45</v>
      </c>
      <c r="Y222" s="4">
        <f t="shared" si="23"/>
        <v>115752.45</v>
      </c>
      <c r="Z222" s="18">
        <f>'A) Base RI'!N222</f>
        <v>20393.25</v>
      </c>
      <c r="AA222" s="18">
        <f>'A) Base RI'!S222+'A) Base RI'!T222</f>
        <v>1050</v>
      </c>
      <c r="AB222" s="18">
        <f>'A) Base RI'!U222</f>
        <v>4170</v>
      </c>
      <c r="AC222" s="18">
        <f>'A) Base RI'!V222</f>
        <v>565.20000000000005</v>
      </c>
      <c r="AD222" s="18">
        <f>'A) Base RI'!W222</f>
        <v>0</v>
      </c>
      <c r="AE222" s="18">
        <f>'A) Base RI'!Y222</f>
        <v>7625.85</v>
      </c>
      <c r="AF222" s="18">
        <f>'A) Base RI'!Z222</f>
        <v>0</v>
      </c>
      <c r="AG222" s="18">
        <f>'A) Base RI'!AA222</f>
        <v>73419.100000000006</v>
      </c>
      <c r="AH222" s="18">
        <f>'A) Base RI'!AB222</f>
        <v>0</v>
      </c>
      <c r="AI222" s="18">
        <f>'A) Base RI'!AC222</f>
        <v>57928.6</v>
      </c>
      <c r="AJ222" s="18">
        <f>'A) Base RI'!AD222</f>
        <v>-465.2</v>
      </c>
      <c r="AK222" s="18">
        <f>'A) Base RI'!AE222</f>
        <v>0</v>
      </c>
      <c r="AL222" s="18">
        <f>'A) Base RI'!AF222</f>
        <v>0</v>
      </c>
      <c r="AM222" s="18">
        <f>'A) Base RI'!AG222</f>
        <v>0</v>
      </c>
      <c r="AN222" s="18">
        <f>'A) Base RI'!AH222</f>
        <v>30435.5</v>
      </c>
      <c r="AO222" s="18">
        <f>'A) Base RI'!AI222</f>
        <v>0</v>
      </c>
      <c r="AP222" s="18">
        <f>'A) Base RI'!AJ222</f>
        <v>0</v>
      </c>
      <c r="AQ222" s="18">
        <f>'A) Base RI'!AK222</f>
        <v>0</v>
      </c>
      <c r="AR222" s="18">
        <f>'A) Base RI'!AN222</f>
        <v>919</v>
      </c>
    </row>
    <row r="223" spans="1:44" x14ac:dyDescent="0.25">
      <c r="A223" s="13">
        <f>'A) Base RI'!A223</f>
        <v>5747</v>
      </c>
      <c r="B223" s="62" t="str">
        <f>'A) Base RI'!B223</f>
        <v>Bofflens</v>
      </c>
      <c r="C223" s="18">
        <f>'A) Base RI'!C223+'A) Base RI'!D223</f>
        <v>312632.31</v>
      </c>
      <c r="D223" s="18">
        <f>'A) Base RI'!AO223</f>
        <v>-404.57</v>
      </c>
      <c r="E223" s="61">
        <f>'A) Base RI'!AP223</f>
        <v>0</v>
      </c>
      <c r="F223" s="61">
        <f>'A) Base RI'!AQ223</f>
        <v>-0.04</v>
      </c>
      <c r="G223" s="4">
        <f t="shared" si="18"/>
        <v>312227.7</v>
      </c>
      <c r="H223" s="18">
        <f>'A) Base RI'!E223</f>
        <v>0</v>
      </c>
      <c r="I223" s="18">
        <f>'A) Base RI'!F223</f>
        <v>0</v>
      </c>
      <c r="J223" s="18">
        <f>'A) Base RI'!G223+'A) Base RI'!H223</f>
        <v>34829.550000000003</v>
      </c>
      <c r="K223" s="18">
        <f>'A) Base RI'!I223</f>
        <v>0</v>
      </c>
      <c r="L223" s="18">
        <f>'A) Base RI'!J223</f>
        <v>3708.78</v>
      </c>
      <c r="M223" s="18">
        <f>'A) Base RI'!K223</f>
        <v>0</v>
      </c>
      <c r="N223" s="18">
        <f>'A) Base RI'!Q223</f>
        <v>0</v>
      </c>
      <c r="O223" s="18">
        <f t="shared" si="19"/>
        <v>24886.85</v>
      </c>
      <c r="P223" s="18">
        <f>'A) Base RI'!L223</f>
        <v>24886.85</v>
      </c>
      <c r="Q223" s="64">
        <f>'A) Base RI'!AR223</f>
        <v>1</v>
      </c>
      <c r="R223" s="4">
        <f t="shared" si="20"/>
        <v>375652.88</v>
      </c>
      <c r="S223" s="63">
        <f>'A) Base RI'!AM223</f>
        <v>69</v>
      </c>
      <c r="T223" s="4">
        <f t="shared" si="21"/>
        <v>350766.03</v>
      </c>
      <c r="U223" s="4">
        <f t="shared" si="22"/>
        <v>5444.2446376811595</v>
      </c>
      <c r="V223" s="18">
        <v>0</v>
      </c>
      <c r="W223" s="18">
        <f>'A) Base RI'!P223</f>
        <v>8354.9500000000007</v>
      </c>
      <c r="X223" s="18">
        <f>'A) Base RI'!R223</f>
        <v>19220.3</v>
      </c>
      <c r="Y223" s="4">
        <f t="shared" si="23"/>
        <v>27575.25</v>
      </c>
      <c r="Z223" s="18">
        <f>'A) Base RI'!N223</f>
        <v>2262.3000000000002</v>
      </c>
      <c r="AA223" s="18">
        <f>'A) Base RI'!S223+'A) Base RI'!T223</f>
        <v>0</v>
      </c>
      <c r="AB223" s="18">
        <f>'A) Base RI'!U223</f>
        <v>660</v>
      </c>
      <c r="AC223" s="18">
        <f>'A) Base RI'!V223</f>
        <v>0</v>
      </c>
      <c r="AD223" s="18">
        <f>'A) Base RI'!W223</f>
        <v>0</v>
      </c>
      <c r="AE223" s="18">
        <f>'A) Base RI'!Y223</f>
        <v>0</v>
      </c>
      <c r="AF223" s="18">
        <f>'A) Base RI'!Z223</f>
        <v>0</v>
      </c>
      <c r="AG223" s="18">
        <f>'A) Base RI'!AA223</f>
        <v>28135</v>
      </c>
      <c r="AH223" s="18">
        <f>'A) Base RI'!AB223</f>
        <v>0</v>
      </c>
      <c r="AI223" s="18">
        <f>'A) Base RI'!AC223</f>
        <v>15337</v>
      </c>
      <c r="AJ223" s="18">
        <f>'A) Base RI'!AD223</f>
        <v>0</v>
      </c>
      <c r="AK223" s="18">
        <f>'A) Base RI'!AE223</f>
        <v>8400</v>
      </c>
      <c r="AL223" s="18">
        <f>'A) Base RI'!AF223</f>
        <v>0</v>
      </c>
      <c r="AM223" s="18">
        <f>'A) Base RI'!AG223</f>
        <v>0</v>
      </c>
      <c r="AN223" s="18">
        <f>'A) Base RI'!AH223</f>
        <v>0</v>
      </c>
      <c r="AO223" s="18">
        <f>'A) Base RI'!AI223</f>
        <v>0</v>
      </c>
      <c r="AP223" s="18">
        <f>'A) Base RI'!AJ223</f>
        <v>0</v>
      </c>
      <c r="AQ223" s="18">
        <f>'A) Base RI'!AK223</f>
        <v>0</v>
      </c>
      <c r="AR223" s="18">
        <f>'A) Base RI'!AN223</f>
        <v>189</v>
      </c>
    </row>
    <row r="224" spans="1:44" x14ac:dyDescent="0.25">
      <c r="A224" s="13">
        <f>'A) Base RI'!A224</f>
        <v>5748</v>
      </c>
      <c r="B224" s="62" t="str">
        <f>'A) Base RI'!B224</f>
        <v>Bretonnières</v>
      </c>
      <c r="C224" s="18">
        <f>'A) Base RI'!C224+'A) Base RI'!D224</f>
        <v>316817.08</v>
      </c>
      <c r="D224" s="18">
        <f>'A) Base RI'!AO224</f>
        <v>-11744.72</v>
      </c>
      <c r="E224" s="61">
        <f>'A) Base RI'!AP224</f>
        <v>0</v>
      </c>
      <c r="F224" s="61">
        <f>'A) Base RI'!AQ224</f>
        <v>0</v>
      </c>
      <c r="G224" s="4">
        <f t="shared" si="18"/>
        <v>305072.36000000004</v>
      </c>
      <c r="H224" s="18">
        <f>'A) Base RI'!E224</f>
        <v>0</v>
      </c>
      <c r="I224" s="18">
        <f>'A) Base RI'!F224</f>
        <v>2000</v>
      </c>
      <c r="J224" s="18">
        <f>'A) Base RI'!G224+'A) Base RI'!H224</f>
        <v>5389.6</v>
      </c>
      <c r="K224" s="18">
        <f>'A) Base RI'!I224</f>
        <v>0</v>
      </c>
      <c r="L224" s="18">
        <f>'A) Base RI'!J224</f>
        <v>-895.68</v>
      </c>
      <c r="M224" s="18">
        <f>'A) Base RI'!K224</f>
        <v>0</v>
      </c>
      <c r="N224" s="18">
        <f>'A) Base RI'!Q224</f>
        <v>94.44</v>
      </c>
      <c r="O224" s="18">
        <f t="shared" si="19"/>
        <v>28093</v>
      </c>
      <c r="P224" s="18">
        <f>'A) Base RI'!L224</f>
        <v>16855.8</v>
      </c>
      <c r="Q224" s="64">
        <f>'A) Base RI'!AR224</f>
        <v>0.6</v>
      </c>
      <c r="R224" s="4">
        <f t="shared" si="20"/>
        <v>339753.72000000003</v>
      </c>
      <c r="S224" s="63">
        <f>'A) Base RI'!AM224</f>
        <v>70</v>
      </c>
      <c r="T224" s="4">
        <f t="shared" si="21"/>
        <v>309660.72000000003</v>
      </c>
      <c r="U224" s="4">
        <f t="shared" si="22"/>
        <v>4853.6245714285715</v>
      </c>
      <c r="V224" s="18">
        <v>0</v>
      </c>
      <c r="W224" s="18">
        <f>'A) Base RI'!P224</f>
        <v>24170.7</v>
      </c>
      <c r="X224" s="18">
        <f>'A) Base RI'!R224</f>
        <v>16390.8</v>
      </c>
      <c r="Y224" s="4">
        <f t="shared" si="23"/>
        <v>40561.5</v>
      </c>
      <c r="Z224" s="18">
        <f>'A) Base RI'!N224</f>
        <v>4947.1499999999996</v>
      </c>
      <c r="AA224" s="18">
        <f>'A) Base RI'!S224+'A) Base RI'!T224</f>
        <v>0</v>
      </c>
      <c r="AB224" s="18">
        <f>'A) Base RI'!U224</f>
        <v>1200</v>
      </c>
      <c r="AC224" s="18">
        <f>'A) Base RI'!V224</f>
        <v>0</v>
      </c>
      <c r="AD224" s="18">
        <f>'A) Base RI'!W224</f>
        <v>0</v>
      </c>
      <c r="AE224" s="18">
        <f>'A) Base RI'!Y224</f>
        <v>0</v>
      </c>
      <c r="AF224" s="18">
        <f>'A) Base RI'!Z224</f>
        <v>140.6</v>
      </c>
      <c r="AG224" s="18">
        <f>'A) Base RI'!AA224</f>
        <v>24780</v>
      </c>
      <c r="AH224" s="18">
        <f>'A) Base RI'!AB224</f>
        <v>0</v>
      </c>
      <c r="AI224" s="18">
        <f>'A) Base RI'!AC224</f>
        <v>20487.95</v>
      </c>
      <c r="AJ224" s="18">
        <f>'A) Base RI'!AD224</f>
        <v>0</v>
      </c>
      <c r="AK224" s="18">
        <f>'A) Base RI'!AE224</f>
        <v>281.2</v>
      </c>
      <c r="AL224" s="18">
        <f>'A) Base RI'!AF224</f>
        <v>0</v>
      </c>
      <c r="AM224" s="18">
        <f>'A) Base RI'!AG224</f>
        <v>0</v>
      </c>
      <c r="AN224" s="18">
        <f>'A) Base RI'!AH224</f>
        <v>0</v>
      </c>
      <c r="AO224" s="18">
        <f>'A) Base RI'!AI224</f>
        <v>0</v>
      </c>
      <c r="AP224" s="18">
        <f>'A) Base RI'!AJ224</f>
        <v>0</v>
      </c>
      <c r="AQ224" s="18">
        <f>'A) Base RI'!AK224</f>
        <v>0</v>
      </c>
      <c r="AR224" s="18">
        <f>'A) Base RI'!AN224</f>
        <v>236</v>
      </c>
    </row>
    <row r="225" spans="1:44" x14ac:dyDescent="0.25">
      <c r="A225" s="13">
        <f>'A) Base RI'!A225</f>
        <v>5749</v>
      </c>
      <c r="B225" s="62" t="str">
        <f>'A) Base RI'!B225</f>
        <v>Chavornay</v>
      </c>
      <c r="C225" s="18">
        <f>'A) Base RI'!C225+'A) Base RI'!D225</f>
        <v>6996114.3200000003</v>
      </c>
      <c r="D225" s="18">
        <f>'A) Base RI'!AO225</f>
        <v>-190671.69</v>
      </c>
      <c r="E225" s="61">
        <f>'A) Base RI'!AP225</f>
        <v>0</v>
      </c>
      <c r="F225" s="61">
        <f>'A) Base RI'!AQ225</f>
        <v>-266.69</v>
      </c>
      <c r="G225" s="4">
        <f t="shared" si="18"/>
        <v>6805175.9399999995</v>
      </c>
      <c r="H225" s="18">
        <f>'A) Base RI'!E225</f>
        <v>66974</v>
      </c>
      <c r="I225" s="18">
        <f>'A) Base RI'!F225</f>
        <v>0</v>
      </c>
      <c r="J225" s="18">
        <f>'A) Base RI'!G225+'A) Base RI'!H225</f>
        <v>1060873.05</v>
      </c>
      <c r="K225" s="18">
        <f>'A) Base RI'!I225</f>
        <v>10415.299999999999</v>
      </c>
      <c r="L225" s="18">
        <f>'A) Base RI'!J225</f>
        <v>267843.32</v>
      </c>
      <c r="M225" s="18">
        <f>'A) Base RI'!K225</f>
        <v>30621</v>
      </c>
      <c r="N225" s="18">
        <f>'A) Base RI'!Q225</f>
        <v>34396</v>
      </c>
      <c r="O225" s="18">
        <f t="shared" si="19"/>
        <v>542925.80000000005</v>
      </c>
      <c r="P225" s="18">
        <f>'A) Base RI'!L225</f>
        <v>542925.80000000005</v>
      </c>
      <c r="Q225" s="64">
        <f>'A) Base RI'!AR225</f>
        <v>1</v>
      </c>
      <c r="R225" s="4">
        <f t="shared" si="20"/>
        <v>8819224.4100000001</v>
      </c>
      <c r="S225" s="63">
        <f>'A) Base RI'!AM225</f>
        <v>72</v>
      </c>
      <c r="T225" s="4">
        <f t="shared" si="21"/>
        <v>8245677.6099999994</v>
      </c>
      <c r="U225" s="4">
        <f t="shared" si="22"/>
        <v>122489.22791666667</v>
      </c>
      <c r="V225" s="18">
        <f>'A) Base RI'!O225</f>
        <v>71764.3</v>
      </c>
      <c r="W225" s="18">
        <f>'A) Base RI'!P225</f>
        <v>331411.34999999998</v>
      </c>
      <c r="X225" s="18">
        <f>'A) Base RI'!R225</f>
        <v>228115.55</v>
      </c>
      <c r="Y225" s="4">
        <f t="shared" si="23"/>
        <v>631291.19999999995</v>
      </c>
      <c r="Z225" s="18">
        <f>'A) Base RI'!N225</f>
        <v>663349.94999999995</v>
      </c>
      <c r="AA225" s="18">
        <f>'A) Base RI'!S225+'A) Base RI'!T225</f>
        <v>3962.5</v>
      </c>
      <c r="AB225" s="18">
        <f>'A) Base RI'!U225</f>
        <v>19920</v>
      </c>
      <c r="AC225" s="18">
        <f>'A) Base RI'!V225</f>
        <v>3400</v>
      </c>
      <c r="AD225" s="18">
        <f>'A) Base RI'!W225</f>
        <v>5648.15</v>
      </c>
      <c r="AE225" s="18">
        <f>'A) Base RI'!Y225</f>
        <v>52494.35</v>
      </c>
      <c r="AF225" s="18">
        <f>'A) Base RI'!Z225</f>
        <v>0</v>
      </c>
      <c r="AG225" s="18">
        <f>'A) Base RI'!AA225</f>
        <v>453942.05</v>
      </c>
      <c r="AH225" s="18">
        <f>'A) Base RI'!AB225</f>
        <v>0</v>
      </c>
      <c r="AI225" s="18">
        <f>'A) Base RI'!AC225</f>
        <v>440133.65</v>
      </c>
      <c r="AJ225" s="18">
        <f>'A) Base RI'!AD225</f>
        <v>52494.35</v>
      </c>
      <c r="AK225" s="18">
        <f>'A) Base RI'!AE225</f>
        <v>0</v>
      </c>
      <c r="AL225" s="18">
        <f>'A) Base RI'!AF225</f>
        <v>0</v>
      </c>
      <c r="AM225" s="18">
        <f>'A) Base RI'!AG225</f>
        <v>0</v>
      </c>
      <c r="AN225" s="18">
        <f>'A) Base RI'!AH225</f>
        <v>151023.79999999999</v>
      </c>
      <c r="AO225" s="18">
        <f>'A) Base RI'!AI225</f>
        <v>0</v>
      </c>
      <c r="AP225" s="18">
        <f>'A) Base RI'!AJ225</f>
        <v>0</v>
      </c>
      <c r="AQ225" s="18">
        <f>'A) Base RI'!AK225</f>
        <v>0</v>
      </c>
      <c r="AR225" s="18">
        <f>'A) Base RI'!AN225</f>
        <v>4050</v>
      </c>
    </row>
    <row r="226" spans="1:44" x14ac:dyDescent="0.25">
      <c r="A226" s="13">
        <f>'A) Base RI'!A226</f>
        <v>5750</v>
      </c>
      <c r="B226" s="62" t="str">
        <f>'A) Base RI'!B226</f>
        <v>Les Clées</v>
      </c>
      <c r="C226" s="18">
        <f>'A) Base RI'!C226+'A) Base RI'!D226</f>
        <v>349568.5</v>
      </c>
      <c r="D226" s="18">
        <f>'A) Base RI'!AO226</f>
        <v>-1515.7</v>
      </c>
      <c r="E226" s="61">
        <f>'A) Base RI'!AP226</f>
        <v>0</v>
      </c>
      <c r="F226" s="61">
        <f>'A) Base RI'!AQ226</f>
        <v>0</v>
      </c>
      <c r="G226" s="4">
        <f t="shared" si="18"/>
        <v>348052.8</v>
      </c>
      <c r="H226" s="18">
        <f>'A) Base RI'!E226</f>
        <v>920</v>
      </c>
      <c r="I226" s="18">
        <f>'A) Base RI'!F226</f>
        <v>0</v>
      </c>
      <c r="J226" s="18">
        <f>'A) Base RI'!G226+'A) Base RI'!H226</f>
        <v>948.65000000000009</v>
      </c>
      <c r="K226" s="18">
        <f>'A) Base RI'!I226</f>
        <v>0</v>
      </c>
      <c r="L226" s="18">
        <f>'A) Base RI'!J226</f>
        <v>9040</v>
      </c>
      <c r="M226" s="18">
        <f>'A) Base RI'!K226</f>
        <v>690.5</v>
      </c>
      <c r="N226" s="18">
        <f>'A) Base RI'!Q226</f>
        <v>782.59</v>
      </c>
      <c r="O226" s="18">
        <f t="shared" si="19"/>
        <v>19212.833333333336</v>
      </c>
      <c r="P226" s="18">
        <f>'A) Base RI'!L226</f>
        <v>11527.7</v>
      </c>
      <c r="Q226" s="64">
        <f>'A) Base RI'!AR226</f>
        <v>0.6</v>
      </c>
      <c r="R226" s="4">
        <f t="shared" si="20"/>
        <v>379647.37333333335</v>
      </c>
      <c r="S226" s="63">
        <f>'A) Base RI'!AM226</f>
        <v>80</v>
      </c>
      <c r="T226" s="4">
        <f t="shared" si="21"/>
        <v>359744.04000000004</v>
      </c>
      <c r="U226" s="4">
        <f t="shared" si="22"/>
        <v>4745.5921666666673</v>
      </c>
      <c r="V226" s="18">
        <v>0</v>
      </c>
      <c r="W226" s="18">
        <f>'A) Base RI'!P226</f>
        <v>3323.5</v>
      </c>
      <c r="X226" s="18">
        <v>0</v>
      </c>
      <c r="Y226" s="4">
        <f t="shared" si="23"/>
        <v>3323.5</v>
      </c>
      <c r="Z226" s="18">
        <f>'A) Base RI'!N226</f>
        <v>4404.8500000000004</v>
      </c>
      <c r="AA226" s="18">
        <f>'A) Base RI'!S226+'A) Base RI'!T226</f>
        <v>0</v>
      </c>
      <c r="AB226" s="18">
        <f>'A) Base RI'!U226</f>
        <v>460</v>
      </c>
      <c r="AC226" s="18">
        <f>'A) Base RI'!V226</f>
        <v>0</v>
      </c>
      <c r="AD226" s="18">
        <f>'A) Base RI'!W226</f>
        <v>0</v>
      </c>
      <c r="AE226" s="18">
        <f>'A) Base RI'!Y226</f>
        <v>135.55000000000001</v>
      </c>
      <c r="AF226" s="18">
        <f>'A) Base RI'!Z226</f>
        <v>0</v>
      </c>
      <c r="AG226" s="18">
        <f>'A) Base RI'!AA226</f>
        <v>24507</v>
      </c>
      <c r="AH226" s="18">
        <f>'A) Base RI'!AB226</f>
        <v>0</v>
      </c>
      <c r="AI226" s="18">
        <f>'A) Base RI'!AC226</f>
        <v>15165.7</v>
      </c>
      <c r="AJ226" s="18">
        <f>'A) Base RI'!AD226</f>
        <v>86</v>
      </c>
      <c r="AK226" s="18">
        <f>'A) Base RI'!AE226</f>
        <v>0</v>
      </c>
      <c r="AL226" s="18">
        <f>'A) Base RI'!AF226</f>
        <v>0</v>
      </c>
      <c r="AM226" s="18">
        <f>'A) Base RI'!AG226</f>
        <v>339</v>
      </c>
      <c r="AN226" s="18">
        <f>'A) Base RI'!AH226</f>
        <v>4016.5</v>
      </c>
      <c r="AO226" s="18">
        <f>'A) Base RI'!AI226</f>
        <v>0</v>
      </c>
      <c r="AP226" s="18">
        <f>'A) Base RI'!AJ226</f>
        <v>0</v>
      </c>
      <c r="AQ226" s="18">
        <f>'A) Base RI'!AK226</f>
        <v>0</v>
      </c>
      <c r="AR226" s="18">
        <f>'A) Base RI'!AN226</f>
        <v>176</v>
      </c>
    </row>
    <row r="227" spans="1:44" x14ac:dyDescent="0.25">
      <c r="A227" s="13">
        <f>'A) Base RI'!A227</f>
        <v>5751</v>
      </c>
      <c r="B227" s="62" t="str">
        <f>'A) Base RI'!B227</f>
        <v>Corcelles-sur-Chavornay</v>
      </c>
      <c r="C227" s="18">
        <f>'A) Base RI'!C227+'A) Base RI'!D227</f>
        <v>580133.89</v>
      </c>
      <c r="D227" s="18">
        <f>'A) Base RI'!AO227</f>
        <v>-2217.4299999999998</v>
      </c>
      <c r="E227" s="61">
        <f>'A) Base RI'!AP227</f>
        <v>0</v>
      </c>
      <c r="F227" s="61">
        <f>'A) Base RI'!AQ227</f>
        <v>0</v>
      </c>
      <c r="G227" s="4">
        <f t="shared" si="18"/>
        <v>577916.46</v>
      </c>
      <c r="H227" s="18">
        <f>'A) Base RI'!E227</f>
        <v>0</v>
      </c>
      <c r="I227" s="18">
        <f>'A) Base RI'!F227</f>
        <v>0</v>
      </c>
      <c r="J227" s="18">
        <f>'A) Base RI'!G227+'A) Base RI'!H227</f>
        <v>9429.9</v>
      </c>
      <c r="K227" s="18">
        <f>'A) Base RI'!I227</f>
        <v>0</v>
      </c>
      <c r="L227" s="18">
        <f>'A) Base RI'!J227</f>
        <v>6263.99</v>
      </c>
      <c r="M227" s="18">
        <f>'A) Base RI'!K227</f>
        <v>1900.5</v>
      </c>
      <c r="N227" s="18">
        <f>'A) Base RI'!Q227</f>
        <v>0</v>
      </c>
      <c r="O227" s="18">
        <f t="shared" si="19"/>
        <v>41262.28</v>
      </c>
      <c r="P227" s="18">
        <f>'A) Base RI'!L227</f>
        <v>51577.85</v>
      </c>
      <c r="Q227" s="64">
        <f>'A) Base RI'!AR227</f>
        <v>1.25</v>
      </c>
      <c r="R227" s="4">
        <f t="shared" si="20"/>
        <v>636773.13</v>
      </c>
      <c r="S227" s="63">
        <f>'A) Base RI'!AM227</f>
        <v>76</v>
      </c>
      <c r="T227" s="4">
        <f t="shared" si="21"/>
        <v>593610.35</v>
      </c>
      <c r="U227" s="4">
        <f t="shared" si="22"/>
        <v>8378.5938157894743</v>
      </c>
      <c r="V227" s="18">
        <v>0</v>
      </c>
      <c r="W227" s="18">
        <f>'A) Base RI'!P227</f>
        <v>49048.95</v>
      </c>
      <c r="X227" s="18">
        <f>'A) Base RI'!R227</f>
        <v>25161.75</v>
      </c>
      <c r="Y227" s="4">
        <f t="shared" si="23"/>
        <v>74210.7</v>
      </c>
      <c r="Z227" s="18">
        <f>'A) Base RI'!N227</f>
        <v>14894.5</v>
      </c>
      <c r="AA227" s="18">
        <f>'A) Base RI'!S227+'A) Base RI'!T227</f>
        <v>256.25</v>
      </c>
      <c r="AB227" s="18">
        <f>'A) Base RI'!U227</f>
        <v>1200</v>
      </c>
      <c r="AC227" s="18">
        <f>'A) Base RI'!V227</f>
        <v>0</v>
      </c>
      <c r="AD227" s="18">
        <f>'A) Base RI'!W227</f>
        <v>0</v>
      </c>
      <c r="AE227" s="18">
        <f>'A) Base RI'!Y227</f>
        <v>0</v>
      </c>
      <c r="AF227" s="18">
        <f>'A) Base RI'!Z227</f>
        <v>0</v>
      </c>
      <c r="AG227" s="18">
        <f>'A) Base RI'!AA227</f>
        <v>33873</v>
      </c>
      <c r="AH227" s="18">
        <f>'A) Base RI'!AB227</f>
        <v>0</v>
      </c>
      <c r="AI227" s="18">
        <f>'A) Base RI'!AC227</f>
        <v>27693.45</v>
      </c>
      <c r="AJ227" s="18">
        <f>'A) Base RI'!AD227</f>
        <v>12150</v>
      </c>
      <c r="AK227" s="18">
        <f>'A) Base RI'!AE227</f>
        <v>0</v>
      </c>
      <c r="AL227" s="18">
        <f>'A) Base RI'!AF227</f>
        <v>0</v>
      </c>
      <c r="AM227" s="18">
        <f>'A) Base RI'!AG227</f>
        <v>0</v>
      </c>
      <c r="AN227" s="18">
        <f>'A) Base RI'!AH227</f>
        <v>15919.95</v>
      </c>
      <c r="AO227" s="18">
        <f>'A) Base RI'!AI227</f>
        <v>0</v>
      </c>
      <c r="AP227" s="18">
        <f>'A) Base RI'!AJ227</f>
        <v>0</v>
      </c>
      <c r="AQ227" s="18">
        <f>'A) Base RI'!AK227</f>
        <v>0</v>
      </c>
      <c r="AR227" s="18">
        <f>'A) Base RI'!AN227</f>
        <v>330</v>
      </c>
    </row>
    <row r="228" spans="1:44" x14ac:dyDescent="0.25">
      <c r="A228" s="13">
        <f>'A) Base RI'!A228</f>
        <v>5752</v>
      </c>
      <c r="B228" s="62" t="str">
        <f>'A) Base RI'!B228</f>
        <v>Croy</v>
      </c>
      <c r="C228" s="18">
        <f>'A) Base RI'!C228+'A) Base RI'!D228</f>
        <v>522953.87</v>
      </c>
      <c r="D228" s="18">
        <f>'A) Base RI'!AO228</f>
        <v>-9789.44</v>
      </c>
      <c r="E228" s="61">
        <f>'A) Base RI'!AP228</f>
        <v>0</v>
      </c>
      <c r="F228" s="61">
        <f>'A) Base RI'!AQ228</f>
        <v>0</v>
      </c>
      <c r="G228" s="4">
        <f t="shared" si="18"/>
        <v>513164.43</v>
      </c>
      <c r="H228" s="18">
        <f>'A) Base RI'!E228</f>
        <v>0</v>
      </c>
      <c r="I228" s="18">
        <f>'A) Base RI'!F228</f>
        <v>0</v>
      </c>
      <c r="J228" s="18">
        <f>'A) Base RI'!G228+'A) Base RI'!H228</f>
        <v>43021.600000000006</v>
      </c>
      <c r="K228" s="18">
        <f>'A) Base RI'!I228</f>
        <v>0</v>
      </c>
      <c r="L228" s="18">
        <f>'A) Base RI'!J228</f>
        <v>2371.91</v>
      </c>
      <c r="M228" s="18">
        <f>'A) Base RI'!K228</f>
        <v>-1542.3</v>
      </c>
      <c r="N228" s="18">
        <f>'A) Base RI'!Q228</f>
        <v>1825.8</v>
      </c>
      <c r="O228" s="18">
        <f t="shared" si="19"/>
        <v>42581.142857142862</v>
      </c>
      <c r="P228" s="18">
        <f>'A) Base RI'!L228</f>
        <v>29806.799999999999</v>
      </c>
      <c r="Q228" s="64">
        <f>'A) Base RI'!AR228</f>
        <v>0.7</v>
      </c>
      <c r="R228" s="4">
        <f t="shared" si="20"/>
        <v>601422.5828571429</v>
      </c>
      <c r="S228" s="63">
        <f>'A) Base RI'!AM228</f>
        <v>74</v>
      </c>
      <c r="T228" s="4">
        <f t="shared" si="21"/>
        <v>560383.74000000011</v>
      </c>
      <c r="U228" s="4">
        <f t="shared" si="22"/>
        <v>8127.3322007722018</v>
      </c>
      <c r="V228" s="18">
        <f>'A) Base RI'!O228</f>
        <v>6.2</v>
      </c>
      <c r="W228" s="18">
        <f>'A) Base RI'!P228</f>
        <v>6251.95</v>
      </c>
      <c r="X228" s="18">
        <f>'A) Base RI'!R228</f>
        <v>8745.85</v>
      </c>
      <c r="Y228" s="4">
        <f t="shared" si="23"/>
        <v>15004</v>
      </c>
      <c r="Z228" s="18">
        <f>'A) Base RI'!N228</f>
        <v>22455.75</v>
      </c>
      <c r="AA228" s="18">
        <f>'A) Base RI'!S228+'A) Base RI'!T228</f>
        <v>62.5</v>
      </c>
      <c r="AB228" s="18">
        <f>'A) Base RI'!U228</f>
        <v>2000</v>
      </c>
      <c r="AC228" s="18">
        <f>'A) Base RI'!V228</f>
        <v>0</v>
      </c>
      <c r="AD228" s="18">
        <f>'A) Base RI'!W228</f>
        <v>0</v>
      </c>
      <c r="AE228" s="18">
        <f>'A) Base RI'!Y228</f>
        <v>2880</v>
      </c>
      <c r="AF228" s="18">
        <f>'A) Base RI'!Z228</f>
        <v>0</v>
      </c>
      <c r="AG228" s="18">
        <f>'A) Base RI'!AA228</f>
        <v>47197.599999999999</v>
      </c>
      <c r="AH228" s="18">
        <f>'A) Base RI'!AB228</f>
        <v>0</v>
      </c>
      <c r="AI228" s="18">
        <f>'A) Base RI'!AC228</f>
        <v>16562.849999999999</v>
      </c>
      <c r="AJ228" s="18">
        <f>'A) Base RI'!AD228</f>
        <v>2880</v>
      </c>
      <c r="AK228" s="18">
        <f>'A) Base RI'!AE228</f>
        <v>52</v>
      </c>
      <c r="AL228" s="18">
        <f>'A) Base RI'!AF228</f>
        <v>0</v>
      </c>
      <c r="AM228" s="18">
        <f>'A) Base RI'!AG228</f>
        <v>0</v>
      </c>
      <c r="AN228" s="18">
        <f>'A) Base RI'!AH228</f>
        <v>0</v>
      </c>
      <c r="AO228" s="18">
        <f>'A) Base RI'!AI228</f>
        <v>0</v>
      </c>
      <c r="AP228" s="18">
        <f>'A) Base RI'!AJ228</f>
        <v>0</v>
      </c>
      <c r="AQ228" s="18">
        <f>'A) Base RI'!AK228</f>
        <v>0</v>
      </c>
      <c r="AR228" s="18">
        <f>'A) Base RI'!AN228</f>
        <v>321</v>
      </c>
    </row>
    <row r="229" spans="1:44" x14ac:dyDescent="0.25">
      <c r="A229" s="13">
        <f>'A) Base RI'!A229</f>
        <v>5754</v>
      </c>
      <c r="B229" s="62" t="str">
        <f>'A) Base RI'!B229</f>
        <v>Juriens</v>
      </c>
      <c r="C229" s="18">
        <f>'A) Base RI'!C229+'A) Base RI'!D229</f>
        <v>488602.89</v>
      </c>
      <c r="D229" s="18">
        <f>'A) Base RI'!AO229</f>
        <v>-1409.85</v>
      </c>
      <c r="E229" s="61">
        <f>'A) Base RI'!AP229</f>
        <v>0</v>
      </c>
      <c r="F229" s="61">
        <f>'A) Base RI'!AQ229</f>
        <v>-32.97</v>
      </c>
      <c r="G229" s="4">
        <f t="shared" si="18"/>
        <v>487160.07000000007</v>
      </c>
      <c r="H229" s="18">
        <f>'A) Base RI'!E229</f>
        <v>0</v>
      </c>
      <c r="I229" s="18">
        <f>'A) Base RI'!F229</f>
        <v>0</v>
      </c>
      <c r="J229" s="18">
        <f>'A) Base RI'!G229+'A) Base RI'!H229</f>
        <v>2388.9499999999998</v>
      </c>
      <c r="K229" s="18">
        <f>'A) Base RI'!I229</f>
        <v>0</v>
      </c>
      <c r="L229" s="18">
        <f>'A) Base RI'!J229</f>
        <v>11290.13</v>
      </c>
      <c r="M229" s="18">
        <f>'A) Base RI'!K229</f>
        <v>597</v>
      </c>
      <c r="N229" s="18">
        <f>'A) Base RI'!Q229</f>
        <v>0</v>
      </c>
      <c r="O229" s="18">
        <f t="shared" si="19"/>
        <v>34120.5</v>
      </c>
      <c r="P229" s="18">
        <f>'A) Base RI'!L229</f>
        <v>34120.5</v>
      </c>
      <c r="Q229" s="64">
        <f>'A) Base RI'!AR229</f>
        <v>1</v>
      </c>
      <c r="R229" s="4">
        <f t="shared" si="20"/>
        <v>535556.65000000014</v>
      </c>
      <c r="S229" s="63">
        <f>'A) Base RI'!AM229</f>
        <v>79</v>
      </c>
      <c r="T229" s="4">
        <f t="shared" si="21"/>
        <v>500839.15000000008</v>
      </c>
      <c r="U229" s="4">
        <f t="shared" si="22"/>
        <v>6779.1981012658243</v>
      </c>
      <c r="V229" s="18">
        <v>0</v>
      </c>
      <c r="W229" s="18">
        <f>'A) Base RI'!P229</f>
        <v>639.1</v>
      </c>
      <c r="X229" s="18">
        <f>'A) Base RI'!R229</f>
        <v>2027.9</v>
      </c>
      <c r="Y229" s="4">
        <f t="shared" si="23"/>
        <v>2667</v>
      </c>
      <c r="Z229" s="18">
        <f>'A) Base RI'!N229</f>
        <v>6558.8</v>
      </c>
      <c r="AA229" s="18">
        <f>'A) Base RI'!S229+'A) Base RI'!T229</f>
        <v>0</v>
      </c>
      <c r="AB229" s="18">
        <f>'A) Base RI'!U229</f>
        <v>1320</v>
      </c>
      <c r="AC229" s="18">
        <f>'A) Base RI'!V229</f>
        <v>0</v>
      </c>
      <c r="AD229" s="18">
        <f>'A) Base RI'!W229</f>
        <v>0</v>
      </c>
      <c r="AE229" s="18">
        <f>'A) Base RI'!Y229</f>
        <v>1100</v>
      </c>
      <c r="AF229" s="18">
        <f>'A) Base RI'!Z229</f>
        <v>0</v>
      </c>
      <c r="AG229" s="18">
        <f>'A) Base RI'!AA229</f>
        <v>34562.5</v>
      </c>
      <c r="AH229" s="18">
        <f>'A) Base RI'!AB229</f>
        <v>0</v>
      </c>
      <c r="AI229" s="18">
        <f>'A) Base RI'!AC229</f>
        <v>36220</v>
      </c>
      <c r="AJ229" s="18">
        <f>'A) Base RI'!AD229</f>
        <v>550</v>
      </c>
      <c r="AK229" s="18">
        <f>'A) Base RI'!AE229</f>
        <v>0</v>
      </c>
      <c r="AL229" s="18">
        <f>'A) Base RI'!AF229</f>
        <v>0</v>
      </c>
      <c r="AM229" s="18">
        <f>'A) Base RI'!AG229</f>
        <v>0</v>
      </c>
      <c r="AN229" s="18">
        <f>'A) Base RI'!AH229</f>
        <v>0</v>
      </c>
      <c r="AO229" s="18">
        <f>'A) Base RI'!AI229</f>
        <v>0</v>
      </c>
      <c r="AP229" s="18">
        <f>'A) Base RI'!AJ229</f>
        <v>0</v>
      </c>
      <c r="AQ229" s="18">
        <f>'A) Base RI'!AK229</f>
        <v>0</v>
      </c>
      <c r="AR229" s="18">
        <f>'A) Base RI'!AN229</f>
        <v>307</v>
      </c>
    </row>
    <row r="230" spans="1:44" x14ac:dyDescent="0.25">
      <c r="A230" s="13">
        <f>'A) Base RI'!A230</f>
        <v>5755</v>
      </c>
      <c r="B230" s="62" t="str">
        <f>'A) Base RI'!B230</f>
        <v>Lignerolle</v>
      </c>
      <c r="C230" s="18">
        <f>'A) Base RI'!C230+'A) Base RI'!D230</f>
        <v>637591.80000000005</v>
      </c>
      <c r="D230" s="18">
        <f>'A) Base RI'!AO230</f>
        <v>-11903.17</v>
      </c>
      <c r="E230" s="61">
        <f>'A) Base RI'!AP230</f>
        <v>0</v>
      </c>
      <c r="F230" s="61">
        <f>'A) Base RI'!AQ230</f>
        <v>-4.0999999999999996</v>
      </c>
      <c r="G230" s="4">
        <f t="shared" si="18"/>
        <v>625684.53</v>
      </c>
      <c r="H230" s="18">
        <f>'A) Base RI'!E230</f>
        <v>0</v>
      </c>
      <c r="I230" s="18">
        <f>'A) Base RI'!F230</f>
        <v>0</v>
      </c>
      <c r="J230" s="18">
        <f>'A) Base RI'!G230+'A) Base RI'!H230</f>
        <v>19509.449999999997</v>
      </c>
      <c r="K230" s="18">
        <f>'A) Base RI'!I230</f>
        <v>29898.3</v>
      </c>
      <c r="L230" s="18">
        <f>'A) Base RI'!J230</f>
        <v>5790.58</v>
      </c>
      <c r="M230" s="18">
        <f>'A) Base RI'!K230</f>
        <v>1039</v>
      </c>
      <c r="N230" s="18">
        <f>'A) Base RI'!Q230</f>
        <v>227.38</v>
      </c>
      <c r="O230" s="18">
        <f t="shared" si="19"/>
        <v>46391.071428571435</v>
      </c>
      <c r="P230" s="18">
        <f>'A) Base RI'!L230</f>
        <v>32473.75</v>
      </c>
      <c r="Q230" s="64">
        <f>'A) Base RI'!AR230</f>
        <v>0.7</v>
      </c>
      <c r="R230" s="4">
        <f t="shared" si="20"/>
        <v>728540.31142857147</v>
      </c>
      <c r="S230" s="63">
        <f>'A) Base RI'!AM230</f>
        <v>81</v>
      </c>
      <c r="T230" s="4">
        <f t="shared" si="21"/>
        <v>681110.24</v>
      </c>
      <c r="U230" s="4">
        <f t="shared" si="22"/>
        <v>8994.3248324514989</v>
      </c>
      <c r="V230" s="18">
        <f>'A) Base RI'!O230</f>
        <v>44000</v>
      </c>
      <c r="W230" s="18">
        <f>'A) Base RI'!P230</f>
        <v>22122</v>
      </c>
      <c r="X230" s="18">
        <f>'A) Base RI'!R230</f>
        <v>13125</v>
      </c>
      <c r="Y230" s="4">
        <f t="shared" si="23"/>
        <v>79247</v>
      </c>
      <c r="Z230" s="18">
        <f>'A) Base RI'!N230</f>
        <v>13879.35</v>
      </c>
      <c r="AA230" s="18">
        <f>'A) Base RI'!S230+'A) Base RI'!T230</f>
        <v>62.6</v>
      </c>
      <c r="AB230" s="18">
        <f>'A) Base RI'!U230</f>
        <v>2700</v>
      </c>
      <c r="AC230" s="18">
        <f>'A) Base RI'!V230</f>
        <v>0</v>
      </c>
      <c r="AD230" s="18">
        <f>'A) Base RI'!W230</f>
        <v>0</v>
      </c>
      <c r="AE230" s="18">
        <f>'A) Base RI'!Y230</f>
        <v>14240</v>
      </c>
      <c r="AF230" s="18">
        <f>'A) Base RI'!Z230</f>
        <v>0</v>
      </c>
      <c r="AG230" s="18">
        <f>'A) Base RI'!AA230</f>
        <v>58880</v>
      </c>
      <c r="AH230" s="18">
        <f>'A) Base RI'!AB230</f>
        <v>0</v>
      </c>
      <c r="AI230" s="18">
        <f>'A) Base RI'!AC230</f>
        <v>43629.45</v>
      </c>
      <c r="AJ230" s="18">
        <f>'A) Base RI'!AD230</f>
        <v>14240</v>
      </c>
      <c r="AK230" s="18">
        <f>'A) Base RI'!AE230</f>
        <v>0</v>
      </c>
      <c r="AL230" s="18">
        <f>'A) Base RI'!AF230</f>
        <v>0</v>
      </c>
      <c r="AM230" s="18">
        <f>'A) Base RI'!AG230</f>
        <v>0</v>
      </c>
      <c r="AN230" s="18">
        <f>'A) Base RI'!AH230</f>
        <v>0</v>
      </c>
      <c r="AO230" s="18">
        <f>'A) Base RI'!AI230</f>
        <v>0</v>
      </c>
      <c r="AP230" s="18">
        <f>'A) Base RI'!AJ230</f>
        <v>0</v>
      </c>
      <c r="AQ230" s="18">
        <f>'A) Base RI'!AK230</f>
        <v>0</v>
      </c>
      <c r="AR230" s="18">
        <f>'A) Base RI'!AN230</f>
        <v>391</v>
      </c>
    </row>
    <row r="231" spans="1:44" x14ac:dyDescent="0.25">
      <c r="A231" s="13">
        <f>'A) Base RI'!A231</f>
        <v>5756</v>
      </c>
      <c r="B231" s="62" t="str">
        <f>'A) Base RI'!B231</f>
        <v>Montcherand</v>
      </c>
      <c r="C231" s="18">
        <f>'A) Base RI'!C231+'A) Base RI'!D231</f>
        <v>989585.51</v>
      </c>
      <c r="D231" s="18">
        <f>'A) Base RI'!AO231</f>
        <v>-18577.12</v>
      </c>
      <c r="E231" s="61">
        <f>'A) Base RI'!AP231</f>
        <v>0</v>
      </c>
      <c r="F231" s="61">
        <f>'A) Base RI'!AQ231</f>
        <v>-150.11000000000001</v>
      </c>
      <c r="G231" s="4">
        <f t="shared" si="18"/>
        <v>970858.28</v>
      </c>
      <c r="H231" s="18">
        <f>'A) Base RI'!E231</f>
        <v>0</v>
      </c>
      <c r="I231" s="18">
        <f>'A) Base RI'!F231</f>
        <v>0</v>
      </c>
      <c r="J231" s="18">
        <f>'A) Base RI'!G231+'A) Base RI'!H231</f>
        <v>31222.55</v>
      </c>
      <c r="K231" s="18">
        <f>'A) Base RI'!I231</f>
        <v>0</v>
      </c>
      <c r="L231" s="18">
        <f>'A) Base RI'!J231</f>
        <v>2532.85</v>
      </c>
      <c r="M231" s="18">
        <f>'A) Base RI'!K231</f>
        <v>225</v>
      </c>
      <c r="N231" s="18">
        <f>'A) Base RI'!Q231</f>
        <v>1818.24</v>
      </c>
      <c r="O231" s="18">
        <f t="shared" si="19"/>
        <v>76182.583333333343</v>
      </c>
      <c r="P231" s="18">
        <f>'A) Base RI'!L231</f>
        <v>45709.55</v>
      </c>
      <c r="Q231" s="64">
        <f>'A) Base RI'!AR231</f>
        <v>0.6</v>
      </c>
      <c r="R231" s="4">
        <f t="shared" si="20"/>
        <v>1082839.5033333334</v>
      </c>
      <c r="S231" s="63">
        <f>'A) Base RI'!AM231</f>
        <v>69</v>
      </c>
      <c r="T231" s="4">
        <f t="shared" si="21"/>
        <v>1006431.92</v>
      </c>
      <c r="U231" s="4">
        <f t="shared" si="22"/>
        <v>15693.326135265701</v>
      </c>
      <c r="V231" s="18">
        <f>'A) Base RI'!O231</f>
        <v>37651.300000000003</v>
      </c>
      <c r="W231" s="18">
        <f>'A) Base RI'!P231</f>
        <v>17135.099999999999</v>
      </c>
      <c r="X231" s="18">
        <f>'A) Base RI'!R231</f>
        <v>13598.6</v>
      </c>
      <c r="Y231" s="4">
        <f t="shared" si="23"/>
        <v>68385</v>
      </c>
      <c r="Z231" s="18">
        <f>'A) Base RI'!N231</f>
        <v>20928.900000000001</v>
      </c>
      <c r="AA231" s="18">
        <f>'A) Base RI'!S231+'A) Base RI'!T231</f>
        <v>1012.5</v>
      </c>
      <c r="AB231" s="18">
        <f>'A) Base RI'!U231</f>
        <v>1635</v>
      </c>
      <c r="AC231" s="18">
        <f>'A) Base RI'!V231</f>
        <v>0</v>
      </c>
      <c r="AD231" s="18">
        <f>'A) Base RI'!W231</f>
        <v>0</v>
      </c>
      <c r="AE231" s="18">
        <f>'A) Base RI'!Y231</f>
        <v>0</v>
      </c>
      <c r="AF231" s="18">
        <f>'A) Base RI'!Z231</f>
        <v>0</v>
      </c>
      <c r="AG231" s="18">
        <f>'A) Base RI'!AA231</f>
        <v>43011.1</v>
      </c>
      <c r="AH231" s="18">
        <f>'A) Base RI'!AB231</f>
        <v>0</v>
      </c>
      <c r="AI231" s="18">
        <f>'A) Base RI'!AC231</f>
        <v>16708.599999999999</v>
      </c>
      <c r="AJ231" s="18">
        <f>'A) Base RI'!AD231</f>
        <v>22445.8</v>
      </c>
      <c r="AK231" s="18">
        <f>'A) Base RI'!AE231</f>
        <v>0</v>
      </c>
      <c r="AL231" s="18">
        <f>'A) Base RI'!AF231</f>
        <v>0</v>
      </c>
      <c r="AM231" s="18">
        <f>'A) Base RI'!AG231</f>
        <v>0</v>
      </c>
      <c r="AN231" s="18">
        <f>'A) Base RI'!AH231</f>
        <v>12245.2</v>
      </c>
      <c r="AO231" s="18">
        <f>'A) Base RI'!AI231</f>
        <v>0</v>
      </c>
      <c r="AP231" s="18">
        <f>'A) Base RI'!AJ231</f>
        <v>0</v>
      </c>
      <c r="AQ231" s="18">
        <f>'A) Base RI'!AK231</f>
        <v>0</v>
      </c>
      <c r="AR231" s="18">
        <f>'A) Base RI'!AN231</f>
        <v>471</v>
      </c>
    </row>
    <row r="232" spans="1:44" x14ac:dyDescent="0.25">
      <c r="A232" s="13">
        <f>'A) Base RI'!A232</f>
        <v>5757</v>
      </c>
      <c r="B232" s="62" t="str">
        <f>'A) Base RI'!B232</f>
        <v>Orbe</v>
      </c>
      <c r="C232" s="18">
        <f>'A) Base RI'!C232+'A) Base RI'!D232</f>
        <v>10447029.92</v>
      </c>
      <c r="D232" s="18">
        <f>'A) Base RI'!AO232</f>
        <v>-281079.86</v>
      </c>
      <c r="E232" s="61">
        <f>'A) Base RI'!AP232</f>
        <v>0</v>
      </c>
      <c r="F232" s="61">
        <f>'A) Base RI'!AQ232</f>
        <v>-1111.29</v>
      </c>
      <c r="G232" s="4">
        <f t="shared" si="18"/>
        <v>10164838.770000001</v>
      </c>
      <c r="H232" s="18">
        <f>'A) Base RI'!E232</f>
        <v>0</v>
      </c>
      <c r="I232" s="18">
        <f>'A) Base RI'!F232</f>
        <v>0</v>
      </c>
      <c r="J232" s="18">
        <f>'A) Base RI'!G232+'A) Base RI'!H232</f>
        <v>2188819.75</v>
      </c>
      <c r="K232" s="18">
        <f>'A) Base RI'!I232</f>
        <v>0</v>
      </c>
      <c r="L232" s="18">
        <f>'A) Base RI'!J232</f>
        <v>447318.57</v>
      </c>
      <c r="M232" s="18">
        <f>'A) Base RI'!K232</f>
        <v>67554.55</v>
      </c>
      <c r="N232" s="18">
        <f>'A) Base RI'!Q232</f>
        <v>165173.26</v>
      </c>
      <c r="O232" s="18">
        <f t="shared" si="19"/>
        <v>1015882.55</v>
      </c>
      <c r="P232" s="18">
        <f>'A) Base RI'!L232</f>
        <v>1015882.55</v>
      </c>
      <c r="Q232" s="64">
        <f>'A) Base RI'!AR232</f>
        <v>1</v>
      </c>
      <c r="R232" s="4">
        <f t="shared" si="20"/>
        <v>14049587.450000003</v>
      </c>
      <c r="S232" s="63">
        <f>'A) Base RI'!AM232</f>
        <v>69</v>
      </c>
      <c r="T232" s="4">
        <f t="shared" si="21"/>
        <v>12966150.350000001</v>
      </c>
      <c r="U232" s="4">
        <f t="shared" si="22"/>
        <v>203617.2094202899</v>
      </c>
      <c r="V232" s="18">
        <f>'A) Base RI'!O232</f>
        <v>64045.2</v>
      </c>
      <c r="W232" s="18">
        <f>'A) Base RI'!P232</f>
        <v>450306.85</v>
      </c>
      <c r="X232" s="18">
        <f>'A) Base RI'!R232</f>
        <v>236216.9</v>
      </c>
      <c r="Y232" s="4">
        <f t="shared" si="23"/>
        <v>750568.95</v>
      </c>
      <c r="Z232" s="18">
        <f>'A) Base RI'!N232</f>
        <v>2518020.6</v>
      </c>
      <c r="AA232" s="18">
        <f>'A) Base RI'!S232+'A) Base RI'!T232</f>
        <v>1200</v>
      </c>
      <c r="AB232" s="18">
        <f>'A) Base RI'!U232</f>
        <v>40455</v>
      </c>
      <c r="AC232" s="18">
        <f>'A) Base RI'!V232</f>
        <v>0</v>
      </c>
      <c r="AD232" s="18">
        <f>'A) Base RI'!W232</f>
        <v>0</v>
      </c>
      <c r="AE232" s="18">
        <f>'A) Base RI'!Y232</f>
        <v>0</v>
      </c>
      <c r="AF232" s="18">
        <f>'A) Base RI'!Z232</f>
        <v>61150</v>
      </c>
      <c r="AG232" s="18">
        <f>'A) Base RI'!AA232</f>
        <v>0</v>
      </c>
      <c r="AH232" s="18">
        <f>'A) Base RI'!AB232</f>
        <v>0</v>
      </c>
      <c r="AI232" s="18">
        <f>'A) Base RI'!AC232</f>
        <v>614562</v>
      </c>
      <c r="AJ232" s="18">
        <f>'A) Base RI'!AD232</f>
        <v>27960</v>
      </c>
      <c r="AK232" s="18">
        <f>'A) Base RI'!AE232</f>
        <v>0</v>
      </c>
      <c r="AL232" s="18">
        <f>'A) Base RI'!AF232</f>
        <v>0</v>
      </c>
      <c r="AM232" s="18">
        <f>'A) Base RI'!AG232</f>
        <v>21163</v>
      </c>
      <c r="AN232" s="18">
        <f>'A) Base RI'!AH232</f>
        <v>0</v>
      </c>
      <c r="AO232" s="18">
        <f>'A) Base RI'!AI232</f>
        <v>140403</v>
      </c>
      <c r="AP232" s="18">
        <f>'A) Base RI'!AJ232</f>
        <v>140403</v>
      </c>
      <c r="AQ232" s="18">
        <f>'A) Base RI'!AK232</f>
        <v>0</v>
      </c>
      <c r="AR232" s="18">
        <f>'A) Base RI'!AN232</f>
        <v>6738</v>
      </c>
    </row>
    <row r="233" spans="1:44" x14ac:dyDescent="0.25">
      <c r="A233" s="13">
        <f>'A) Base RI'!A233</f>
        <v>5758</v>
      </c>
      <c r="B233" s="62" t="str">
        <f>'A) Base RI'!B233</f>
        <v>La Praz</v>
      </c>
      <c r="C233" s="18">
        <f>'A) Base RI'!C233+'A) Base RI'!D233</f>
        <v>290908.33</v>
      </c>
      <c r="D233" s="18">
        <f>'A) Base RI'!AO233</f>
        <v>-5276.27</v>
      </c>
      <c r="E233" s="61">
        <f>'A) Base RI'!AP233</f>
        <v>0</v>
      </c>
      <c r="F233" s="61">
        <f>'A) Base RI'!AQ233</f>
        <v>0</v>
      </c>
      <c r="G233" s="4">
        <f t="shared" si="18"/>
        <v>285632.06</v>
      </c>
      <c r="H233" s="18">
        <f>'A) Base RI'!E233</f>
        <v>0</v>
      </c>
      <c r="I233" s="18">
        <f>'A) Base RI'!F233</f>
        <v>790</v>
      </c>
      <c r="J233" s="18">
        <f>'A) Base RI'!G233+'A) Base RI'!H233</f>
        <v>12091.6</v>
      </c>
      <c r="K233" s="18">
        <f>'A) Base RI'!I233</f>
        <v>0</v>
      </c>
      <c r="L233" s="18">
        <f>'A) Base RI'!J233</f>
        <v>1666</v>
      </c>
      <c r="M233" s="18">
        <f>'A) Base RI'!K233</f>
        <v>0</v>
      </c>
      <c r="N233" s="18">
        <f>'A) Base RI'!Q233</f>
        <v>0</v>
      </c>
      <c r="O233" s="18">
        <f t="shared" si="19"/>
        <v>19713.944444444442</v>
      </c>
      <c r="P233" s="18">
        <f>'A) Base RI'!L233</f>
        <v>17742.55</v>
      </c>
      <c r="Q233" s="64">
        <f>'A) Base RI'!AR233</f>
        <v>0.9</v>
      </c>
      <c r="R233" s="4">
        <f t="shared" si="20"/>
        <v>319893.60444444441</v>
      </c>
      <c r="S233" s="63">
        <f>'A) Base RI'!AM233</f>
        <v>83</v>
      </c>
      <c r="T233" s="4">
        <f t="shared" si="21"/>
        <v>299389.65999999997</v>
      </c>
      <c r="U233" s="4">
        <f t="shared" si="22"/>
        <v>3854.1398125836677</v>
      </c>
      <c r="V233" s="18">
        <v>0</v>
      </c>
      <c r="W233" s="18">
        <f>'A) Base RI'!P233</f>
        <v>4532</v>
      </c>
      <c r="X233" s="18">
        <f>'A) Base RI'!R233</f>
        <v>20603.95</v>
      </c>
      <c r="Y233" s="4">
        <f t="shared" si="23"/>
        <v>25135.95</v>
      </c>
      <c r="Z233" s="18">
        <f>'A) Base RI'!N233</f>
        <v>0</v>
      </c>
      <c r="AA233" s="18">
        <f>'A) Base RI'!S233+'A) Base RI'!T233</f>
        <v>0</v>
      </c>
      <c r="AB233" s="18">
        <f>'A) Base RI'!U233</f>
        <v>840</v>
      </c>
      <c r="AC233" s="18">
        <f>'A) Base RI'!V233</f>
        <v>0</v>
      </c>
      <c r="AD233" s="18">
        <f>'A) Base RI'!W233</f>
        <v>0</v>
      </c>
      <c r="AE233" s="18">
        <f>'A) Base RI'!Y233</f>
        <v>5302.4</v>
      </c>
      <c r="AF233" s="18">
        <f>'A) Base RI'!Z233</f>
        <v>0</v>
      </c>
      <c r="AG233" s="18">
        <f>'A) Base RI'!AA233</f>
        <v>23180.2</v>
      </c>
      <c r="AH233" s="18">
        <f>'A) Base RI'!AB233</f>
        <v>0</v>
      </c>
      <c r="AI233" s="18">
        <f>'A) Base RI'!AC233</f>
        <v>12727.45</v>
      </c>
      <c r="AJ233" s="18">
        <f>'A) Base RI'!AD233</f>
        <v>27239.8</v>
      </c>
      <c r="AK233" s="18">
        <f>'A) Base RI'!AE233</f>
        <v>0</v>
      </c>
      <c r="AL233" s="18">
        <f>'A) Base RI'!AF233</f>
        <v>0</v>
      </c>
      <c r="AM233" s="18">
        <f>'A) Base RI'!AG233</f>
        <v>0</v>
      </c>
      <c r="AN233" s="18">
        <f>'A) Base RI'!AH233</f>
        <v>0</v>
      </c>
      <c r="AO233" s="18">
        <f>'A) Base RI'!AI233</f>
        <v>0</v>
      </c>
      <c r="AP233" s="18">
        <f>'A) Base RI'!AJ233</f>
        <v>0</v>
      </c>
      <c r="AQ233" s="18">
        <f>'A) Base RI'!AK233</f>
        <v>0</v>
      </c>
      <c r="AR233" s="18">
        <f>'A) Base RI'!AN233</f>
        <v>156</v>
      </c>
    </row>
    <row r="234" spans="1:44" x14ac:dyDescent="0.25">
      <c r="A234" s="13">
        <f>'A) Base RI'!A234</f>
        <v>5759</v>
      </c>
      <c r="B234" s="62" t="str">
        <f>'A) Base RI'!B234</f>
        <v>Premier</v>
      </c>
      <c r="C234" s="18">
        <f>'A) Base RI'!C234+'A) Base RI'!D234</f>
        <v>281322.40000000002</v>
      </c>
      <c r="D234" s="18">
        <f>'A) Base RI'!AO234</f>
        <v>-452.97</v>
      </c>
      <c r="E234" s="61">
        <f>'A) Base RI'!AP234</f>
        <v>0</v>
      </c>
      <c r="F234" s="61">
        <f>'A) Base RI'!AQ234</f>
        <v>-73.44</v>
      </c>
      <c r="G234" s="4">
        <f t="shared" si="18"/>
        <v>280795.99000000005</v>
      </c>
      <c r="H234" s="18">
        <f>'A) Base RI'!E234</f>
        <v>0</v>
      </c>
      <c r="I234" s="18">
        <f>'A) Base RI'!F234</f>
        <v>0</v>
      </c>
      <c r="J234" s="18">
        <f>'A) Base RI'!G234+'A) Base RI'!H234</f>
        <v>6750.25</v>
      </c>
      <c r="K234" s="18">
        <f>'A) Base RI'!I234</f>
        <v>0</v>
      </c>
      <c r="L234" s="18">
        <f>'A) Base RI'!J234</f>
        <v>2006.73</v>
      </c>
      <c r="M234" s="18">
        <f>'A) Base RI'!K234</f>
        <v>168</v>
      </c>
      <c r="N234" s="18">
        <f>'A) Base RI'!Q234</f>
        <v>0</v>
      </c>
      <c r="O234" s="18">
        <f t="shared" si="19"/>
        <v>25013.3</v>
      </c>
      <c r="P234" s="18">
        <f>'A) Base RI'!L234</f>
        <v>25013.3</v>
      </c>
      <c r="Q234" s="64">
        <f>'A) Base RI'!AR234</f>
        <v>1</v>
      </c>
      <c r="R234" s="4">
        <f t="shared" si="20"/>
        <v>314734.27</v>
      </c>
      <c r="S234" s="63">
        <f>'A) Base RI'!AM234</f>
        <v>81</v>
      </c>
      <c r="T234" s="4">
        <f t="shared" si="21"/>
        <v>289552.97000000003</v>
      </c>
      <c r="U234" s="4">
        <f t="shared" si="22"/>
        <v>3885.6082716049386</v>
      </c>
      <c r="V234" s="18">
        <f>'A) Base RI'!O234</f>
        <v>6884.2</v>
      </c>
      <c r="W234" s="18">
        <f>'A) Base RI'!P234</f>
        <v>15297.5</v>
      </c>
      <c r="X234" s="18">
        <f>'A) Base RI'!R234</f>
        <v>3659.8</v>
      </c>
      <c r="Y234" s="4">
        <f t="shared" si="23"/>
        <v>25841.5</v>
      </c>
      <c r="Z234" s="18">
        <f>'A) Base RI'!N234</f>
        <v>3172.5</v>
      </c>
      <c r="AA234" s="18">
        <f>'A) Base RI'!S234+'A) Base RI'!T234</f>
        <v>0</v>
      </c>
      <c r="AB234" s="18">
        <f>'A) Base RI'!U234</f>
        <v>950</v>
      </c>
      <c r="AC234" s="18">
        <f>'A) Base RI'!V234</f>
        <v>0</v>
      </c>
      <c r="AD234" s="18">
        <f>'A) Base RI'!W234</f>
        <v>0</v>
      </c>
      <c r="AE234" s="18">
        <f>'A) Base RI'!Y234</f>
        <v>0</v>
      </c>
      <c r="AF234" s="18">
        <f>'A) Base RI'!Z234</f>
        <v>0</v>
      </c>
      <c r="AG234" s="18">
        <f>'A) Base RI'!AA234</f>
        <v>23423.1</v>
      </c>
      <c r="AH234" s="18">
        <f>'A) Base RI'!AB234</f>
        <v>0</v>
      </c>
      <c r="AI234" s="18">
        <f>'A) Base RI'!AC234</f>
        <v>16516</v>
      </c>
      <c r="AJ234" s="18">
        <f>'A) Base RI'!AD234</f>
        <v>0</v>
      </c>
      <c r="AK234" s="18">
        <f>'A) Base RI'!AE234</f>
        <v>0</v>
      </c>
      <c r="AL234" s="18">
        <f>'A) Base RI'!AF234</f>
        <v>0</v>
      </c>
      <c r="AM234" s="18">
        <f>'A) Base RI'!AG234</f>
        <v>0</v>
      </c>
      <c r="AN234" s="18">
        <f>'A) Base RI'!AH234</f>
        <v>0</v>
      </c>
      <c r="AO234" s="18">
        <f>'A) Base RI'!AI234</f>
        <v>0</v>
      </c>
      <c r="AP234" s="18">
        <f>'A) Base RI'!AJ234</f>
        <v>0</v>
      </c>
      <c r="AQ234" s="18">
        <f>'A) Base RI'!AK234</f>
        <v>0</v>
      </c>
      <c r="AR234" s="18">
        <f>'A) Base RI'!AN234</f>
        <v>182</v>
      </c>
    </row>
    <row r="235" spans="1:44" x14ac:dyDescent="0.25">
      <c r="A235" s="13">
        <f>'A) Base RI'!A235</f>
        <v>5760</v>
      </c>
      <c r="B235" s="62" t="str">
        <f>'A) Base RI'!B235</f>
        <v>Rances</v>
      </c>
      <c r="C235" s="18">
        <f>'A) Base RI'!C235+'A) Base RI'!D235</f>
        <v>836520.27</v>
      </c>
      <c r="D235" s="18">
        <f>'A) Base RI'!AO235</f>
        <v>-14828.25</v>
      </c>
      <c r="E235" s="61">
        <f>'A) Base RI'!AP235</f>
        <v>-575.57000000000005</v>
      </c>
      <c r="F235" s="61">
        <f>'A) Base RI'!AQ235</f>
        <v>0</v>
      </c>
      <c r="G235" s="4">
        <f t="shared" si="18"/>
        <v>821116.45000000007</v>
      </c>
      <c r="H235" s="18">
        <f>'A) Base RI'!E235</f>
        <v>0</v>
      </c>
      <c r="I235" s="18">
        <f>'A) Base RI'!F235</f>
        <v>2210</v>
      </c>
      <c r="J235" s="18">
        <f>'A) Base RI'!G235+'A) Base RI'!H235</f>
        <v>-7067.7</v>
      </c>
      <c r="K235" s="18">
        <f>'A) Base RI'!I235</f>
        <v>0</v>
      </c>
      <c r="L235" s="18">
        <f>'A) Base RI'!J235</f>
        <v>6844.11</v>
      </c>
      <c r="M235" s="18">
        <f>'A) Base RI'!K235</f>
        <v>0</v>
      </c>
      <c r="N235" s="18">
        <f>'A) Base RI'!Q235</f>
        <v>1583.65</v>
      </c>
      <c r="O235" s="18">
        <f t="shared" si="19"/>
        <v>58651.1</v>
      </c>
      <c r="P235" s="18">
        <f>'A) Base RI'!L235</f>
        <v>87976.65</v>
      </c>
      <c r="Q235" s="64">
        <f>'A) Base RI'!AR235</f>
        <v>1.5</v>
      </c>
      <c r="R235" s="4">
        <f t="shared" si="20"/>
        <v>883337.6100000001</v>
      </c>
      <c r="S235" s="63">
        <f>'A) Base RI'!AM235</f>
        <v>78</v>
      </c>
      <c r="T235" s="4">
        <f t="shared" si="21"/>
        <v>822476.51000000013</v>
      </c>
      <c r="U235" s="4">
        <f t="shared" si="22"/>
        <v>11324.841153846155</v>
      </c>
      <c r="V235" s="18">
        <f>'A) Base RI'!O235</f>
        <v>3717.9</v>
      </c>
      <c r="W235" s="18">
        <f>'A) Base RI'!P235</f>
        <v>19326.849999999999</v>
      </c>
      <c r="X235" s="18">
        <f>'A) Base RI'!R235</f>
        <v>32436.35</v>
      </c>
      <c r="Y235" s="4">
        <f t="shared" si="23"/>
        <v>55481.1</v>
      </c>
      <c r="Z235" s="18">
        <f>'A) Base RI'!N235</f>
        <v>7799.35</v>
      </c>
      <c r="AA235" s="18">
        <f>'A) Base RI'!S235+'A) Base RI'!T235</f>
        <v>643.9</v>
      </c>
      <c r="AB235" s="18">
        <f>'A) Base RI'!U235</f>
        <v>2525</v>
      </c>
      <c r="AC235" s="18">
        <f>'A) Base RI'!V235</f>
        <v>0</v>
      </c>
      <c r="AD235" s="18">
        <f>'A) Base RI'!W235</f>
        <v>0</v>
      </c>
      <c r="AE235" s="18">
        <f>'A) Base RI'!Y235</f>
        <v>7631.75</v>
      </c>
      <c r="AF235" s="18">
        <f>'A) Base RI'!Z235</f>
        <v>0</v>
      </c>
      <c r="AG235" s="18">
        <f>'A) Base RI'!AA235</f>
        <v>47415.4</v>
      </c>
      <c r="AH235" s="18">
        <f>'A) Base RI'!AB235</f>
        <v>67869.55</v>
      </c>
      <c r="AI235" s="18">
        <f>'A) Base RI'!AC235</f>
        <v>26449.55</v>
      </c>
      <c r="AJ235" s="18">
        <f>'A) Base RI'!AD235</f>
        <v>0</v>
      </c>
      <c r="AK235" s="18">
        <f>'A) Base RI'!AE235</f>
        <v>0</v>
      </c>
      <c r="AL235" s="18">
        <f>'A) Base RI'!AF235</f>
        <v>0</v>
      </c>
      <c r="AM235" s="18">
        <f>'A) Base RI'!AG235</f>
        <v>0</v>
      </c>
      <c r="AN235" s="18">
        <f>'A) Base RI'!AH235</f>
        <v>0</v>
      </c>
      <c r="AO235" s="18">
        <f>'A) Base RI'!AI235</f>
        <v>0</v>
      </c>
      <c r="AP235" s="18">
        <f>'A) Base RI'!AJ235</f>
        <v>0</v>
      </c>
      <c r="AQ235" s="18">
        <f>'A) Base RI'!AK235</f>
        <v>0</v>
      </c>
      <c r="AR235" s="18">
        <f>'A) Base RI'!AN235</f>
        <v>436</v>
      </c>
    </row>
    <row r="236" spans="1:44" x14ac:dyDescent="0.25">
      <c r="A236" s="13">
        <f>'A) Base RI'!A236</f>
        <v>5761</v>
      </c>
      <c r="B236" s="62" t="str">
        <f>'A) Base RI'!B236</f>
        <v>Romainmôtier-Envy</v>
      </c>
      <c r="C236" s="18">
        <f>'A) Base RI'!C236+'A) Base RI'!D236</f>
        <v>810413.30999999994</v>
      </c>
      <c r="D236" s="18">
        <f>'A) Base RI'!AO236</f>
        <v>-31569.4</v>
      </c>
      <c r="E236" s="61">
        <f>'A) Base RI'!AP236</f>
        <v>0</v>
      </c>
      <c r="F236" s="61">
        <f>'A) Base RI'!AQ236</f>
        <v>-4.54</v>
      </c>
      <c r="G236" s="4">
        <f t="shared" si="18"/>
        <v>778839.36999999988</v>
      </c>
      <c r="H236" s="18">
        <f>'A) Base RI'!E236</f>
        <v>0</v>
      </c>
      <c r="I236" s="18">
        <f>'A) Base RI'!F236</f>
        <v>0</v>
      </c>
      <c r="J236" s="18">
        <f>'A) Base RI'!G236+'A) Base RI'!H236</f>
        <v>7113.9000000000005</v>
      </c>
      <c r="K236" s="18">
        <f>'A) Base RI'!I236</f>
        <v>-20825.900000000001</v>
      </c>
      <c r="L236" s="18">
        <f>'A) Base RI'!J236</f>
        <v>47213.56</v>
      </c>
      <c r="M236" s="18">
        <f>'A) Base RI'!K236</f>
        <v>3646</v>
      </c>
      <c r="N236" s="18">
        <f>'A) Base RI'!Q236</f>
        <v>35248.61</v>
      </c>
      <c r="O236" s="18">
        <f t="shared" si="19"/>
        <v>65807.124999999985</v>
      </c>
      <c r="P236" s="18">
        <f>'A) Base RI'!L236</f>
        <v>52645.7</v>
      </c>
      <c r="Q236" s="64">
        <f>'A) Base RI'!AR236</f>
        <v>0.8</v>
      </c>
      <c r="R236" s="4">
        <f t="shared" si="20"/>
        <v>917042.66499999992</v>
      </c>
      <c r="S236" s="63">
        <f>'A) Base RI'!AM236</f>
        <v>76</v>
      </c>
      <c r="T236" s="4">
        <f t="shared" si="21"/>
        <v>847589.53999999992</v>
      </c>
      <c r="U236" s="4">
        <f t="shared" si="22"/>
        <v>12066.350855263157</v>
      </c>
      <c r="V236" s="18">
        <f>'A) Base RI'!O236</f>
        <v>4654.3</v>
      </c>
      <c r="W236" s="18">
        <f>'A) Base RI'!P236</f>
        <v>31489.05</v>
      </c>
      <c r="X236" s="18">
        <f>'A) Base RI'!R236</f>
        <v>34603.25</v>
      </c>
      <c r="Y236" s="4">
        <f t="shared" si="23"/>
        <v>70746.600000000006</v>
      </c>
      <c r="Z236" s="18">
        <f>'A) Base RI'!N236</f>
        <v>41477.599999999999</v>
      </c>
      <c r="AA236" s="18">
        <f>'A) Base RI'!S236+'A) Base RI'!T236</f>
        <v>245</v>
      </c>
      <c r="AB236" s="18">
        <f>'A) Base RI'!U236</f>
        <v>3132</v>
      </c>
      <c r="AC236" s="18">
        <f>'A) Base RI'!V236</f>
        <v>0</v>
      </c>
      <c r="AD236" s="18">
        <f>'A) Base RI'!W236</f>
        <v>0</v>
      </c>
      <c r="AE236" s="18">
        <f>'A) Base RI'!Y236</f>
        <v>13156</v>
      </c>
      <c r="AF236" s="18">
        <f>'A) Base RI'!Z236</f>
        <v>0</v>
      </c>
      <c r="AG236" s="18">
        <f>'A) Base RI'!AA236</f>
        <v>91571.9</v>
      </c>
      <c r="AH236" s="18">
        <f>'A) Base RI'!AB236</f>
        <v>0</v>
      </c>
      <c r="AI236" s="18">
        <f>'A) Base RI'!AC236</f>
        <v>47089.5</v>
      </c>
      <c r="AJ236" s="18">
        <f>'A) Base RI'!AD236</f>
        <v>4784</v>
      </c>
      <c r="AK236" s="18">
        <f>'A) Base RI'!AE236</f>
        <v>0</v>
      </c>
      <c r="AL236" s="18">
        <f>'A) Base RI'!AF236</f>
        <v>0</v>
      </c>
      <c r="AM236" s="18">
        <f>'A) Base RI'!AG236</f>
        <v>0</v>
      </c>
      <c r="AN236" s="18">
        <f>'A) Base RI'!AH236</f>
        <v>19818.55</v>
      </c>
      <c r="AO236" s="18">
        <f>'A) Base RI'!AI236</f>
        <v>0</v>
      </c>
      <c r="AP236" s="18">
        <f>'A) Base RI'!AJ236</f>
        <v>0</v>
      </c>
      <c r="AQ236" s="18">
        <f>'A) Base RI'!AK236</f>
        <v>0</v>
      </c>
      <c r="AR236" s="18">
        <f>'A) Base RI'!AN236</f>
        <v>527</v>
      </c>
    </row>
    <row r="237" spans="1:44" x14ac:dyDescent="0.25">
      <c r="A237" s="13">
        <f>'A) Base RI'!A237</f>
        <v>5762</v>
      </c>
      <c r="B237" s="62" t="str">
        <f>'A) Base RI'!B237</f>
        <v>Sergey</v>
      </c>
      <c r="C237" s="18">
        <f>'A) Base RI'!C237+'A) Base RI'!D237</f>
        <v>261564.81</v>
      </c>
      <c r="D237" s="18">
        <f>'A) Base RI'!AO237</f>
        <v>-50.75</v>
      </c>
      <c r="E237" s="61">
        <f>'A) Base RI'!AP237</f>
        <v>0</v>
      </c>
      <c r="F237" s="61">
        <f>'A) Base RI'!AQ237</f>
        <v>0</v>
      </c>
      <c r="G237" s="4">
        <f t="shared" si="18"/>
        <v>261514.06</v>
      </c>
      <c r="H237" s="18">
        <f>'A) Base RI'!E237</f>
        <v>0</v>
      </c>
      <c r="I237" s="18">
        <f>'A) Base RI'!F237</f>
        <v>0</v>
      </c>
      <c r="J237" s="18">
        <f>'A) Base RI'!G237+'A) Base RI'!H237</f>
        <v>61036.55</v>
      </c>
      <c r="K237" s="18">
        <f>'A) Base RI'!I237</f>
        <v>0</v>
      </c>
      <c r="L237" s="18">
        <f>'A) Base RI'!J237</f>
        <v>1630.24</v>
      </c>
      <c r="M237" s="18">
        <f>'A) Base RI'!K237</f>
        <v>0</v>
      </c>
      <c r="N237" s="18">
        <f>'A) Base RI'!Q237</f>
        <v>0</v>
      </c>
      <c r="O237" s="18">
        <f t="shared" si="19"/>
        <v>18134.099999999999</v>
      </c>
      <c r="P237" s="18">
        <f>'A) Base RI'!L237</f>
        <v>18134.099999999999</v>
      </c>
      <c r="Q237" s="64">
        <f>'A) Base RI'!AR237</f>
        <v>1</v>
      </c>
      <c r="R237" s="4">
        <f t="shared" si="20"/>
        <v>342314.94999999995</v>
      </c>
      <c r="S237" s="63">
        <f>'A) Base RI'!AM237</f>
        <v>81</v>
      </c>
      <c r="T237" s="4">
        <f t="shared" si="21"/>
        <v>324180.84999999998</v>
      </c>
      <c r="U237" s="4">
        <f t="shared" si="22"/>
        <v>4226.1104938271601</v>
      </c>
      <c r="V237" s="18">
        <f>'A) Base RI'!O237</f>
        <v>1247.2</v>
      </c>
      <c r="W237" s="18">
        <f>'A) Base RI'!P237</f>
        <v>3696.75</v>
      </c>
      <c r="X237" s="18">
        <v>0</v>
      </c>
      <c r="Y237" s="4">
        <f t="shared" si="23"/>
        <v>4943.95</v>
      </c>
      <c r="Z237" s="18">
        <f>'A) Base RI'!N237</f>
        <v>9317.75</v>
      </c>
      <c r="AA237" s="18">
        <f>'A) Base RI'!S237+'A) Base RI'!T237</f>
        <v>0</v>
      </c>
      <c r="AB237" s="18">
        <f>'A) Base RI'!U237</f>
        <v>1200</v>
      </c>
      <c r="AC237" s="18">
        <f>'A) Base RI'!V237</f>
        <v>0</v>
      </c>
      <c r="AD237" s="18">
        <f>'A) Base RI'!W237</f>
        <v>0</v>
      </c>
      <c r="AE237" s="18">
        <f>'A) Base RI'!Y237</f>
        <v>0</v>
      </c>
      <c r="AF237" s="18">
        <f>'A) Base RI'!Z237</f>
        <v>0</v>
      </c>
      <c r="AG237" s="18">
        <f>'A) Base RI'!AA237</f>
        <v>5740</v>
      </c>
      <c r="AH237" s="18">
        <f>'A) Base RI'!AB237</f>
        <v>0</v>
      </c>
      <c r="AI237" s="18">
        <f>'A) Base RI'!AC237</f>
        <v>8623</v>
      </c>
      <c r="AJ237" s="18">
        <f>'A) Base RI'!AD237</f>
        <v>0</v>
      </c>
      <c r="AK237" s="18">
        <f>'A) Base RI'!AE237</f>
        <v>0</v>
      </c>
      <c r="AL237" s="18">
        <f>'A) Base RI'!AF237</f>
        <v>0</v>
      </c>
      <c r="AM237" s="18">
        <f>'A) Base RI'!AG237</f>
        <v>0</v>
      </c>
      <c r="AN237" s="18">
        <f>'A) Base RI'!AH237</f>
        <v>0</v>
      </c>
      <c r="AO237" s="18">
        <f>'A) Base RI'!AI237</f>
        <v>0</v>
      </c>
      <c r="AP237" s="18">
        <f>'A) Base RI'!AJ237</f>
        <v>0</v>
      </c>
      <c r="AQ237" s="18">
        <f>'A) Base RI'!AK237</f>
        <v>0</v>
      </c>
      <c r="AR237" s="18">
        <f>'A) Base RI'!AN237</f>
        <v>145</v>
      </c>
    </row>
    <row r="238" spans="1:44" x14ac:dyDescent="0.25">
      <c r="A238" s="13">
        <f>'A) Base RI'!A238</f>
        <v>5763</v>
      </c>
      <c r="B238" s="62" t="str">
        <f>'A) Base RI'!B238</f>
        <v>Valeyres-sous-Rances</v>
      </c>
      <c r="C238" s="18">
        <f>'A) Base RI'!C238+'A) Base RI'!D238</f>
        <v>950026.12</v>
      </c>
      <c r="D238" s="18">
        <f>'A) Base RI'!AO238</f>
        <v>1851.01</v>
      </c>
      <c r="E238" s="61">
        <f>'A) Base RI'!AP238</f>
        <v>0</v>
      </c>
      <c r="F238" s="61">
        <f>'A) Base RI'!AQ238</f>
        <v>-99.4</v>
      </c>
      <c r="G238" s="4">
        <f t="shared" si="18"/>
        <v>951777.73</v>
      </c>
      <c r="H238" s="18">
        <f>'A) Base RI'!E238</f>
        <v>0</v>
      </c>
      <c r="I238" s="18">
        <f>'A) Base RI'!F238</f>
        <v>3190</v>
      </c>
      <c r="J238" s="18">
        <f>'A) Base RI'!G238+'A) Base RI'!H238</f>
        <v>25705.699999999997</v>
      </c>
      <c r="K238" s="18">
        <f>'A) Base RI'!I238</f>
        <v>0</v>
      </c>
      <c r="L238" s="18">
        <f>'A) Base RI'!J238</f>
        <v>15561.67</v>
      </c>
      <c r="M238" s="18">
        <f>'A) Base RI'!K238</f>
        <v>3624</v>
      </c>
      <c r="N238" s="18">
        <f>'A) Base RI'!Q238</f>
        <v>0</v>
      </c>
      <c r="O238" s="18">
        <f t="shared" si="19"/>
        <v>71351.649999999994</v>
      </c>
      <c r="P238" s="18">
        <f>'A) Base RI'!L238</f>
        <v>71351.649999999994</v>
      </c>
      <c r="Q238" s="64">
        <f>'A) Base RI'!AR238</f>
        <v>1</v>
      </c>
      <c r="R238" s="4">
        <f t="shared" si="20"/>
        <v>1071210.75</v>
      </c>
      <c r="S238" s="63">
        <f>'A) Base RI'!AM238</f>
        <v>68</v>
      </c>
      <c r="T238" s="4">
        <f t="shared" si="21"/>
        <v>993045.1</v>
      </c>
      <c r="U238" s="4">
        <f t="shared" si="22"/>
        <v>15753.099264705883</v>
      </c>
      <c r="V238" s="18">
        <v>0</v>
      </c>
      <c r="W238" s="18">
        <f>'A) Base RI'!P238</f>
        <v>73004.899999999994</v>
      </c>
      <c r="X238" s="18">
        <f>'A) Base RI'!R238</f>
        <v>29554.25</v>
      </c>
      <c r="Y238" s="4">
        <f t="shared" si="23"/>
        <v>102559.15</v>
      </c>
      <c r="Z238" s="18">
        <f>'A) Base RI'!N238</f>
        <v>66847.600000000006</v>
      </c>
      <c r="AA238" s="18">
        <f>'A) Base RI'!S238+'A) Base RI'!T238</f>
        <v>1350</v>
      </c>
      <c r="AB238" s="18">
        <f>'A) Base RI'!U238</f>
        <v>3550</v>
      </c>
      <c r="AC238" s="18">
        <f>'A) Base RI'!V238</f>
        <v>0</v>
      </c>
      <c r="AD238" s="18">
        <f>'A) Base RI'!W238</f>
        <v>0</v>
      </c>
      <c r="AE238" s="18">
        <f>'A) Base RI'!Y238</f>
        <v>18852</v>
      </c>
      <c r="AF238" s="18">
        <f>'A) Base RI'!Z238</f>
        <v>0</v>
      </c>
      <c r="AG238" s="18">
        <f>'A) Base RI'!AA238</f>
        <v>91455.1</v>
      </c>
      <c r="AH238" s="18">
        <f>'A) Base RI'!AB238</f>
        <v>0</v>
      </c>
      <c r="AI238" s="18">
        <f>'A) Base RI'!AC238</f>
        <v>56314.05</v>
      </c>
      <c r="AJ238" s="18">
        <f>'A) Base RI'!AD238</f>
        <v>7005</v>
      </c>
      <c r="AK238" s="18">
        <f>'A) Base RI'!AE238</f>
        <v>0</v>
      </c>
      <c r="AL238" s="18">
        <f>'A) Base RI'!AF238</f>
        <v>0</v>
      </c>
      <c r="AM238" s="18">
        <f>'A) Base RI'!AG238</f>
        <v>0</v>
      </c>
      <c r="AN238" s="18">
        <f>'A) Base RI'!AH238</f>
        <v>0</v>
      </c>
      <c r="AO238" s="18">
        <f>'A) Base RI'!AI238</f>
        <v>0</v>
      </c>
      <c r="AP238" s="18">
        <f>'A) Base RI'!AJ238</f>
        <v>0</v>
      </c>
      <c r="AQ238" s="18">
        <f>'A) Base RI'!AK238</f>
        <v>0</v>
      </c>
      <c r="AR238" s="18">
        <f>'A) Base RI'!AN238</f>
        <v>584</v>
      </c>
    </row>
    <row r="239" spans="1:44" x14ac:dyDescent="0.25">
      <c r="A239" s="13">
        <f>'A) Base RI'!A239</f>
        <v>5764</v>
      </c>
      <c r="B239" s="62" t="str">
        <f>'A) Base RI'!B239</f>
        <v>Vallorbe</v>
      </c>
      <c r="C239" s="18">
        <f>'A) Base RI'!C239+'A) Base RI'!D239</f>
        <v>4865126.04</v>
      </c>
      <c r="D239" s="18">
        <f>'A) Base RI'!AO239</f>
        <v>-173699.96</v>
      </c>
      <c r="E239" s="61">
        <f>'A) Base RI'!AP239</f>
        <v>0</v>
      </c>
      <c r="F239" s="61">
        <f>'A) Base RI'!AQ239</f>
        <v>-902.56</v>
      </c>
      <c r="G239" s="4">
        <f t="shared" si="18"/>
        <v>4690523.5200000005</v>
      </c>
      <c r="H239" s="18">
        <f>'A) Base RI'!E239</f>
        <v>0</v>
      </c>
      <c r="I239" s="18">
        <f>'A) Base RI'!F239</f>
        <v>0</v>
      </c>
      <c r="J239" s="18">
        <f>'A) Base RI'!G239+'A) Base RI'!H239</f>
        <v>469068.85</v>
      </c>
      <c r="K239" s="18">
        <f>'A) Base RI'!I239</f>
        <v>0</v>
      </c>
      <c r="L239" s="18">
        <f>'A) Base RI'!J239</f>
        <v>301572.37</v>
      </c>
      <c r="M239" s="18">
        <f>'A) Base RI'!K239</f>
        <v>19752</v>
      </c>
      <c r="N239" s="18">
        <f>'A) Base RI'!Q239</f>
        <v>34792.94</v>
      </c>
      <c r="O239" s="18">
        <f t="shared" si="19"/>
        <v>364283.05</v>
      </c>
      <c r="P239" s="18">
        <f>'A) Base RI'!L239</f>
        <v>364283.05</v>
      </c>
      <c r="Q239" s="64">
        <f>'A) Base RI'!AR239</f>
        <v>1</v>
      </c>
      <c r="R239" s="4">
        <f t="shared" si="20"/>
        <v>5879992.7300000004</v>
      </c>
      <c r="S239" s="63">
        <f>'A) Base RI'!AM239</f>
        <v>74</v>
      </c>
      <c r="T239" s="4">
        <f t="shared" si="21"/>
        <v>5495957.6800000006</v>
      </c>
      <c r="U239" s="4">
        <f t="shared" si="22"/>
        <v>79459.361216216217</v>
      </c>
      <c r="V239" s="18">
        <f>'A) Base RI'!O239</f>
        <v>23602</v>
      </c>
      <c r="W239" s="18">
        <f>'A) Base RI'!P239</f>
        <v>154474.25</v>
      </c>
      <c r="X239" s="18">
        <f>'A) Base RI'!R239</f>
        <v>151770.5</v>
      </c>
      <c r="Y239" s="4">
        <f t="shared" si="23"/>
        <v>329846.75</v>
      </c>
      <c r="Z239" s="18">
        <f>'A) Base RI'!N239</f>
        <v>2155776.85</v>
      </c>
      <c r="AA239" s="18">
        <f>'A) Base RI'!S239+'A) Base RI'!T239</f>
        <v>8976.7000000000007</v>
      </c>
      <c r="AB239" s="18">
        <f>'A) Base RI'!U239</f>
        <v>18555</v>
      </c>
      <c r="AC239" s="18">
        <f>'A) Base RI'!V239</f>
        <v>51284.3</v>
      </c>
      <c r="AD239" s="18">
        <f>'A) Base RI'!W239</f>
        <v>3390</v>
      </c>
      <c r="AE239" s="18">
        <f>'A) Base RI'!Y239</f>
        <v>116556.3</v>
      </c>
      <c r="AF239" s="18">
        <f>'A) Base RI'!Z239</f>
        <v>10200</v>
      </c>
      <c r="AG239" s="18">
        <f>'A) Base RI'!AA239</f>
        <v>519400.55</v>
      </c>
      <c r="AH239" s="18">
        <f>'A) Base RI'!AB239</f>
        <v>0</v>
      </c>
      <c r="AI239" s="18">
        <f>'A) Base RI'!AC239</f>
        <v>519190.61</v>
      </c>
      <c r="AJ239" s="18">
        <f>'A) Base RI'!AD239</f>
        <v>102042.6</v>
      </c>
      <c r="AK239" s="18">
        <f>'A) Base RI'!AE239</f>
        <v>8976</v>
      </c>
      <c r="AL239" s="18">
        <f>'A) Base RI'!AF239</f>
        <v>0</v>
      </c>
      <c r="AM239" s="18">
        <f>'A) Base RI'!AG239</f>
        <v>9269.6</v>
      </c>
      <c r="AN239" s="18">
        <f>'A) Base RI'!AH239</f>
        <v>209430.23</v>
      </c>
      <c r="AO239" s="18">
        <f>'A) Base RI'!AI239</f>
        <v>0</v>
      </c>
      <c r="AP239" s="18">
        <f>'A) Base RI'!AJ239</f>
        <v>0</v>
      </c>
      <c r="AQ239" s="18">
        <f>'A) Base RI'!AK239</f>
        <v>0</v>
      </c>
      <c r="AR239" s="18">
        <f>'A) Base RI'!AN239</f>
        <v>3569</v>
      </c>
    </row>
    <row r="240" spans="1:44" x14ac:dyDescent="0.25">
      <c r="A240" s="13">
        <f>'A) Base RI'!A240</f>
        <v>5765</v>
      </c>
      <c r="B240" s="62" t="str">
        <f>'A) Base RI'!B240</f>
        <v>Vaulion</v>
      </c>
      <c r="C240" s="18">
        <f>'A) Base RI'!C240+'A) Base RI'!D240</f>
        <v>764951.87999999989</v>
      </c>
      <c r="D240" s="18">
        <f>'A) Base RI'!AO240</f>
        <v>-29494.93</v>
      </c>
      <c r="E240" s="61">
        <f>'A) Base RI'!AP240</f>
        <v>0</v>
      </c>
      <c r="F240" s="61">
        <f>'A) Base RI'!AQ240</f>
        <v>-7.77</v>
      </c>
      <c r="G240" s="4">
        <f t="shared" si="18"/>
        <v>735449.17999999982</v>
      </c>
      <c r="H240" s="18">
        <f>'A) Base RI'!E240</f>
        <v>0</v>
      </c>
      <c r="I240" s="18">
        <f>'A) Base RI'!F240</f>
        <v>0</v>
      </c>
      <c r="J240" s="18">
        <f>'A) Base RI'!G240+'A) Base RI'!H240</f>
        <v>17283.7</v>
      </c>
      <c r="K240" s="18">
        <f>'A) Base RI'!I240</f>
        <v>0</v>
      </c>
      <c r="L240" s="18">
        <f>'A) Base RI'!J240</f>
        <v>11191.04</v>
      </c>
      <c r="M240" s="18">
        <f>'A) Base RI'!K240</f>
        <v>0</v>
      </c>
      <c r="N240" s="18">
        <f>'A) Base RI'!Q240</f>
        <v>9215.76</v>
      </c>
      <c r="O240" s="18">
        <f t="shared" si="19"/>
        <v>54136</v>
      </c>
      <c r="P240" s="18">
        <f>'A) Base RI'!L240</f>
        <v>27068</v>
      </c>
      <c r="Q240" s="64">
        <f>'A) Base RI'!AR240</f>
        <v>0.5</v>
      </c>
      <c r="R240" s="4">
        <f t="shared" si="20"/>
        <v>827275.67999999982</v>
      </c>
      <c r="S240" s="63">
        <f>'A) Base RI'!AM240</f>
        <v>81</v>
      </c>
      <c r="T240" s="4">
        <f t="shared" si="21"/>
        <v>773139.67999999982</v>
      </c>
      <c r="U240" s="4">
        <f t="shared" si="22"/>
        <v>10213.279999999997</v>
      </c>
      <c r="V240" s="18">
        <f>'A) Base RI'!O240</f>
        <v>2114.3000000000002</v>
      </c>
      <c r="W240" s="18">
        <f>'A) Base RI'!P240</f>
        <v>35052.25</v>
      </c>
      <c r="X240" s="18">
        <f>'A) Base RI'!R240</f>
        <v>12340.05</v>
      </c>
      <c r="Y240" s="4">
        <f t="shared" si="23"/>
        <v>49506.600000000006</v>
      </c>
      <c r="Z240" s="18">
        <f>'A) Base RI'!N240</f>
        <v>52333.35</v>
      </c>
      <c r="AA240" s="18">
        <f>'A) Base RI'!S240+'A) Base RI'!T240</f>
        <v>0</v>
      </c>
      <c r="AB240" s="18">
        <f>'A) Base RI'!U240</f>
        <v>0</v>
      </c>
      <c r="AC240" s="18">
        <f>'A) Base RI'!V240</f>
        <v>0</v>
      </c>
      <c r="AD240" s="18">
        <f>'A) Base RI'!W240</f>
        <v>0</v>
      </c>
      <c r="AE240" s="18">
        <f>'A) Base RI'!Y240</f>
        <v>0</v>
      </c>
      <c r="AF240" s="18">
        <f>'A) Base RI'!Z240</f>
        <v>0</v>
      </c>
      <c r="AG240" s="18">
        <f>'A) Base RI'!AA240</f>
        <v>114601.1</v>
      </c>
      <c r="AH240" s="18">
        <f>'A) Base RI'!AB240</f>
        <v>0</v>
      </c>
      <c r="AI240" s="18">
        <f>'A) Base RI'!AC240</f>
        <v>63253.8</v>
      </c>
      <c r="AJ240" s="18">
        <f>'A) Base RI'!AD240</f>
        <v>0</v>
      </c>
      <c r="AK240" s="18">
        <f>'A) Base RI'!AE240</f>
        <v>0</v>
      </c>
      <c r="AL240" s="18">
        <f>'A) Base RI'!AF240</f>
        <v>0</v>
      </c>
      <c r="AM240" s="18">
        <f>'A) Base RI'!AG240</f>
        <v>0</v>
      </c>
      <c r="AN240" s="18">
        <f>'A) Base RI'!AH240</f>
        <v>0</v>
      </c>
      <c r="AO240" s="18">
        <f>'A) Base RI'!AI240</f>
        <v>0</v>
      </c>
      <c r="AP240" s="18">
        <f>'A) Base RI'!AJ240</f>
        <v>0</v>
      </c>
      <c r="AQ240" s="18">
        <f>'A) Base RI'!AK240</f>
        <v>0</v>
      </c>
      <c r="AR240" s="18">
        <f>'A) Base RI'!AN240</f>
        <v>483</v>
      </c>
    </row>
    <row r="241" spans="1:44" x14ac:dyDescent="0.25">
      <c r="A241" s="13">
        <f>'A) Base RI'!A241</f>
        <v>5766</v>
      </c>
      <c r="B241" s="62" t="str">
        <f>'A) Base RI'!B241</f>
        <v>Vuiteboeuf</v>
      </c>
      <c r="C241" s="18">
        <f>'A) Base RI'!C241+'A) Base RI'!D241</f>
        <v>912626.45</v>
      </c>
      <c r="D241" s="18">
        <f>'A) Base RI'!AO241</f>
        <v>-14085.44</v>
      </c>
      <c r="E241" s="61">
        <f>'A) Base RI'!AP241</f>
        <v>0</v>
      </c>
      <c r="F241" s="61">
        <f>'A) Base RI'!AQ241</f>
        <v>-1.17</v>
      </c>
      <c r="G241" s="4">
        <f t="shared" si="18"/>
        <v>898539.84</v>
      </c>
      <c r="H241" s="18">
        <f>'A) Base RI'!E241</f>
        <v>0</v>
      </c>
      <c r="I241" s="18">
        <f>'A) Base RI'!F241</f>
        <v>0</v>
      </c>
      <c r="J241" s="18">
        <f>'A) Base RI'!G241+'A) Base RI'!H241</f>
        <v>17627.949999999997</v>
      </c>
      <c r="K241" s="18">
        <f>'A) Base RI'!I241</f>
        <v>0</v>
      </c>
      <c r="L241" s="18">
        <f>'A) Base RI'!J241</f>
        <v>28155.82</v>
      </c>
      <c r="M241" s="18">
        <f>'A) Base RI'!K241</f>
        <v>3585.5</v>
      </c>
      <c r="N241" s="18">
        <f>'A) Base RI'!Q241</f>
        <v>0</v>
      </c>
      <c r="O241" s="18">
        <f t="shared" si="19"/>
        <v>67468.21428571429</v>
      </c>
      <c r="P241" s="18">
        <f>'A) Base RI'!L241</f>
        <v>47227.75</v>
      </c>
      <c r="Q241" s="64">
        <f>'A) Base RI'!AR241</f>
        <v>0.7</v>
      </c>
      <c r="R241" s="4">
        <f t="shared" si="20"/>
        <v>1015377.3242857142</v>
      </c>
      <c r="S241" s="63">
        <f>'A) Base RI'!AM241</f>
        <v>77</v>
      </c>
      <c r="T241" s="4">
        <f t="shared" si="21"/>
        <v>944323.60999999987</v>
      </c>
      <c r="U241" s="4">
        <f t="shared" si="22"/>
        <v>13186.718497217067</v>
      </c>
      <c r="V241" s="18">
        <v>0</v>
      </c>
      <c r="W241" s="18">
        <f>'A) Base RI'!P241</f>
        <v>22968</v>
      </c>
      <c r="X241" s="18">
        <f>'A) Base RI'!R241</f>
        <v>13152.95</v>
      </c>
      <c r="Y241" s="4">
        <f t="shared" si="23"/>
        <v>36120.949999999997</v>
      </c>
      <c r="Z241" s="18">
        <f>'A) Base RI'!N241</f>
        <v>17981.55</v>
      </c>
      <c r="AA241" s="18">
        <f>'A) Base RI'!S241+'A) Base RI'!T241</f>
        <v>187.5</v>
      </c>
      <c r="AB241" s="18">
        <f>'A) Base RI'!U241</f>
        <v>1820</v>
      </c>
      <c r="AC241" s="18">
        <f>'A) Base RI'!V241</f>
        <v>0</v>
      </c>
      <c r="AD241" s="18">
        <f>'A) Base RI'!W241</f>
        <v>0</v>
      </c>
      <c r="AE241" s="18">
        <f>'A) Base RI'!Y241</f>
        <v>0</v>
      </c>
      <c r="AF241" s="18">
        <f>'A) Base RI'!Z241</f>
        <v>0</v>
      </c>
      <c r="AG241" s="18">
        <f>'A) Base RI'!AA241</f>
        <v>38316.57</v>
      </c>
      <c r="AH241" s="18">
        <f>'A) Base RI'!AB241</f>
        <v>0</v>
      </c>
      <c r="AI241" s="18">
        <f>'A) Base RI'!AC241</f>
        <v>34772.199999999997</v>
      </c>
      <c r="AJ241" s="18">
        <f>'A) Base RI'!AD241</f>
        <v>960</v>
      </c>
      <c r="AK241" s="18">
        <f>'A) Base RI'!AE241</f>
        <v>0</v>
      </c>
      <c r="AL241" s="18">
        <f>'A) Base RI'!AF241</f>
        <v>0</v>
      </c>
      <c r="AM241" s="18">
        <f>'A) Base RI'!AG241</f>
        <v>0</v>
      </c>
      <c r="AN241" s="18">
        <f>'A) Base RI'!AH241</f>
        <v>0</v>
      </c>
      <c r="AO241" s="18">
        <f>'A) Base RI'!AI241</f>
        <v>0</v>
      </c>
      <c r="AP241" s="18">
        <f>'A) Base RI'!AJ241</f>
        <v>0</v>
      </c>
      <c r="AQ241" s="18">
        <f>'A) Base RI'!AK241</f>
        <v>0</v>
      </c>
      <c r="AR241" s="18">
        <f>'A) Base RI'!AN241</f>
        <v>516</v>
      </c>
    </row>
    <row r="242" spans="1:44" x14ac:dyDescent="0.25">
      <c r="A242" s="13">
        <f>'A) Base RI'!A242</f>
        <v>5782</v>
      </c>
      <c r="B242" s="62" t="str">
        <f>'A) Base RI'!B242</f>
        <v>Carrouge</v>
      </c>
      <c r="C242" s="18">
        <f>'A) Base RI'!C242+'A) Base RI'!D242</f>
        <v>2012504.03</v>
      </c>
      <c r="D242" s="18">
        <f>'A) Base RI'!AO242</f>
        <v>-28497.17</v>
      </c>
      <c r="E242" s="61">
        <f>'A) Base RI'!AP242</f>
        <v>0</v>
      </c>
      <c r="F242" s="61">
        <f>'A) Base RI'!AQ242</f>
        <v>-23.76</v>
      </c>
      <c r="G242" s="4">
        <f t="shared" si="18"/>
        <v>1983983.1</v>
      </c>
      <c r="H242" s="18">
        <f>'A) Base RI'!E242</f>
        <v>0</v>
      </c>
      <c r="I242" s="18">
        <f>'A) Base RI'!F242</f>
        <v>0</v>
      </c>
      <c r="J242" s="18">
        <f>'A) Base RI'!G242+'A) Base RI'!H242</f>
        <v>101351.79999999999</v>
      </c>
      <c r="K242" s="18">
        <f>'A) Base RI'!I242</f>
        <v>0</v>
      </c>
      <c r="L242" s="18">
        <f>'A) Base RI'!J242</f>
        <v>33954.71</v>
      </c>
      <c r="M242" s="18">
        <f>'A) Base RI'!K242</f>
        <v>4668</v>
      </c>
      <c r="N242" s="18">
        <f>'A) Base RI'!Q242</f>
        <v>0</v>
      </c>
      <c r="O242" s="18">
        <f t="shared" si="19"/>
        <v>167892.7</v>
      </c>
      <c r="P242" s="18">
        <f>'A) Base RI'!L242</f>
        <v>167892.7</v>
      </c>
      <c r="Q242" s="64">
        <f>'A) Base RI'!AR242</f>
        <v>1</v>
      </c>
      <c r="R242" s="4">
        <f t="shared" si="20"/>
        <v>2291850.3100000005</v>
      </c>
      <c r="S242" s="63">
        <f>'A) Base RI'!AM242</f>
        <v>75</v>
      </c>
      <c r="T242" s="4">
        <f t="shared" si="21"/>
        <v>2119289.6100000003</v>
      </c>
      <c r="U242" s="4">
        <f t="shared" si="22"/>
        <v>30558.004133333339</v>
      </c>
      <c r="V242" s="18">
        <v>0</v>
      </c>
      <c r="W242" s="18">
        <f>'A) Base RI'!P242</f>
        <v>43856.75</v>
      </c>
      <c r="X242" s="18">
        <f>'A) Base RI'!R242</f>
        <v>98988.4</v>
      </c>
      <c r="Y242" s="4">
        <f t="shared" si="23"/>
        <v>142845.15</v>
      </c>
      <c r="Z242" s="18">
        <f>'A) Base RI'!N242</f>
        <v>6588.75</v>
      </c>
      <c r="AA242" s="18">
        <f>'A) Base RI'!S242+'A) Base RI'!T242</f>
        <v>225</v>
      </c>
      <c r="AB242" s="18">
        <f>'A) Base RI'!U242</f>
        <v>4950</v>
      </c>
      <c r="AC242" s="18">
        <f>'A) Base RI'!V242</f>
        <v>0</v>
      </c>
      <c r="AD242" s="18">
        <f>'A) Base RI'!W242</f>
        <v>0</v>
      </c>
      <c r="AE242" s="18">
        <f>'A) Base RI'!Y242</f>
        <v>105814.2</v>
      </c>
      <c r="AF242" s="18">
        <f>'A) Base RI'!Z242</f>
        <v>0</v>
      </c>
      <c r="AG242" s="18">
        <f>'A) Base RI'!AA242</f>
        <v>178700.85</v>
      </c>
      <c r="AH242" s="18">
        <f>'A) Base RI'!AB242</f>
        <v>0</v>
      </c>
      <c r="AI242" s="18">
        <f>'A) Base RI'!AC242</f>
        <v>51467.65</v>
      </c>
      <c r="AJ242" s="18">
        <f>'A) Base RI'!AD242</f>
        <v>65406.400000000001</v>
      </c>
      <c r="AK242" s="18">
        <f>'A) Base RI'!AE242</f>
        <v>0</v>
      </c>
      <c r="AL242" s="18">
        <f>'A) Base RI'!AF242</f>
        <v>0</v>
      </c>
      <c r="AM242" s="18">
        <f>'A) Base RI'!AG242</f>
        <v>0</v>
      </c>
      <c r="AN242" s="18">
        <f>'A) Base RI'!AH242</f>
        <v>0</v>
      </c>
      <c r="AO242" s="18">
        <f>'A) Base RI'!AI242</f>
        <v>0</v>
      </c>
      <c r="AP242" s="18">
        <f>'A) Base RI'!AJ242</f>
        <v>0</v>
      </c>
      <c r="AQ242" s="18">
        <f>'A) Base RI'!AK242</f>
        <v>0</v>
      </c>
      <c r="AR242" s="18">
        <f>'A) Base RI'!AN242</f>
        <v>1103</v>
      </c>
    </row>
    <row r="243" spans="1:44" x14ac:dyDescent="0.25">
      <c r="A243" s="13">
        <f>'A) Base RI'!A243</f>
        <v>5785</v>
      </c>
      <c r="B243" s="62" t="str">
        <f>'A) Base RI'!B243</f>
        <v>Corcelles-le-Jorat</v>
      </c>
      <c r="C243" s="18">
        <f>'A) Base RI'!C243+'A) Base RI'!D243</f>
        <v>978779.51</v>
      </c>
      <c r="D243" s="18">
        <f>'A) Base RI'!AO243</f>
        <v>-1705.3</v>
      </c>
      <c r="E243" s="61">
        <f>'A) Base RI'!AP243</f>
        <v>0</v>
      </c>
      <c r="F243" s="61">
        <f>'A) Base RI'!AQ243</f>
        <v>-13.95</v>
      </c>
      <c r="G243" s="4">
        <f t="shared" si="18"/>
        <v>977060.26</v>
      </c>
      <c r="H243" s="18">
        <f>'A) Base RI'!E243</f>
        <v>0</v>
      </c>
      <c r="I243" s="18">
        <f>'A) Base RI'!F243</f>
        <v>0</v>
      </c>
      <c r="J243" s="18">
        <f>'A) Base RI'!G243+'A) Base RI'!H243</f>
        <v>151514.9</v>
      </c>
      <c r="K243" s="18">
        <f>'A) Base RI'!I243</f>
        <v>0</v>
      </c>
      <c r="L243" s="18">
        <f>'A) Base RI'!J243</f>
        <v>10439.31</v>
      </c>
      <c r="M243" s="18">
        <f>'A) Base RI'!K243</f>
        <v>978.5</v>
      </c>
      <c r="N243" s="18">
        <f>'A) Base RI'!Q243</f>
        <v>0</v>
      </c>
      <c r="O243" s="18">
        <f t="shared" si="19"/>
        <v>62461.1</v>
      </c>
      <c r="P243" s="18">
        <f>'A) Base RI'!L243</f>
        <v>62461.1</v>
      </c>
      <c r="Q243" s="64">
        <f>'A) Base RI'!AR243</f>
        <v>1</v>
      </c>
      <c r="R243" s="4">
        <f t="shared" si="20"/>
        <v>1202454.07</v>
      </c>
      <c r="S243" s="63">
        <f>'A) Base RI'!AM243</f>
        <v>79</v>
      </c>
      <c r="T243" s="4">
        <f t="shared" si="21"/>
        <v>1139014.47</v>
      </c>
      <c r="U243" s="4">
        <f t="shared" si="22"/>
        <v>15220.93759493671</v>
      </c>
      <c r="V243" s="18">
        <f>'A) Base RI'!O243</f>
        <v>48861.3</v>
      </c>
      <c r="W243" s="18">
        <f>'A) Base RI'!P243</f>
        <v>10681.95</v>
      </c>
      <c r="X243" s="18">
        <f>'A) Base RI'!R243</f>
        <v>24687</v>
      </c>
      <c r="Y243" s="4">
        <f t="shared" si="23"/>
        <v>84230.25</v>
      </c>
      <c r="Z243" s="18">
        <f>'A) Base RI'!N243</f>
        <v>0</v>
      </c>
      <c r="AA243" s="18">
        <f>'A) Base RI'!S243+'A) Base RI'!T243</f>
        <v>95</v>
      </c>
      <c r="AB243" s="18">
        <f>'A) Base RI'!U243</f>
        <v>2680</v>
      </c>
      <c r="AC243" s="18">
        <f>'A) Base RI'!V243</f>
        <v>0</v>
      </c>
      <c r="AD243" s="18">
        <f>'A) Base RI'!W243</f>
        <v>0</v>
      </c>
      <c r="AE243" s="18">
        <f>'A) Base RI'!Y243</f>
        <v>3000</v>
      </c>
      <c r="AF243" s="18">
        <f>'A) Base RI'!Z243</f>
        <v>0</v>
      </c>
      <c r="AG243" s="18">
        <f>'A) Base RI'!AA243</f>
        <v>99451.7</v>
      </c>
      <c r="AH243" s="18">
        <f>'A) Base RI'!AB243</f>
        <v>0</v>
      </c>
      <c r="AI243" s="18">
        <f>'A) Base RI'!AC243</f>
        <v>39186.949999999997</v>
      </c>
      <c r="AJ243" s="18">
        <f>'A) Base RI'!AD243</f>
        <v>2500</v>
      </c>
      <c r="AK243" s="18">
        <f>'A) Base RI'!AE243</f>
        <v>0</v>
      </c>
      <c r="AL243" s="18">
        <f>'A) Base RI'!AF243</f>
        <v>0</v>
      </c>
      <c r="AM243" s="18">
        <f>'A) Base RI'!AG243</f>
        <v>0</v>
      </c>
      <c r="AN243" s="18">
        <f>'A) Base RI'!AH243</f>
        <v>0</v>
      </c>
      <c r="AO243" s="18">
        <f>'A) Base RI'!AI243</f>
        <v>0</v>
      </c>
      <c r="AP243" s="18">
        <f>'A) Base RI'!AJ243</f>
        <v>0</v>
      </c>
      <c r="AQ243" s="18">
        <f>'A) Base RI'!AK243</f>
        <v>0</v>
      </c>
      <c r="AR243" s="18">
        <f>'A) Base RI'!AN243</f>
        <v>443</v>
      </c>
    </row>
    <row r="244" spans="1:44" x14ac:dyDescent="0.25">
      <c r="A244" s="13">
        <f>'A) Base RI'!A244</f>
        <v>5788</v>
      </c>
      <c r="B244" s="62" t="str">
        <f>'A) Base RI'!B244</f>
        <v>Essertes</v>
      </c>
      <c r="C244" s="18">
        <f>'A) Base RI'!C244+'A) Base RI'!D244</f>
        <v>589324.99</v>
      </c>
      <c r="D244" s="18">
        <f>'A) Base RI'!AO244</f>
        <v>-6808.76</v>
      </c>
      <c r="E244" s="61">
        <f>'A) Base RI'!AP244</f>
        <v>0</v>
      </c>
      <c r="F244" s="61">
        <f>'A) Base RI'!AQ244</f>
        <v>-2.17</v>
      </c>
      <c r="G244" s="4">
        <f t="shared" si="18"/>
        <v>582514.05999999994</v>
      </c>
      <c r="H244" s="18">
        <f>'A) Base RI'!E244</f>
        <v>0</v>
      </c>
      <c r="I244" s="18">
        <f>'A) Base RI'!F244</f>
        <v>0</v>
      </c>
      <c r="J244" s="18">
        <f>'A) Base RI'!G244+'A) Base RI'!H244</f>
        <v>10777.05</v>
      </c>
      <c r="K244" s="18">
        <f>'A) Base RI'!I244</f>
        <v>0</v>
      </c>
      <c r="L244" s="18">
        <f>'A) Base RI'!J244</f>
        <v>4015.33</v>
      </c>
      <c r="M244" s="18">
        <f>'A) Base RI'!K244</f>
        <v>814</v>
      </c>
      <c r="N244" s="18">
        <f>'A) Base RI'!Q244</f>
        <v>56.3</v>
      </c>
      <c r="O244" s="18">
        <f t="shared" si="19"/>
        <v>53396.240000000005</v>
      </c>
      <c r="P244" s="18">
        <f>'A) Base RI'!L244</f>
        <v>66745.3</v>
      </c>
      <c r="Q244" s="64">
        <f>'A) Base RI'!AR244</f>
        <v>1.25</v>
      </c>
      <c r="R244" s="4">
        <f t="shared" si="20"/>
        <v>651572.98</v>
      </c>
      <c r="S244" s="63">
        <f>'A) Base RI'!AM244</f>
        <v>70</v>
      </c>
      <c r="T244" s="4">
        <f t="shared" si="21"/>
        <v>597362.74</v>
      </c>
      <c r="U244" s="4">
        <f t="shared" si="22"/>
        <v>9308.1854285714289</v>
      </c>
      <c r="V244" s="18">
        <f>'A) Base RI'!O244</f>
        <v>2062.5</v>
      </c>
      <c r="W244" s="18">
        <f>'A) Base RI'!P244</f>
        <v>6930</v>
      </c>
      <c r="X244" s="18">
        <v>0</v>
      </c>
      <c r="Y244" s="4">
        <f t="shared" si="23"/>
        <v>8992.5</v>
      </c>
      <c r="Z244" s="18">
        <f>'A) Base RI'!N244</f>
        <v>0</v>
      </c>
      <c r="AA244" s="18">
        <f>'A) Base RI'!S244+'A) Base RI'!T244</f>
        <v>25</v>
      </c>
      <c r="AB244" s="18">
        <f>'A) Base RI'!U244</f>
        <v>1470</v>
      </c>
      <c r="AC244" s="18">
        <f>'A) Base RI'!V244</f>
        <v>0</v>
      </c>
      <c r="AD244" s="18">
        <f>'A) Base RI'!W244</f>
        <v>0</v>
      </c>
      <c r="AE244" s="18">
        <f>'A) Base RI'!Y244</f>
        <v>0</v>
      </c>
      <c r="AF244" s="18">
        <f>'A) Base RI'!Z244</f>
        <v>0</v>
      </c>
      <c r="AG244" s="18">
        <f>'A) Base RI'!AA244</f>
        <v>41994</v>
      </c>
      <c r="AH244" s="18">
        <f>'A) Base RI'!AB244</f>
        <v>0</v>
      </c>
      <c r="AI244" s="18">
        <f>'A) Base RI'!AC244</f>
        <v>16430</v>
      </c>
      <c r="AJ244" s="18">
        <f>'A) Base RI'!AD244</f>
        <v>0</v>
      </c>
      <c r="AK244" s="18">
        <f>'A) Base RI'!AE244</f>
        <v>0</v>
      </c>
      <c r="AL244" s="18">
        <f>'A) Base RI'!AF244</f>
        <v>0</v>
      </c>
      <c r="AM244" s="18">
        <f>'A) Base RI'!AG244</f>
        <v>0</v>
      </c>
      <c r="AN244" s="18">
        <f>'A) Base RI'!AH244</f>
        <v>0</v>
      </c>
      <c r="AO244" s="18">
        <f>'A) Base RI'!AI244</f>
        <v>0</v>
      </c>
      <c r="AP244" s="18">
        <f>'A) Base RI'!AJ244</f>
        <v>0</v>
      </c>
      <c r="AQ244" s="18">
        <f>'A) Base RI'!AK244</f>
        <v>0</v>
      </c>
      <c r="AR244" s="18">
        <f>'A) Base RI'!AN244</f>
        <v>330</v>
      </c>
    </row>
    <row r="245" spans="1:44" x14ac:dyDescent="0.25">
      <c r="A245" s="13">
        <f>'A) Base RI'!A245</f>
        <v>5789</v>
      </c>
      <c r="B245" s="62" t="str">
        <f>'A) Base RI'!B245</f>
        <v>Ferlens</v>
      </c>
      <c r="C245" s="18">
        <f>'A) Base RI'!C245+'A) Base RI'!D245</f>
        <v>677871.05999999994</v>
      </c>
      <c r="D245" s="18">
        <f>'A) Base RI'!AO245</f>
        <v>-2677.75</v>
      </c>
      <c r="E245" s="61">
        <f>'A) Base RI'!AP245</f>
        <v>0</v>
      </c>
      <c r="F245" s="61">
        <f>'A) Base RI'!AQ245</f>
        <v>-0.92</v>
      </c>
      <c r="G245" s="4">
        <f t="shared" si="18"/>
        <v>675192.3899999999</v>
      </c>
      <c r="H245" s="18">
        <f>'A) Base RI'!E245</f>
        <v>0</v>
      </c>
      <c r="I245" s="18">
        <f>'A) Base RI'!F245</f>
        <v>0</v>
      </c>
      <c r="J245" s="18">
        <f>'A) Base RI'!G245+'A) Base RI'!H245</f>
        <v>736.85</v>
      </c>
      <c r="K245" s="18">
        <f>'A) Base RI'!I245</f>
        <v>0</v>
      </c>
      <c r="L245" s="18">
        <f>'A) Base RI'!J245</f>
        <v>8231.91</v>
      </c>
      <c r="M245" s="18">
        <f>'A) Base RI'!K245</f>
        <v>29</v>
      </c>
      <c r="N245" s="18">
        <f>'A) Base RI'!Q245</f>
        <v>0</v>
      </c>
      <c r="O245" s="18">
        <f t="shared" si="19"/>
        <v>47050.45</v>
      </c>
      <c r="P245" s="18">
        <f>'A) Base RI'!L245</f>
        <v>47050.45</v>
      </c>
      <c r="Q245" s="64">
        <f>'A) Base RI'!AR245</f>
        <v>1</v>
      </c>
      <c r="R245" s="4">
        <f t="shared" si="20"/>
        <v>731240.59999999986</v>
      </c>
      <c r="S245" s="63">
        <f>'A) Base RI'!AM245</f>
        <v>77</v>
      </c>
      <c r="T245" s="4">
        <f t="shared" si="21"/>
        <v>684161.14999999991</v>
      </c>
      <c r="U245" s="4">
        <f t="shared" si="22"/>
        <v>9496.6311688311671</v>
      </c>
      <c r="V245" s="18">
        <v>0</v>
      </c>
      <c r="W245" s="18">
        <f>'A) Base RI'!P245</f>
        <v>7052.6</v>
      </c>
      <c r="X245" s="18">
        <f>'A) Base RI'!R245</f>
        <v>10328.35</v>
      </c>
      <c r="Y245" s="4">
        <f t="shared" si="23"/>
        <v>17380.95</v>
      </c>
      <c r="Z245" s="18">
        <f>'A) Base RI'!N245</f>
        <v>0</v>
      </c>
      <c r="AA245" s="18">
        <f>'A) Base RI'!S245+'A) Base RI'!T245</f>
        <v>0</v>
      </c>
      <c r="AB245" s="18">
        <f>'A) Base RI'!U245</f>
        <v>2275</v>
      </c>
      <c r="AC245" s="18">
        <f>'A) Base RI'!V245</f>
        <v>0</v>
      </c>
      <c r="AD245" s="18">
        <f>'A) Base RI'!W245</f>
        <v>0</v>
      </c>
      <c r="AE245" s="18">
        <f>'A) Base RI'!Y245</f>
        <v>0</v>
      </c>
      <c r="AF245" s="18">
        <f>'A) Base RI'!Z245</f>
        <v>0</v>
      </c>
      <c r="AG245" s="18">
        <f>'A) Base RI'!AA245</f>
        <v>35223.449999999997</v>
      </c>
      <c r="AH245" s="18">
        <f>'A) Base RI'!AB245</f>
        <v>0</v>
      </c>
      <c r="AI245" s="18">
        <f>'A) Base RI'!AC245</f>
        <v>19564.02</v>
      </c>
      <c r="AJ245" s="18">
        <f>'A) Base RI'!AD245</f>
        <v>0</v>
      </c>
      <c r="AK245" s="18">
        <f>'A) Base RI'!AE245</f>
        <v>0</v>
      </c>
      <c r="AL245" s="18">
        <f>'A) Base RI'!AF245</f>
        <v>0</v>
      </c>
      <c r="AM245" s="18">
        <f>'A) Base RI'!AG245</f>
        <v>0</v>
      </c>
      <c r="AN245" s="18">
        <f>'A) Base RI'!AH245</f>
        <v>0</v>
      </c>
      <c r="AO245" s="18">
        <f>'A) Base RI'!AI245</f>
        <v>0</v>
      </c>
      <c r="AP245" s="18">
        <f>'A) Base RI'!AJ245</f>
        <v>0</v>
      </c>
      <c r="AQ245" s="18">
        <f>'A) Base RI'!AK245</f>
        <v>0</v>
      </c>
      <c r="AR245" s="18">
        <f>'A) Base RI'!AN245</f>
        <v>330</v>
      </c>
    </row>
    <row r="246" spans="1:44" x14ac:dyDescent="0.25">
      <c r="A246" s="13">
        <f>'A) Base RI'!A246</f>
        <v>5790</v>
      </c>
      <c r="B246" s="62" t="str">
        <f>'A) Base RI'!B246</f>
        <v>Maracon</v>
      </c>
      <c r="C246" s="18">
        <f>'A) Base RI'!C246+'A) Base RI'!D246</f>
        <v>821060.66999999993</v>
      </c>
      <c r="D246" s="18">
        <f>'A) Base RI'!AO246</f>
        <v>-18743.59</v>
      </c>
      <c r="E246" s="61">
        <f>'A) Base RI'!AP246</f>
        <v>0</v>
      </c>
      <c r="F246" s="61">
        <f>'A) Base RI'!AQ246</f>
        <v>-114.08</v>
      </c>
      <c r="G246" s="4">
        <f t="shared" si="18"/>
        <v>802203</v>
      </c>
      <c r="H246" s="18">
        <f>'A) Base RI'!E246</f>
        <v>0</v>
      </c>
      <c r="I246" s="18">
        <f>'A) Base RI'!F246</f>
        <v>0</v>
      </c>
      <c r="J246" s="18">
        <f>'A) Base RI'!G246+'A) Base RI'!H246</f>
        <v>4125.8</v>
      </c>
      <c r="K246" s="18">
        <f>'A) Base RI'!I246</f>
        <v>0</v>
      </c>
      <c r="L246" s="18">
        <f>'A) Base RI'!J246</f>
        <v>2103.65</v>
      </c>
      <c r="M246" s="18">
        <f>'A) Base RI'!K246</f>
        <v>203.5</v>
      </c>
      <c r="N246" s="18">
        <f>'A) Base RI'!Q246</f>
        <v>0</v>
      </c>
      <c r="O246" s="18">
        <f t="shared" si="19"/>
        <v>68330.25</v>
      </c>
      <c r="P246" s="18">
        <f>'A) Base RI'!L246</f>
        <v>68330.25</v>
      </c>
      <c r="Q246" s="64">
        <f>'A) Base RI'!AR246</f>
        <v>1</v>
      </c>
      <c r="R246" s="4">
        <f t="shared" si="20"/>
        <v>876966.20000000007</v>
      </c>
      <c r="S246" s="63">
        <f>'A) Base RI'!AM246</f>
        <v>76</v>
      </c>
      <c r="T246" s="4">
        <f t="shared" si="21"/>
        <v>808432.45000000007</v>
      </c>
      <c r="U246" s="4">
        <f t="shared" si="22"/>
        <v>11539.028947368422</v>
      </c>
      <c r="V246" s="18">
        <f>'A) Base RI'!O246</f>
        <v>248.2</v>
      </c>
      <c r="W246" s="18">
        <f>'A) Base RI'!P246</f>
        <v>14279.8</v>
      </c>
      <c r="X246" s="18">
        <f>'A) Base RI'!R246</f>
        <v>49672.25</v>
      </c>
      <c r="Y246" s="4">
        <f t="shared" si="23"/>
        <v>64200.25</v>
      </c>
      <c r="Z246" s="18">
        <f>'A) Base RI'!N246</f>
        <v>0</v>
      </c>
      <c r="AA246" s="18">
        <f>'A) Base RI'!S246+'A) Base RI'!T246</f>
        <v>26</v>
      </c>
      <c r="AB246" s="18">
        <f>'A) Base RI'!U246</f>
        <v>4800</v>
      </c>
      <c r="AC246" s="18">
        <f>'A) Base RI'!V246</f>
        <v>0</v>
      </c>
      <c r="AD246" s="18">
        <f>'A) Base RI'!W246</f>
        <v>0</v>
      </c>
      <c r="AE246" s="18">
        <f>'A) Base RI'!Y246</f>
        <v>1800</v>
      </c>
      <c r="AF246" s="18">
        <f>'A) Base RI'!Z246</f>
        <v>0</v>
      </c>
      <c r="AG246" s="18">
        <f>'A) Base RI'!AA246</f>
        <v>42987.5</v>
      </c>
      <c r="AH246" s="18">
        <f>'A) Base RI'!AB246</f>
        <v>0</v>
      </c>
      <c r="AI246" s="18">
        <f>'A) Base RI'!AC246</f>
        <v>24388.35</v>
      </c>
      <c r="AJ246" s="18">
        <f>'A) Base RI'!AD246</f>
        <v>968.6</v>
      </c>
      <c r="AK246" s="18">
        <f>'A) Base RI'!AE246</f>
        <v>0</v>
      </c>
      <c r="AL246" s="18">
        <f>'A) Base RI'!AF246</f>
        <v>0</v>
      </c>
      <c r="AM246" s="18">
        <f>'A) Base RI'!AG246</f>
        <v>0</v>
      </c>
      <c r="AN246" s="18">
        <f>'A) Base RI'!AH246</f>
        <v>0</v>
      </c>
      <c r="AO246" s="18">
        <f>'A) Base RI'!AI246</f>
        <v>0</v>
      </c>
      <c r="AP246" s="18">
        <f>'A) Base RI'!AJ246</f>
        <v>0</v>
      </c>
      <c r="AQ246" s="18">
        <f>'A) Base RI'!AK246</f>
        <v>0</v>
      </c>
      <c r="AR246" s="18">
        <f>'A) Base RI'!AN246</f>
        <v>444</v>
      </c>
    </row>
    <row r="247" spans="1:44" x14ac:dyDescent="0.25">
      <c r="A247" s="13">
        <f>'A) Base RI'!A247</f>
        <v>5791</v>
      </c>
      <c r="B247" s="62" t="str">
        <f>'A) Base RI'!B247</f>
        <v>Mézières</v>
      </c>
      <c r="C247" s="18">
        <f>'A) Base RI'!C247+'A) Base RI'!D247</f>
        <v>2742363.33</v>
      </c>
      <c r="D247" s="18">
        <f>'A) Base RI'!AO247</f>
        <v>-37931.79</v>
      </c>
      <c r="E247" s="61">
        <f>'A) Base RI'!AP247</f>
        <v>0</v>
      </c>
      <c r="F247" s="61">
        <f>'A) Base RI'!AQ247</f>
        <v>-58.95</v>
      </c>
      <c r="G247" s="4">
        <f t="shared" si="18"/>
        <v>2704372.59</v>
      </c>
      <c r="H247" s="18">
        <f>'A) Base RI'!E247</f>
        <v>0</v>
      </c>
      <c r="I247" s="18">
        <f>'A) Base RI'!F247</f>
        <v>0</v>
      </c>
      <c r="J247" s="18">
        <f>'A) Base RI'!G247+'A) Base RI'!H247</f>
        <v>107682.55</v>
      </c>
      <c r="K247" s="18">
        <f>'A) Base RI'!I247</f>
        <v>55491.55</v>
      </c>
      <c r="L247" s="18">
        <f>'A) Base RI'!J247</f>
        <v>46177.120000000003</v>
      </c>
      <c r="M247" s="18">
        <f>'A) Base RI'!K247</f>
        <v>19325.5</v>
      </c>
      <c r="N247" s="18">
        <f>'A) Base RI'!Q247</f>
        <v>32605.91</v>
      </c>
      <c r="O247" s="18">
        <f t="shared" si="19"/>
        <v>198686.93333333335</v>
      </c>
      <c r="P247" s="18">
        <f>'A) Base RI'!L247</f>
        <v>298030.40000000002</v>
      </c>
      <c r="Q247" s="64">
        <f>'A) Base RI'!AR247</f>
        <v>1.5</v>
      </c>
      <c r="R247" s="4">
        <f t="shared" si="20"/>
        <v>3164342.1533333333</v>
      </c>
      <c r="S247" s="63">
        <f>'A) Base RI'!AM247</f>
        <v>76</v>
      </c>
      <c r="T247" s="4">
        <f t="shared" si="21"/>
        <v>2946329.7199999997</v>
      </c>
      <c r="U247" s="4">
        <f t="shared" si="22"/>
        <v>41636.080964912282</v>
      </c>
      <c r="V247" s="18">
        <f>'A) Base RI'!O247</f>
        <v>95504.9</v>
      </c>
      <c r="W247" s="18">
        <f>'A) Base RI'!P247</f>
        <v>91056.05</v>
      </c>
      <c r="X247" s="18">
        <f>'A) Base RI'!R247</f>
        <v>6679.55</v>
      </c>
      <c r="Y247" s="4">
        <f t="shared" si="23"/>
        <v>193240.5</v>
      </c>
      <c r="Z247" s="18">
        <f>'A) Base RI'!N247</f>
        <v>1315.9</v>
      </c>
      <c r="AA247" s="18">
        <f>'A) Base RI'!S247+'A) Base RI'!T247</f>
        <v>2647.75</v>
      </c>
      <c r="AB247" s="18">
        <f>'A) Base RI'!U247</f>
        <v>4075</v>
      </c>
      <c r="AC247" s="18">
        <f>'A) Base RI'!V247</f>
        <v>20619.8</v>
      </c>
      <c r="AD247" s="18">
        <f>'A) Base RI'!W247</f>
        <v>0</v>
      </c>
      <c r="AE247" s="18">
        <f>'A) Base RI'!Y247</f>
        <v>18900</v>
      </c>
      <c r="AF247" s="18">
        <f>'A) Base RI'!Z247</f>
        <v>0</v>
      </c>
      <c r="AG247" s="18">
        <f>'A) Base RI'!AA247</f>
        <v>134936.4</v>
      </c>
      <c r="AH247" s="18">
        <f>'A) Base RI'!AB247</f>
        <v>0</v>
      </c>
      <c r="AI247" s="18">
        <f>'A) Base RI'!AC247</f>
        <v>127304.65</v>
      </c>
      <c r="AJ247" s="18">
        <f>'A) Base RI'!AD247</f>
        <v>18900</v>
      </c>
      <c r="AK247" s="18">
        <f>'A) Base RI'!AE247</f>
        <v>0</v>
      </c>
      <c r="AL247" s="18">
        <f>'A) Base RI'!AF247</f>
        <v>0</v>
      </c>
      <c r="AM247" s="18">
        <f>'A) Base RI'!AG247</f>
        <v>0</v>
      </c>
      <c r="AN247" s="18">
        <f>'A) Base RI'!AH247</f>
        <v>0</v>
      </c>
      <c r="AO247" s="18">
        <f>'A) Base RI'!AI247</f>
        <v>0</v>
      </c>
      <c r="AP247" s="18">
        <f>'A) Base RI'!AJ247</f>
        <v>0</v>
      </c>
      <c r="AQ247" s="18">
        <f>'A) Base RI'!AK247</f>
        <v>0</v>
      </c>
      <c r="AR247" s="18">
        <f>'A) Base RI'!AN247</f>
        <v>1192</v>
      </c>
    </row>
    <row r="248" spans="1:44" x14ac:dyDescent="0.25">
      <c r="A248" s="13">
        <f>'A) Base RI'!A248</f>
        <v>5792</v>
      </c>
      <c r="B248" s="62" t="str">
        <f>'A) Base RI'!B248</f>
        <v>Montpreveyres</v>
      </c>
      <c r="C248" s="18">
        <f>'A) Base RI'!C248+'A) Base RI'!D248</f>
        <v>1146618.6000000001</v>
      </c>
      <c r="D248" s="18">
        <f>'A) Base RI'!AO248</f>
        <v>-7637.84</v>
      </c>
      <c r="E248" s="61">
        <f>'A) Base RI'!AP248</f>
        <v>-5517.4</v>
      </c>
      <c r="F248" s="61">
        <f>'A) Base RI'!AQ248</f>
        <v>-14.04</v>
      </c>
      <c r="G248" s="4">
        <f t="shared" si="18"/>
        <v>1133449.32</v>
      </c>
      <c r="H248" s="18">
        <f>'A) Base RI'!E248</f>
        <v>0</v>
      </c>
      <c r="I248" s="18">
        <f>'A) Base RI'!F248</f>
        <v>0</v>
      </c>
      <c r="J248" s="18">
        <f>'A) Base RI'!G248+'A) Base RI'!H248</f>
        <v>94591.3</v>
      </c>
      <c r="K248" s="18">
        <f>'A) Base RI'!I248</f>
        <v>0</v>
      </c>
      <c r="L248" s="18">
        <f>'A) Base RI'!J248</f>
        <v>29941.7</v>
      </c>
      <c r="M248" s="18">
        <f>'A) Base RI'!K248</f>
        <v>-481</v>
      </c>
      <c r="N248" s="18">
        <f>'A) Base RI'!Q248</f>
        <v>774.85</v>
      </c>
      <c r="O248" s="18">
        <f t="shared" si="19"/>
        <v>88896.4</v>
      </c>
      <c r="P248" s="18">
        <f>'A) Base RI'!L248</f>
        <v>88896.4</v>
      </c>
      <c r="Q248" s="64">
        <f>'A) Base RI'!AR248</f>
        <v>1</v>
      </c>
      <c r="R248" s="4">
        <f t="shared" si="20"/>
        <v>1347172.57</v>
      </c>
      <c r="S248" s="63">
        <f>'A) Base RI'!AM248</f>
        <v>79</v>
      </c>
      <c r="T248" s="4">
        <f t="shared" si="21"/>
        <v>1258757.1700000002</v>
      </c>
      <c r="U248" s="4">
        <f t="shared" si="22"/>
        <v>17052.817341772152</v>
      </c>
      <c r="V248" s="18">
        <v>0</v>
      </c>
      <c r="W248" s="18">
        <f>'A) Base RI'!P248</f>
        <v>28601.45</v>
      </c>
      <c r="X248" s="18">
        <f>'A) Base RI'!R248</f>
        <v>58181.1</v>
      </c>
      <c r="Y248" s="4">
        <f t="shared" si="23"/>
        <v>86782.55</v>
      </c>
      <c r="Z248" s="18">
        <f>'A) Base RI'!N248</f>
        <v>4256.2</v>
      </c>
      <c r="AA248" s="18">
        <f>'A) Base RI'!S248+'A) Base RI'!T248</f>
        <v>62.5</v>
      </c>
      <c r="AB248" s="18">
        <f>'A) Base RI'!U248</f>
        <v>2650</v>
      </c>
      <c r="AC248" s="18">
        <f>'A) Base RI'!V248</f>
        <v>0</v>
      </c>
      <c r="AD248" s="18">
        <f>'A) Base RI'!W248</f>
        <v>0</v>
      </c>
      <c r="AE248" s="18">
        <f>'A) Base RI'!Y248</f>
        <v>56118.3</v>
      </c>
      <c r="AF248" s="18">
        <f>'A) Base RI'!Z248</f>
        <v>0</v>
      </c>
      <c r="AG248" s="18">
        <f>'A) Base RI'!AA248</f>
        <v>63189.599999999999</v>
      </c>
      <c r="AH248" s="18">
        <f>'A) Base RI'!AB248</f>
        <v>0</v>
      </c>
      <c r="AI248" s="18">
        <f>'A) Base RI'!AC248</f>
        <v>36840</v>
      </c>
      <c r="AJ248" s="18">
        <f>'A) Base RI'!AD248</f>
        <v>46789.65</v>
      </c>
      <c r="AK248" s="18">
        <f>'A) Base RI'!AE248</f>
        <v>0</v>
      </c>
      <c r="AL248" s="18">
        <f>'A) Base RI'!AF248</f>
        <v>0</v>
      </c>
      <c r="AM248" s="18">
        <f>'A) Base RI'!AG248</f>
        <v>0</v>
      </c>
      <c r="AN248" s="18">
        <f>'A) Base RI'!AH248</f>
        <v>14936.85</v>
      </c>
      <c r="AO248" s="18">
        <f>'A) Base RI'!AI248</f>
        <v>0</v>
      </c>
      <c r="AP248" s="18">
        <f>'A) Base RI'!AJ248</f>
        <v>0</v>
      </c>
      <c r="AQ248" s="18">
        <f>'A) Base RI'!AK248</f>
        <v>0</v>
      </c>
      <c r="AR248" s="18">
        <f>'A) Base RI'!AN248</f>
        <v>597</v>
      </c>
    </row>
    <row r="249" spans="1:44" x14ac:dyDescent="0.25">
      <c r="A249" s="13">
        <f>'A) Base RI'!A249</f>
        <v>5798</v>
      </c>
      <c r="B249" s="62" t="str">
        <f>'A) Base RI'!B249</f>
        <v>Ropraz</v>
      </c>
      <c r="C249" s="18">
        <f>'A) Base RI'!C249+'A) Base RI'!D249</f>
        <v>695819.30999999994</v>
      </c>
      <c r="D249" s="18">
        <f>'A) Base RI'!AO249</f>
        <v>-24176.76</v>
      </c>
      <c r="E249" s="61">
        <f>'A) Base RI'!AP249</f>
        <v>0</v>
      </c>
      <c r="F249" s="61">
        <f>'A) Base RI'!AQ249</f>
        <v>-151.86000000000001</v>
      </c>
      <c r="G249" s="4">
        <f t="shared" si="18"/>
        <v>671490.69</v>
      </c>
      <c r="H249" s="18">
        <f>'A) Base RI'!E249</f>
        <v>0</v>
      </c>
      <c r="I249" s="18">
        <f>'A) Base RI'!F249</f>
        <v>0</v>
      </c>
      <c r="J249" s="18">
        <f>'A) Base RI'!G249+'A) Base RI'!H249</f>
        <v>135288.19999999998</v>
      </c>
      <c r="K249" s="18">
        <f>'A) Base RI'!I249</f>
        <v>0</v>
      </c>
      <c r="L249" s="18">
        <f>'A) Base RI'!J249</f>
        <v>41648.870000000003</v>
      </c>
      <c r="M249" s="18">
        <f>'A) Base RI'!K249</f>
        <v>-5017</v>
      </c>
      <c r="N249" s="18">
        <f>'A) Base RI'!Q249</f>
        <v>1034.8699999999999</v>
      </c>
      <c r="O249" s="18">
        <f t="shared" si="19"/>
        <v>31982.25</v>
      </c>
      <c r="P249" s="18">
        <f>'A) Base RI'!L249</f>
        <v>31982.25</v>
      </c>
      <c r="Q249" s="64">
        <f>'A) Base RI'!AR249</f>
        <v>1</v>
      </c>
      <c r="R249" s="4">
        <f t="shared" si="20"/>
        <v>876427.87999999989</v>
      </c>
      <c r="S249" s="63">
        <f>'A) Base RI'!AM249</f>
        <v>77.5</v>
      </c>
      <c r="T249" s="4">
        <f t="shared" si="21"/>
        <v>849462.62999999989</v>
      </c>
      <c r="U249" s="4">
        <f t="shared" si="22"/>
        <v>11308.746838709676</v>
      </c>
      <c r="V249" s="18">
        <f>'A) Base RI'!O249</f>
        <v>791.9</v>
      </c>
      <c r="W249" s="18">
        <f>'A) Base RI'!P249</f>
        <v>60264.1</v>
      </c>
      <c r="X249" s="18">
        <f>'A) Base RI'!R249</f>
        <v>34987.5</v>
      </c>
      <c r="Y249" s="4">
        <f t="shared" si="23"/>
        <v>96043.5</v>
      </c>
      <c r="Z249" s="18">
        <f>'A) Base RI'!N249</f>
        <v>0</v>
      </c>
      <c r="AA249" s="18">
        <f>'A) Base RI'!S249+'A) Base RI'!T249</f>
        <v>75</v>
      </c>
      <c r="AB249" s="18">
        <f>'A) Base RI'!U249</f>
        <v>2220</v>
      </c>
      <c r="AC249" s="18">
        <f>'A) Base RI'!V249</f>
        <v>0</v>
      </c>
      <c r="AD249" s="18">
        <f>'A) Base RI'!W249</f>
        <v>0</v>
      </c>
      <c r="AE249" s="18">
        <f>'A) Base RI'!Y249</f>
        <v>0</v>
      </c>
      <c r="AF249" s="18">
        <f>'A) Base RI'!Z249</f>
        <v>5080</v>
      </c>
      <c r="AG249" s="18">
        <f>'A) Base RI'!AA249</f>
        <v>54367.5</v>
      </c>
      <c r="AH249" s="18">
        <f>'A) Base RI'!AB249</f>
        <v>0</v>
      </c>
      <c r="AI249" s="18">
        <f>'A) Base RI'!AC249</f>
        <v>28217.55</v>
      </c>
      <c r="AJ249" s="18">
        <f>'A) Base RI'!AD249</f>
        <v>7635</v>
      </c>
      <c r="AK249" s="18">
        <f>'A) Base RI'!AE249</f>
        <v>0</v>
      </c>
      <c r="AL249" s="18">
        <f>'A) Base RI'!AF249</f>
        <v>0</v>
      </c>
      <c r="AM249" s="18">
        <f>'A) Base RI'!AG249</f>
        <v>0</v>
      </c>
      <c r="AN249" s="18">
        <f>'A) Base RI'!AH249</f>
        <v>0</v>
      </c>
      <c r="AO249" s="18">
        <f>'A) Base RI'!AI249</f>
        <v>0</v>
      </c>
      <c r="AP249" s="18">
        <f>'A) Base RI'!AJ249</f>
        <v>0</v>
      </c>
      <c r="AQ249" s="18">
        <f>'A) Base RI'!AK249</f>
        <v>0</v>
      </c>
      <c r="AR249" s="18">
        <f>'A) Base RI'!AN249</f>
        <v>409</v>
      </c>
    </row>
    <row r="250" spans="1:44" x14ac:dyDescent="0.25">
      <c r="A250" s="13">
        <f>'A) Base RI'!A250</f>
        <v>5799</v>
      </c>
      <c r="B250" s="62" t="str">
        <f>'A) Base RI'!B250</f>
        <v>Servion</v>
      </c>
      <c r="C250" s="18">
        <f>'A) Base RI'!C250+'A) Base RI'!D250</f>
        <v>4401698.3499999996</v>
      </c>
      <c r="D250" s="18">
        <f>'A) Base RI'!AO250</f>
        <v>-137196.63</v>
      </c>
      <c r="E250" s="61">
        <f>'A) Base RI'!AP250</f>
        <v>0</v>
      </c>
      <c r="F250" s="61">
        <f>'A) Base RI'!AQ250</f>
        <v>-367.95</v>
      </c>
      <c r="G250" s="4">
        <f t="shared" si="18"/>
        <v>4264133.7699999996</v>
      </c>
      <c r="H250" s="18">
        <f>'A) Base RI'!E250</f>
        <v>0</v>
      </c>
      <c r="I250" s="18">
        <f>'A) Base RI'!F250</f>
        <v>0</v>
      </c>
      <c r="J250" s="18">
        <f>'A) Base RI'!G250+'A) Base RI'!H250</f>
        <v>73994.549999999988</v>
      </c>
      <c r="K250" s="18">
        <f>'A) Base RI'!I250</f>
        <v>0</v>
      </c>
      <c r="L250" s="18">
        <f>'A) Base RI'!J250</f>
        <v>39792.300000000003</v>
      </c>
      <c r="M250" s="18">
        <f>'A) Base RI'!K250</f>
        <v>-34783</v>
      </c>
      <c r="N250" s="18">
        <f>'A) Base RI'!Q250</f>
        <v>73167.960000000006</v>
      </c>
      <c r="O250" s="18">
        <f t="shared" si="19"/>
        <v>300364</v>
      </c>
      <c r="P250" s="18">
        <f>'A) Base RI'!L250</f>
        <v>300364</v>
      </c>
      <c r="Q250" s="64">
        <f>'A) Base RI'!AR250</f>
        <v>1</v>
      </c>
      <c r="R250" s="4">
        <f t="shared" si="20"/>
        <v>4716669.5799999991</v>
      </c>
      <c r="S250" s="63">
        <f>'A) Base RI'!AM250</f>
        <v>69</v>
      </c>
      <c r="T250" s="4">
        <f t="shared" si="21"/>
        <v>4451088.5799999991</v>
      </c>
      <c r="U250" s="4">
        <f t="shared" si="22"/>
        <v>68357.530144927528</v>
      </c>
      <c r="V250" s="18">
        <f>'A) Base RI'!O250</f>
        <v>100</v>
      </c>
      <c r="W250" s="18">
        <f>'A) Base RI'!P250</f>
        <v>338532.25</v>
      </c>
      <c r="X250" s="18">
        <f>'A) Base RI'!R250</f>
        <v>301054.5</v>
      </c>
      <c r="Y250" s="4">
        <f t="shared" si="23"/>
        <v>639686.75</v>
      </c>
      <c r="Z250" s="18">
        <f>'A) Base RI'!N250</f>
        <v>14494.2</v>
      </c>
      <c r="AA250" s="18">
        <f>'A) Base RI'!S250+'A) Base RI'!T250</f>
        <v>3225</v>
      </c>
      <c r="AB250" s="18">
        <f>'A) Base RI'!U250</f>
        <v>9625</v>
      </c>
      <c r="AC250" s="18">
        <f>'A) Base RI'!V250</f>
        <v>64992.55</v>
      </c>
      <c r="AD250" s="18">
        <f>'A) Base RI'!W250</f>
        <v>0</v>
      </c>
      <c r="AE250" s="18">
        <f>'A) Base RI'!Y250</f>
        <v>10881.35</v>
      </c>
      <c r="AF250" s="18">
        <f>'A) Base RI'!Z250</f>
        <v>0</v>
      </c>
      <c r="AG250" s="18">
        <f>'A) Base RI'!AA250</f>
        <v>223269.05</v>
      </c>
      <c r="AH250" s="18">
        <f>'A) Base RI'!AB250</f>
        <v>0</v>
      </c>
      <c r="AI250" s="18">
        <f>'A) Base RI'!AC250</f>
        <v>109909.35</v>
      </c>
      <c r="AJ250" s="18">
        <f>'A) Base RI'!AD250</f>
        <v>0</v>
      </c>
      <c r="AK250" s="18">
        <f>'A) Base RI'!AE250</f>
        <v>0</v>
      </c>
      <c r="AL250" s="18">
        <f>'A) Base RI'!AF250</f>
        <v>0</v>
      </c>
      <c r="AM250" s="18">
        <f>'A) Base RI'!AG250</f>
        <v>0</v>
      </c>
      <c r="AN250" s="18">
        <f>'A) Base RI'!AH250</f>
        <v>61014</v>
      </c>
      <c r="AO250" s="18">
        <f>'A) Base RI'!AI250</f>
        <v>0</v>
      </c>
      <c r="AP250" s="18">
        <f>'A) Base RI'!AJ250</f>
        <v>0</v>
      </c>
      <c r="AQ250" s="18">
        <f>'A) Base RI'!AK250</f>
        <v>0</v>
      </c>
      <c r="AR250" s="18">
        <f>'A) Base RI'!AN250</f>
        <v>1893</v>
      </c>
    </row>
    <row r="251" spans="1:44" x14ac:dyDescent="0.25">
      <c r="A251" s="13">
        <f>'A) Base RI'!A251</f>
        <v>5803</v>
      </c>
      <c r="B251" s="62" t="str">
        <f>'A) Base RI'!B251</f>
        <v>Vulliens</v>
      </c>
      <c r="C251" s="18">
        <f>'A) Base RI'!C251+'A) Base RI'!D251</f>
        <v>909427.86</v>
      </c>
      <c r="D251" s="18">
        <f>'A) Base RI'!AO251</f>
        <v>-1709.2</v>
      </c>
      <c r="E251" s="61">
        <f>'A) Base RI'!AP251</f>
        <v>0</v>
      </c>
      <c r="F251" s="61">
        <f>'A) Base RI'!AQ251</f>
        <v>-5.43</v>
      </c>
      <c r="G251" s="4">
        <f t="shared" si="18"/>
        <v>907713.23</v>
      </c>
      <c r="H251" s="18">
        <f>'A) Base RI'!E251</f>
        <v>0</v>
      </c>
      <c r="I251" s="18">
        <f>'A) Base RI'!F251</f>
        <v>0</v>
      </c>
      <c r="J251" s="18">
        <f>'A) Base RI'!G251+'A) Base RI'!H251</f>
        <v>-1384.8</v>
      </c>
      <c r="K251" s="18">
        <f>'A) Base RI'!I251</f>
        <v>0</v>
      </c>
      <c r="L251" s="18">
        <f>'A) Base RI'!J251</f>
        <v>9554.1299999999992</v>
      </c>
      <c r="M251" s="18">
        <f>'A) Base RI'!K251</f>
        <v>0</v>
      </c>
      <c r="N251" s="18">
        <f>'A) Base RI'!Q251</f>
        <v>0</v>
      </c>
      <c r="O251" s="18">
        <f t="shared" si="19"/>
        <v>63711.15</v>
      </c>
      <c r="P251" s="18">
        <f>'A) Base RI'!L251</f>
        <v>63711.15</v>
      </c>
      <c r="Q251" s="64">
        <f>'A) Base RI'!AR251</f>
        <v>1</v>
      </c>
      <c r="R251" s="4">
        <f t="shared" si="20"/>
        <v>979593.71</v>
      </c>
      <c r="S251" s="63">
        <f>'A) Base RI'!AM251</f>
        <v>81</v>
      </c>
      <c r="T251" s="4">
        <f t="shared" si="21"/>
        <v>915882.55999999994</v>
      </c>
      <c r="U251" s="4">
        <f t="shared" si="22"/>
        <v>12093.749506172839</v>
      </c>
      <c r="V251" s="18">
        <f>'A) Base RI'!O251</f>
        <v>34779.800000000003</v>
      </c>
      <c r="W251" s="18">
        <f>'A) Base RI'!P251</f>
        <v>55263.45</v>
      </c>
      <c r="X251" s="18">
        <f>'A) Base RI'!R251</f>
        <v>111110.5</v>
      </c>
      <c r="Y251" s="4">
        <f t="shared" si="23"/>
        <v>201153.75</v>
      </c>
      <c r="Z251" s="18">
        <f>'A) Base RI'!N251</f>
        <v>0</v>
      </c>
      <c r="AA251" s="18">
        <f>'A) Base RI'!S251+'A) Base RI'!T251</f>
        <v>750</v>
      </c>
      <c r="AB251" s="18">
        <f>'A) Base RI'!U251</f>
        <v>4950</v>
      </c>
      <c r="AC251" s="18">
        <f>'A) Base RI'!V251</f>
        <v>100</v>
      </c>
      <c r="AD251" s="18">
        <f>'A) Base RI'!W251</f>
        <v>0</v>
      </c>
      <c r="AE251" s="18">
        <f>'A) Base RI'!Y251</f>
        <v>86940</v>
      </c>
      <c r="AF251" s="18">
        <f>'A) Base RI'!Z251</f>
        <v>0</v>
      </c>
      <c r="AG251" s="18">
        <f>'A) Base RI'!AA251</f>
        <v>35591</v>
      </c>
      <c r="AH251" s="18">
        <f>'A) Base RI'!AB251</f>
        <v>0</v>
      </c>
      <c r="AI251" s="18">
        <f>'A) Base RI'!AC251</f>
        <v>24743.15</v>
      </c>
      <c r="AJ251" s="18">
        <f>'A) Base RI'!AD251</f>
        <v>156020</v>
      </c>
      <c r="AK251" s="18">
        <f>'A) Base RI'!AE251</f>
        <v>9700</v>
      </c>
      <c r="AL251" s="18">
        <f>'A) Base RI'!AF251</f>
        <v>0</v>
      </c>
      <c r="AM251" s="18">
        <f>'A) Base RI'!AG251</f>
        <v>0</v>
      </c>
      <c r="AN251" s="18">
        <f>'A) Base RI'!AH251</f>
        <v>0</v>
      </c>
      <c r="AO251" s="18">
        <f>'A) Base RI'!AI251</f>
        <v>0</v>
      </c>
      <c r="AP251" s="18">
        <f>'A) Base RI'!AJ251</f>
        <v>0</v>
      </c>
      <c r="AQ251" s="18">
        <f>'A) Base RI'!AK251</f>
        <v>0</v>
      </c>
      <c r="AR251" s="18">
        <f>'A) Base RI'!AN251</f>
        <v>442</v>
      </c>
    </row>
    <row r="252" spans="1:44" x14ac:dyDescent="0.25">
      <c r="A252" s="13">
        <f>'A) Base RI'!A252</f>
        <v>5804</v>
      </c>
      <c r="B252" s="62" t="str">
        <f>'A) Base RI'!B252</f>
        <v>Jorat-Menthue</v>
      </c>
      <c r="C252" s="18">
        <f>'A) Base RI'!C252+'A) Base RI'!D252</f>
        <v>2802870.1900000004</v>
      </c>
      <c r="D252" s="18">
        <f>'A) Base RI'!AO252</f>
        <v>-91030.94</v>
      </c>
      <c r="E252" s="61">
        <f>'A) Base RI'!AP252</f>
        <v>0</v>
      </c>
      <c r="F252" s="61">
        <f>'A) Base RI'!AQ252</f>
        <v>-47.22</v>
      </c>
      <c r="G252" s="4">
        <f t="shared" si="18"/>
        <v>2711792.0300000003</v>
      </c>
      <c r="H252" s="18">
        <f>'A) Base RI'!E252</f>
        <v>0</v>
      </c>
      <c r="I252" s="18">
        <f>'A) Base RI'!F252</f>
        <v>0</v>
      </c>
      <c r="J252" s="18">
        <f>'A) Base RI'!G252+'A) Base RI'!H252</f>
        <v>68043</v>
      </c>
      <c r="K252" s="18">
        <f>'A) Base RI'!I252</f>
        <v>0</v>
      </c>
      <c r="L252" s="18">
        <f>'A) Base RI'!J252</f>
        <v>67259.86</v>
      </c>
      <c r="M252" s="18">
        <f>'A) Base RI'!K252</f>
        <v>2802</v>
      </c>
      <c r="N252" s="18">
        <f>'A) Base RI'!Q252</f>
        <v>13367.84</v>
      </c>
      <c r="O252" s="18">
        <f t="shared" si="19"/>
        <v>211945.15</v>
      </c>
      <c r="P252" s="18">
        <f>'A) Base RI'!L252</f>
        <v>211945.15</v>
      </c>
      <c r="Q252" s="64">
        <f>'A) Base RI'!AR252</f>
        <v>1</v>
      </c>
      <c r="R252" s="4">
        <f t="shared" si="20"/>
        <v>3075209.88</v>
      </c>
      <c r="S252" s="63">
        <f>'A) Base RI'!AM252</f>
        <v>72</v>
      </c>
      <c r="T252" s="4">
        <f t="shared" si="21"/>
        <v>2860462.73</v>
      </c>
      <c r="U252" s="4">
        <f t="shared" si="22"/>
        <v>42711.248333333329</v>
      </c>
      <c r="V252" s="18">
        <f>'A) Base RI'!O252</f>
        <v>13099.3</v>
      </c>
      <c r="W252" s="18">
        <f>'A) Base RI'!P252</f>
        <v>77871.05</v>
      </c>
      <c r="X252" s="18">
        <f>'A) Base RI'!R252</f>
        <v>13598.6</v>
      </c>
      <c r="Y252" s="4">
        <f t="shared" si="23"/>
        <v>104568.95000000001</v>
      </c>
      <c r="Z252" s="18">
        <f>'A) Base RI'!N252</f>
        <v>5331.85</v>
      </c>
      <c r="AA252" s="18">
        <f>'A) Base RI'!S252+'A) Base RI'!T252</f>
        <v>1518.75</v>
      </c>
      <c r="AB252" s="18">
        <f>'A) Base RI'!U252</f>
        <v>11950</v>
      </c>
      <c r="AC252" s="18">
        <f>'A) Base RI'!V252</f>
        <v>0</v>
      </c>
      <c r="AD252" s="18">
        <f>'A) Base RI'!W252</f>
        <v>0</v>
      </c>
      <c r="AE252" s="18">
        <f>'A) Base RI'!Y252</f>
        <v>64363.55</v>
      </c>
      <c r="AF252" s="18">
        <f>'A) Base RI'!Z252</f>
        <v>0</v>
      </c>
      <c r="AG252" s="18">
        <f>'A) Base RI'!AA252</f>
        <v>175236.9</v>
      </c>
      <c r="AH252" s="18">
        <f>'A) Base RI'!AB252</f>
        <v>0</v>
      </c>
      <c r="AI252" s="18">
        <f>'A) Base RI'!AC252</f>
        <v>141209.25</v>
      </c>
      <c r="AJ252" s="18">
        <f>'A) Base RI'!AD252</f>
        <v>51702.400000000001</v>
      </c>
      <c r="AK252" s="18">
        <f>'A) Base RI'!AE252</f>
        <v>0</v>
      </c>
      <c r="AL252" s="18">
        <f>'A) Base RI'!AF252</f>
        <v>0</v>
      </c>
      <c r="AM252" s="18">
        <f>'A) Base RI'!AG252</f>
        <v>0</v>
      </c>
      <c r="AN252" s="18">
        <f>'A) Base RI'!AH252</f>
        <v>47024.35</v>
      </c>
      <c r="AO252" s="18">
        <f>'A) Base RI'!AI252</f>
        <v>0</v>
      </c>
      <c r="AP252" s="18">
        <f>'A) Base RI'!AJ252</f>
        <v>0</v>
      </c>
      <c r="AQ252" s="18">
        <f>'A) Base RI'!AK252</f>
        <v>0</v>
      </c>
      <c r="AR252" s="18">
        <f>'A) Base RI'!AN252</f>
        <v>1469</v>
      </c>
    </row>
    <row r="253" spans="1:44" x14ac:dyDescent="0.25">
      <c r="A253" s="13">
        <f>'A) Base RI'!A253</f>
        <v>5805</v>
      </c>
      <c r="B253" s="62" t="str">
        <f>'A) Base RI'!B253</f>
        <v>Oron</v>
      </c>
      <c r="C253" s="18">
        <f>'A) Base RI'!C253+'A) Base RI'!D253</f>
        <v>8061192.7400000002</v>
      </c>
      <c r="D253" s="18">
        <f>'A) Base RI'!AO253</f>
        <v>-195327.48</v>
      </c>
      <c r="E253" s="61">
        <f>'A) Base RI'!AP253</f>
        <v>0</v>
      </c>
      <c r="F253" s="61">
        <f>'A) Base RI'!AQ253</f>
        <v>-27.09</v>
      </c>
      <c r="G253" s="4">
        <f t="shared" si="18"/>
        <v>7865838.1699999999</v>
      </c>
      <c r="H253" s="18">
        <f>'A) Base RI'!E253</f>
        <v>0</v>
      </c>
      <c r="I253" s="18">
        <f>'A) Base RI'!F253</f>
        <v>0</v>
      </c>
      <c r="J253" s="18">
        <f>'A) Base RI'!G253+'A) Base RI'!H253</f>
        <v>1104791</v>
      </c>
      <c r="K253" s="18">
        <f>'A) Base RI'!I253</f>
        <v>42.9</v>
      </c>
      <c r="L253" s="18">
        <f>'A) Base RI'!J253</f>
        <v>218437.25</v>
      </c>
      <c r="M253" s="18">
        <f>'A) Base RI'!K253</f>
        <v>46437</v>
      </c>
      <c r="N253" s="18">
        <f>'A) Base RI'!Q253</f>
        <v>36684.33</v>
      </c>
      <c r="O253" s="18">
        <f t="shared" si="19"/>
        <v>753411.68181818177</v>
      </c>
      <c r="P253" s="18">
        <f>'A) Base RI'!L253</f>
        <v>828752.85</v>
      </c>
      <c r="Q253" s="64">
        <f>'A) Base RI'!AR253</f>
        <v>1.1000000000000001</v>
      </c>
      <c r="R253" s="4">
        <f t="shared" si="20"/>
        <v>10025642.331818182</v>
      </c>
      <c r="S253" s="63">
        <f>'A) Base RI'!AM253</f>
        <v>69</v>
      </c>
      <c r="T253" s="4">
        <f t="shared" si="21"/>
        <v>9225793.6500000004</v>
      </c>
      <c r="U253" s="4">
        <f t="shared" si="22"/>
        <v>145299.16422924903</v>
      </c>
      <c r="V253" s="18">
        <f>'A) Base RI'!O253</f>
        <v>43830</v>
      </c>
      <c r="W253" s="18">
        <f>'A) Base RI'!P253</f>
        <v>332404.55</v>
      </c>
      <c r="X253" s="18">
        <f>'A) Base RI'!R253</f>
        <v>214444.5</v>
      </c>
      <c r="Y253" s="4">
        <f t="shared" si="23"/>
        <v>590679.05000000005</v>
      </c>
      <c r="Z253" s="18">
        <f>'A) Base RI'!N253</f>
        <v>37668.9</v>
      </c>
      <c r="AA253" s="18">
        <f>'A) Base RI'!S253+'A) Base RI'!T253</f>
        <v>5037.5</v>
      </c>
      <c r="AB253" s="18">
        <f>'A) Base RI'!U253</f>
        <v>36550</v>
      </c>
      <c r="AC253" s="18">
        <f>'A) Base RI'!V253</f>
        <v>2400</v>
      </c>
      <c r="AD253" s="18">
        <f>'A) Base RI'!W253</f>
        <v>3165.15</v>
      </c>
      <c r="AE253" s="18">
        <f>'A) Base RI'!Y253</f>
        <v>153901.35</v>
      </c>
      <c r="AF253" s="18">
        <f>'A) Base RI'!Z253</f>
        <v>0</v>
      </c>
      <c r="AG253" s="18">
        <f>'A) Base RI'!AA253</f>
        <v>702651.7</v>
      </c>
      <c r="AH253" s="18">
        <f>'A) Base RI'!AB253</f>
        <v>0</v>
      </c>
      <c r="AI253" s="18">
        <f>'A) Base RI'!AC253</f>
        <v>510787.1</v>
      </c>
      <c r="AJ253" s="18">
        <f>'A) Base RI'!AD253</f>
        <v>54854.65</v>
      </c>
      <c r="AK253" s="18">
        <f>'A) Base RI'!AE253</f>
        <v>0</v>
      </c>
      <c r="AL253" s="18">
        <f>'A) Base RI'!AF253</f>
        <v>0</v>
      </c>
      <c r="AM253" s="18">
        <f>'A) Base RI'!AG253</f>
        <v>0</v>
      </c>
      <c r="AN253" s="18">
        <f>'A) Base RI'!AH253</f>
        <v>0</v>
      </c>
      <c r="AO253" s="18">
        <f>'A) Base RI'!AI253</f>
        <v>0</v>
      </c>
      <c r="AP253" s="18">
        <f>'A) Base RI'!AJ253</f>
        <v>0</v>
      </c>
      <c r="AQ253" s="18">
        <f>'A) Base RI'!AK253</f>
        <v>0</v>
      </c>
      <c r="AR253" s="18">
        <f>'A) Base RI'!AN253</f>
        <v>5180</v>
      </c>
    </row>
    <row r="254" spans="1:44" x14ac:dyDescent="0.25">
      <c r="A254" s="13">
        <f>'A) Base RI'!A254</f>
        <v>5812</v>
      </c>
      <c r="B254" s="62" t="str">
        <f>'A) Base RI'!B254</f>
        <v>Champtauroz</v>
      </c>
      <c r="C254" s="18">
        <f>'A) Base RI'!C254+'A) Base RI'!D254</f>
        <v>193324.43</v>
      </c>
      <c r="D254" s="18">
        <f>'A) Base RI'!AO254</f>
        <v>-70.36</v>
      </c>
      <c r="E254" s="61">
        <f>'A) Base RI'!AP254</f>
        <v>0</v>
      </c>
      <c r="F254" s="61">
        <f>'A) Base RI'!AQ254</f>
        <v>0</v>
      </c>
      <c r="G254" s="4">
        <f t="shared" si="18"/>
        <v>193254.07</v>
      </c>
      <c r="H254" s="18">
        <f>'A) Base RI'!E254</f>
        <v>0</v>
      </c>
      <c r="I254" s="18">
        <f>'A) Base RI'!F254</f>
        <v>0</v>
      </c>
      <c r="J254" s="18">
        <f>'A) Base RI'!G254+'A) Base RI'!H254</f>
        <v>276.10000000000002</v>
      </c>
      <c r="K254" s="18">
        <f>'A) Base RI'!I254</f>
        <v>0</v>
      </c>
      <c r="L254" s="18">
        <f>'A) Base RI'!J254</f>
        <v>4657.71</v>
      </c>
      <c r="M254" s="18">
        <f>'A) Base RI'!K254</f>
        <v>10</v>
      </c>
      <c r="N254" s="18">
        <f>'A) Base RI'!Q254</f>
        <v>0</v>
      </c>
      <c r="O254" s="18">
        <f t="shared" si="19"/>
        <v>14025.125</v>
      </c>
      <c r="P254" s="18">
        <f>'A) Base RI'!L254</f>
        <v>11220.1</v>
      </c>
      <c r="Q254" s="64">
        <f>'A) Base RI'!AR254</f>
        <v>0.8</v>
      </c>
      <c r="R254" s="4">
        <f t="shared" si="20"/>
        <v>212223.005</v>
      </c>
      <c r="S254" s="63">
        <f>'A) Base RI'!AM254</f>
        <v>77</v>
      </c>
      <c r="T254" s="4">
        <f t="shared" si="21"/>
        <v>198187.88</v>
      </c>
      <c r="U254" s="4">
        <f t="shared" si="22"/>
        <v>2756.1429220779223</v>
      </c>
      <c r="V254" s="18">
        <v>0</v>
      </c>
      <c r="W254" s="18">
        <f>'A) Base RI'!P254</f>
        <v>87.1</v>
      </c>
      <c r="X254" s="18">
        <f>'A) Base RI'!R254</f>
        <v>14083.35</v>
      </c>
      <c r="Y254" s="4">
        <f t="shared" si="23"/>
        <v>14170.45</v>
      </c>
      <c r="Z254" s="18">
        <f>'A) Base RI'!N254</f>
        <v>0</v>
      </c>
      <c r="AA254" s="18">
        <f>'A) Base RI'!S254+'A) Base RI'!T254</f>
        <v>0</v>
      </c>
      <c r="AB254" s="18">
        <f>'A) Base RI'!U254</f>
        <v>440</v>
      </c>
      <c r="AC254" s="18">
        <f>'A) Base RI'!V254</f>
        <v>0</v>
      </c>
      <c r="AD254" s="18">
        <f>'A) Base RI'!W254</f>
        <v>0</v>
      </c>
      <c r="AE254" s="18">
        <f>'A) Base RI'!Y254</f>
        <v>-2400</v>
      </c>
      <c r="AF254" s="18">
        <f>'A) Base RI'!Z254</f>
        <v>0</v>
      </c>
      <c r="AG254" s="18">
        <f>'A) Base RI'!AA254</f>
        <v>11567</v>
      </c>
      <c r="AH254" s="18">
        <f>'A) Base RI'!AB254</f>
        <v>0</v>
      </c>
      <c r="AI254" s="18">
        <f>'A) Base RI'!AC254</f>
        <v>12155</v>
      </c>
      <c r="AJ254" s="18">
        <f>'A) Base RI'!AD254</f>
        <v>0</v>
      </c>
      <c r="AK254" s="18">
        <f>'A) Base RI'!AE254</f>
        <v>0</v>
      </c>
      <c r="AL254" s="18">
        <f>'A) Base RI'!AF254</f>
        <v>840</v>
      </c>
      <c r="AM254" s="18">
        <f>'A) Base RI'!AG254</f>
        <v>0</v>
      </c>
      <c r="AN254" s="18">
        <f>'A) Base RI'!AH254</f>
        <v>2676.15</v>
      </c>
      <c r="AO254" s="18">
        <f>'A) Base RI'!AI254</f>
        <v>0</v>
      </c>
      <c r="AP254" s="18">
        <f>'A) Base RI'!AJ254</f>
        <v>0</v>
      </c>
      <c r="AQ254" s="18">
        <f>'A) Base RI'!AK254</f>
        <v>0</v>
      </c>
      <c r="AR254" s="18">
        <f>'A) Base RI'!AN254</f>
        <v>137</v>
      </c>
    </row>
    <row r="255" spans="1:44" x14ac:dyDescent="0.25">
      <c r="A255" s="13">
        <f>'A) Base RI'!A255</f>
        <v>5813</v>
      </c>
      <c r="B255" s="62" t="str">
        <f>'A) Base RI'!B255</f>
        <v>Chevroux</v>
      </c>
      <c r="C255" s="18">
        <f>'A) Base RI'!C255+'A) Base RI'!D255</f>
        <v>721142.45000000007</v>
      </c>
      <c r="D255" s="18">
        <f>'A) Base RI'!AO255</f>
        <v>-8543.69</v>
      </c>
      <c r="E255" s="61">
        <f>'A) Base RI'!AP255</f>
        <v>0</v>
      </c>
      <c r="F255" s="61">
        <f>'A) Base RI'!AQ255</f>
        <v>-2.52</v>
      </c>
      <c r="G255" s="4">
        <f t="shared" si="18"/>
        <v>712596.24000000011</v>
      </c>
      <c r="H255" s="18">
        <f>'A) Base RI'!E255</f>
        <v>0</v>
      </c>
      <c r="I255" s="18">
        <f>'A) Base RI'!F255</f>
        <v>2630</v>
      </c>
      <c r="J255" s="18">
        <f>'A) Base RI'!G255+'A) Base RI'!H255</f>
        <v>3953.4500000000003</v>
      </c>
      <c r="K255" s="18">
        <f>'A) Base RI'!I255</f>
        <v>0</v>
      </c>
      <c r="L255" s="18">
        <f>'A) Base RI'!J255</f>
        <v>17576.05</v>
      </c>
      <c r="M255" s="18">
        <f>'A) Base RI'!K255</f>
        <v>0</v>
      </c>
      <c r="N255" s="18">
        <f>'A) Base RI'!Q255</f>
        <v>0</v>
      </c>
      <c r="O255" s="18">
        <f t="shared" si="19"/>
        <v>63926.583333333328</v>
      </c>
      <c r="P255" s="18">
        <f>'A) Base RI'!L255</f>
        <v>76711.899999999994</v>
      </c>
      <c r="Q255" s="64">
        <f>'A) Base RI'!AR255</f>
        <v>1.2</v>
      </c>
      <c r="R255" s="4">
        <f t="shared" si="20"/>
        <v>800682.32333333348</v>
      </c>
      <c r="S255" s="63">
        <f>'A) Base RI'!AM255</f>
        <v>70</v>
      </c>
      <c r="T255" s="4">
        <f t="shared" si="21"/>
        <v>734125.74000000011</v>
      </c>
      <c r="U255" s="4">
        <f t="shared" si="22"/>
        <v>11438.318904761907</v>
      </c>
      <c r="V255" s="18">
        <f>'A) Base RI'!O255</f>
        <v>13595.4</v>
      </c>
      <c r="W255" s="18">
        <f>'A) Base RI'!P255</f>
        <v>19855.849999999999</v>
      </c>
      <c r="X255" s="18">
        <f>'A) Base RI'!R255</f>
        <v>36318.449999999997</v>
      </c>
      <c r="Y255" s="4">
        <f t="shared" si="23"/>
        <v>69769.7</v>
      </c>
      <c r="Z255" s="18">
        <f>'A) Base RI'!N255</f>
        <v>0</v>
      </c>
      <c r="AA255" s="18">
        <f>'A) Base RI'!S255+'A) Base RI'!T255</f>
        <v>1120</v>
      </c>
      <c r="AB255" s="18">
        <f>'A) Base RI'!U255</f>
        <v>3550</v>
      </c>
      <c r="AC255" s="18">
        <f>'A) Base RI'!V255</f>
        <v>0</v>
      </c>
      <c r="AD255" s="18">
        <f>'A) Base RI'!W255</f>
        <v>0</v>
      </c>
      <c r="AE255" s="18">
        <f>'A) Base RI'!Y255</f>
        <v>1049</v>
      </c>
      <c r="AF255" s="18">
        <f>'A) Base RI'!Z255</f>
        <v>0</v>
      </c>
      <c r="AG255" s="18">
        <f>'A) Base RI'!AA255</f>
        <v>49117.8</v>
      </c>
      <c r="AH255" s="18">
        <f>'A) Base RI'!AB255</f>
        <v>0</v>
      </c>
      <c r="AI255" s="18">
        <f>'A) Base RI'!AC255</f>
        <v>42624.1</v>
      </c>
      <c r="AJ255" s="18">
        <f>'A) Base RI'!AD255</f>
        <v>524.5</v>
      </c>
      <c r="AK255" s="18">
        <f>'A) Base RI'!AE255</f>
        <v>0</v>
      </c>
      <c r="AL255" s="18">
        <f>'A) Base RI'!AF255</f>
        <v>0</v>
      </c>
      <c r="AM255" s="18">
        <f>'A) Base RI'!AG255</f>
        <v>76445</v>
      </c>
      <c r="AN255" s="18">
        <f>'A) Base RI'!AH255</f>
        <v>0</v>
      </c>
      <c r="AO255" s="18">
        <f>'A) Base RI'!AI255</f>
        <v>16559.099999999999</v>
      </c>
      <c r="AP255" s="18">
        <f>'A) Base RI'!AJ255</f>
        <v>0</v>
      </c>
      <c r="AQ255" s="18">
        <f>'A) Base RI'!AK255</f>
        <v>0</v>
      </c>
      <c r="AR255" s="18">
        <f>'A) Base RI'!AN255</f>
        <v>418</v>
      </c>
    </row>
    <row r="256" spans="1:44" x14ac:dyDescent="0.25">
      <c r="A256" s="13">
        <f>'A) Base RI'!A256</f>
        <v>5816</v>
      </c>
      <c r="B256" s="62" t="str">
        <f>'A) Base RI'!B256</f>
        <v>Corcelles-près-Payerne</v>
      </c>
      <c r="C256" s="18">
        <f>'A) Base RI'!C256+'A) Base RI'!D256</f>
        <v>3022054.73</v>
      </c>
      <c r="D256" s="18">
        <f>'A) Base RI'!AO256</f>
        <v>-230394.9</v>
      </c>
      <c r="E256" s="61">
        <f>'A) Base RI'!AP256</f>
        <v>0</v>
      </c>
      <c r="F256" s="61">
        <f>'A) Base RI'!AQ256</f>
        <v>-0.19</v>
      </c>
      <c r="G256" s="4">
        <f t="shared" si="18"/>
        <v>2791659.64</v>
      </c>
      <c r="H256" s="18">
        <f>'A) Base RI'!E256</f>
        <v>0</v>
      </c>
      <c r="I256" s="18">
        <f>'A) Base RI'!F256</f>
        <v>0</v>
      </c>
      <c r="J256" s="18">
        <f>'A) Base RI'!G256+'A) Base RI'!H256</f>
        <v>299716.25</v>
      </c>
      <c r="K256" s="18">
        <f>'A) Base RI'!I256</f>
        <v>0</v>
      </c>
      <c r="L256" s="18">
        <f>'A) Base RI'!J256</f>
        <v>105016.18</v>
      </c>
      <c r="M256" s="18">
        <f>'A) Base RI'!K256</f>
        <v>23997</v>
      </c>
      <c r="N256" s="18">
        <f>'A) Base RI'!Q256</f>
        <v>206342.01</v>
      </c>
      <c r="O256" s="18">
        <f t="shared" si="19"/>
        <v>268251.42857142858</v>
      </c>
      <c r="P256" s="18">
        <f>'A) Base RI'!L256</f>
        <v>187776</v>
      </c>
      <c r="Q256" s="64">
        <f>'A) Base RI'!AR256</f>
        <v>0.7</v>
      </c>
      <c r="R256" s="4">
        <f t="shared" si="20"/>
        <v>3694982.5085714287</v>
      </c>
      <c r="S256" s="63">
        <f>'A) Base RI'!AM256</f>
        <v>72</v>
      </c>
      <c r="T256" s="4">
        <f t="shared" si="21"/>
        <v>3402734.08</v>
      </c>
      <c r="U256" s="4">
        <f t="shared" si="22"/>
        <v>51319.201507936508</v>
      </c>
      <c r="V256" s="18">
        <f>'A) Base RI'!O256</f>
        <v>211736.2</v>
      </c>
      <c r="W256" s="18">
        <f>'A) Base RI'!P256</f>
        <v>144471.70000000001</v>
      </c>
      <c r="X256" s="18">
        <f>'A) Base RI'!R256</f>
        <v>72949.2</v>
      </c>
      <c r="Y256" s="4">
        <f t="shared" si="23"/>
        <v>429157.10000000003</v>
      </c>
      <c r="Z256" s="18">
        <f>'A) Base RI'!N256</f>
        <v>9817.15</v>
      </c>
      <c r="AA256" s="18">
        <f>'A) Base RI'!S256+'A) Base RI'!T256</f>
        <v>5895</v>
      </c>
      <c r="AB256" s="18">
        <f>'A) Base RI'!U256</f>
        <v>9030</v>
      </c>
      <c r="AC256" s="18">
        <f>'A) Base RI'!V256</f>
        <v>0</v>
      </c>
      <c r="AD256" s="18">
        <f>'A) Base RI'!W256</f>
        <v>0</v>
      </c>
      <c r="AE256" s="18">
        <f>'A) Base RI'!Y256</f>
        <v>137259.79999999999</v>
      </c>
      <c r="AF256" s="18">
        <f>'A) Base RI'!Z256</f>
        <v>0</v>
      </c>
      <c r="AG256" s="18">
        <f>'A) Base RI'!AA256</f>
        <v>424299.15</v>
      </c>
      <c r="AH256" s="18">
        <f>'A) Base RI'!AB256</f>
        <v>0</v>
      </c>
      <c r="AI256" s="18">
        <f>'A) Base RI'!AC256</f>
        <v>137184.39000000001</v>
      </c>
      <c r="AJ256" s="18">
        <f>'A) Base RI'!AD256</f>
        <v>105611.15</v>
      </c>
      <c r="AK256" s="18">
        <f>'A) Base RI'!AE256</f>
        <v>0</v>
      </c>
      <c r="AL256" s="18">
        <f>'A) Base RI'!AF256</f>
        <v>0</v>
      </c>
      <c r="AM256" s="18">
        <f>'A) Base RI'!AG256</f>
        <v>0</v>
      </c>
      <c r="AN256" s="18">
        <f>'A) Base RI'!AH256</f>
        <v>0</v>
      </c>
      <c r="AO256" s="18">
        <f>'A) Base RI'!AI256</f>
        <v>0</v>
      </c>
      <c r="AP256" s="18">
        <f>'A) Base RI'!AJ256</f>
        <v>0</v>
      </c>
      <c r="AQ256" s="18">
        <f>'A) Base RI'!AK256</f>
        <v>0</v>
      </c>
      <c r="AR256" s="18">
        <f>'A) Base RI'!AN256</f>
        <v>2091</v>
      </c>
    </row>
    <row r="257" spans="1:44" x14ac:dyDescent="0.25">
      <c r="A257" s="13">
        <f>'A) Base RI'!A257</f>
        <v>5817</v>
      </c>
      <c r="B257" s="62" t="str">
        <f>'A) Base RI'!B257</f>
        <v>Grandcour</v>
      </c>
      <c r="C257" s="18">
        <f>'A) Base RI'!C257+'A) Base RI'!D257</f>
        <v>1482391.93</v>
      </c>
      <c r="D257" s="18">
        <f>'A) Base RI'!AO257</f>
        <v>-28786.720000000001</v>
      </c>
      <c r="E257" s="61">
        <f>'A) Base RI'!AP257</f>
        <v>0</v>
      </c>
      <c r="F257" s="61">
        <f>'A) Base RI'!AQ257</f>
        <v>-25.38</v>
      </c>
      <c r="G257" s="4">
        <f t="shared" si="18"/>
        <v>1453579.83</v>
      </c>
      <c r="H257" s="18">
        <f>'A) Base RI'!E257</f>
        <v>0</v>
      </c>
      <c r="I257" s="18">
        <f>'A) Base RI'!F257</f>
        <v>4760</v>
      </c>
      <c r="J257" s="18">
        <f>'A) Base RI'!G257+'A) Base RI'!H257</f>
        <v>27243.8</v>
      </c>
      <c r="K257" s="18">
        <f>'A) Base RI'!I257</f>
        <v>0</v>
      </c>
      <c r="L257" s="18">
        <f>'A) Base RI'!J257</f>
        <v>15044.86</v>
      </c>
      <c r="M257" s="18">
        <f>'A) Base RI'!K257</f>
        <v>3259.5</v>
      </c>
      <c r="N257" s="18">
        <f>'A) Base RI'!Q257</f>
        <v>0</v>
      </c>
      <c r="O257" s="18">
        <f t="shared" si="19"/>
        <v>94094.85</v>
      </c>
      <c r="P257" s="18">
        <f>'A) Base RI'!L257</f>
        <v>94094.85</v>
      </c>
      <c r="Q257" s="64">
        <f>'A) Base RI'!AR257</f>
        <v>1</v>
      </c>
      <c r="R257" s="4">
        <f t="shared" si="20"/>
        <v>1597982.8400000003</v>
      </c>
      <c r="S257" s="63">
        <f>'A) Base RI'!AM257</f>
        <v>79.5</v>
      </c>
      <c r="T257" s="4">
        <f t="shared" si="21"/>
        <v>1495868.4900000002</v>
      </c>
      <c r="U257" s="4">
        <f t="shared" si="22"/>
        <v>20100.413081761009</v>
      </c>
      <c r="V257" s="18">
        <v>0</v>
      </c>
      <c r="W257" s="18">
        <f>'A) Base RI'!P257</f>
        <v>51711.4</v>
      </c>
      <c r="X257" s="18">
        <f>'A) Base RI'!R257</f>
        <v>33107.1</v>
      </c>
      <c r="Y257" s="4">
        <f t="shared" si="23"/>
        <v>84818.5</v>
      </c>
      <c r="Z257" s="18">
        <f>'A) Base RI'!N257</f>
        <v>0</v>
      </c>
      <c r="AA257" s="18">
        <f>'A) Base RI'!S257+'A) Base RI'!T257</f>
        <v>822.5</v>
      </c>
      <c r="AB257" s="18">
        <f>'A) Base RI'!U257</f>
        <v>3450</v>
      </c>
      <c r="AC257" s="18">
        <f>'A) Base RI'!V257</f>
        <v>0</v>
      </c>
      <c r="AD257" s="18">
        <f>'A) Base RI'!W257</f>
        <v>0</v>
      </c>
      <c r="AE257" s="18">
        <f>'A) Base RI'!Y257</f>
        <v>78741.8</v>
      </c>
      <c r="AF257" s="18">
        <f>'A) Base RI'!Z257</f>
        <v>0</v>
      </c>
      <c r="AG257" s="18">
        <f>'A) Base RI'!AA257</f>
        <v>237714.25</v>
      </c>
      <c r="AH257" s="18">
        <f>'A) Base RI'!AB257</f>
        <v>0</v>
      </c>
      <c r="AI257" s="18">
        <f>'A) Base RI'!AC257</f>
        <v>67783.45</v>
      </c>
      <c r="AJ257" s="18">
        <f>'A) Base RI'!AD257</f>
        <v>24954.400000000001</v>
      </c>
      <c r="AK257" s="18">
        <f>'A) Base RI'!AE257</f>
        <v>0</v>
      </c>
      <c r="AL257" s="18">
        <f>'A) Base RI'!AF257</f>
        <v>0</v>
      </c>
      <c r="AM257" s="18">
        <f>'A) Base RI'!AG257</f>
        <v>0</v>
      </c>
      <c r="AN257" s="18">
        <f>'A) Base RI'!AH257</f>
        <v>26544.9</v>
      </c>
      <c r="AO257" s="18">
        <f>'A) Base RI'!AI257</f>
        <v>0</v>
      </c>
      <c r="AP257" s="18">
        <f>'A) Base RI'!AJ257</f>
        <v>0</v>
      </c>
      <c r="AQ257" s="18">
        <f>'A) Base RI'!AK257</f>
        <v>0</v>
      </c>
      <c r="AR257" s="18">
        <f>'A) Base RI'!AN257</f>
        <v>863</v>
      </c>
    </row>
    <row r="258" spans="1:44" x14ac:dyDescent="0.25">
      <c r="A258" s="13">
        <f>'A) Base RI'!A258</f>
        <v>5819</v>
      </c>
      <c r="B258" s="62" t="str">
        <f>'A) Base RI'!B258</f>
        <v>Henniez</v>
      </c>
      <c r="C258" s="18">
        <f>'A) Base RI'!C258+'A) Base RI'!D258</f>
        <v>362720.93</v>
      </c>
      <c r="D258" s="18">
        <f>'A) Base RI'!AO258</f>
        <v>-13160.39</v>
      </c>
      <c r="E258" s="61">
        <f>'A) Base RI'!AP258</f>
        <v>0</v>
      </c>
      <c r="F258" s="61">
        <f>'A) Base RI'!AQ258</f>
        <v>-319.45999999999998</v>
      </c>
      <c r="G258" s="4">
        <f t="shared" si="18"/>
        <v>349241.07999999996</v>
      </c>
      <c r="H258" s="18">
        <f>'A) Base RI'!E258</f>
        <v>0</v>
      </c>
      <c r="I258" s="18">
        <f>'A) Base RI'!F258</f>
        <v>0</v>
      </c>
      <c r="J258" s="18">
        <f>'A) Base RI'!G258+'A) Base RI'!H258</f>
        <v>231112.45</v>
      </c>
      <c r="K258" s="18">
        <f>'A) Base RI'!I258</f>
        <v>0</v>
      </c>
      <c r="L258" s="18">
        <f>'A) Base RI'!J258</f>
        <v>8790.23</v>
      </c>
      <c r="M258" s="18">
        <f>'A) Base RI'!K258</f>
        <v>1300.5</v>
      </c>
      <c r="N258" s="18">
        <f>'A) Base RI'!Q258</f>
        <v>0</v>
      </c>
      <c r="O258" s="18">
        <f t="shared" si="19"/>
        <v>71798.850000000006</v>
      </c>
      <c r="P258" s="18">
        <f>'A) Base RI'!L258</f>
        <v>71798.850000000006</v>
      </c>
      <c r="Q258" s="64">
        <f>'A) Base RI'!AR258</f>
        <v>1</v>
      </c>
      <c r="R258" s="4">
        <f t="shared" si="20"/>
        <v>662243.11</v>
      </c>
      <c r="S258" s="63">
        <f>'A) Base RI'!AM258</f>
        <v>67</v>
      </c>
      <c r="T258" s="4">
        <f t="shared" si="21"/>
        <v>589143.76</v>
      </c>
      <c r="U258" s="4">
        <f t="shared" si="22"/>
        <v>9884.2255223880602</v>
      </c>
      <c r="V258" s="18">
        <v>0</v>
      </c>
      <c r="W258" s="18">
        <f>'A) Base RI'!P258</f>
        <v>6393.75</v>
      </c>
      <c r="X258" s="18">
        <f>'A) Base RI'!R258</f>
        <v>3470.65</v>
      </c>
      <c r="Y258" s="4">
        <f t="shared" si="23"/>
        <v>9864.4</v>
      </c>
      <c r="Z258" s="18">
        <f>'A) Base RI'!N258</f>
        <v>14211.7</v>
      </c>
      <c r="AA258" s="18">
        <f>'A) Base RI'!S258+'A) Base RI'!T258</f>
        <v>0</v>
      </c>
      <c r="AB258" s="18">
        <f>'A) Base RI'!U258</f>
        <v>660</v>
      </c>
      <c r="AC258" s="18">
        <f>'A) Base RI'!V258</f>
        <v>0</v>
      </c>
      <c r="AD258" s="18">
        <f>'A) Base RI'!W258</f>
        <v>0</v>
      </c>
      <c r="AE258" s="18">
        <f>'A) Base RI'!Y258</f>
        <v>201000</v>
      </c>
      <c r="AF258" s="18">
        <f>'A) Base RI'!Z258</f>
        <v>0</v>
      </c>
      <c r="AG258" s="18">
        <f>'A) Base RI'!AA258</f>
        <v>13469.6</v>
      </c>
      <c r="AH258" s="18">
        <f>'A) Base RI'!AB258</f>
        <v>0</v>
      </c>
      <c r="AI258" s="18">
        <f>'A) Base RI'!AC258</f>
        <v>33698.9</v>
      </c>
      <c r="AJ258" s="18">
        <f>'A) Base RI'!AD258</f>
        <v>98700</v>
      </c>
      <c r="AK258" s="18">
        <f>'A) Base RI'!AE258</f>
        <v>0</v>
      </c>
      <c r="AL258" s="18">
        <f>'A) Base RI'!AF258</f>
        <v>0</v>
      </c>
      <c r="AM258" s="18">
        <f>'A) Base RI'!AG258</f>
        <v>0</v>
      </c>
      <c r="AN258" s="18">
        <f>'A) Base RI'!AH258</f>
        <v>0</v>
      </c>
      <c r="AO258" s="18">
        <f>'A) Base RI'!AI258</f>
        <v>0</v>
      </c>
      <c r="AP258" s="18">
        <f>'A) Base RI'!AJ258</f>
        <v>0</v>
      </c>
      <c r="AQ258" s="18">
        <f>'A) Base RI'!AK258</f>
        <v>0</v>
      </c>
      <c r="AR258" s="18">
        <f>'A) Base RI'!AN258</f>
        <v>287</v>
      </c>
    </row>
    <row r="259" spans="1:44" x14ac:dyDescent="0.25">
      <c r="A259" s="13">
        <f>'A) Base RI'!A259</f>
        <v>5821</v>
      </c>
      <c r="B259" s="62" t="str">
        <f>'A) Base RI'!B259</f>
        <v>Missy</v>
      </c>
      <c r="C259" s="18">
        <f>'A) Base RI'!C259+'A) Base RI'!D259</f>
        <v>486685.33</v>
      </c>
      <c r="D259" s="18">
        <f>'A) Base RI'!AO259</f>
        <v>-12663.2</v>
      </c>
      <c r="E259" s="61">
        <f>'A) Base RI'!AP259</f>
        <v>0</v>
      </c>
      <c r="F259" s="61">
        <f>'A) Base RI'!AQ259</f>
        <v>0</v>
      </c>
      <c r="G259" s="4">
        <f t="shared" si="18"/>
        <v>474022.13</v>
      </c>
      <c r="H259" s="18">
        <f>'A) Base RI'!E259</f>
        <v>0</v>
      </c>
      <c r="I259" s="18">
        <f>'A) Base RI'!F259</f>
        <v>0</v>
      </c>
      <c r="J259" s="18">
        <f>'A) Base RI'!G259+'A) Base RI'!H259</f>
        <v>4175.75</v>
      </c>
      <c r="K259" s="18">
        <f>'A) Base RI'!I259</f>
        <v>0</v>
      </c>
      <c r="L259" s="18">
        <f>'A) Base RI'!J259</f>
        <v>21028.16</v>
      </c>
      <c r="M259" s="18">
        <f>'A) Base RI'!K259</f>
        <v>1254</v>
      </c>
      <c r="N259" s="18">
        <f>'A) Base RI'!Q259</f>
        <v>2655.73</v>
      </c>
      <c r="O259" s="18">
        <f t="shared" si="19"/>
        <v>36667.9</v>
      </c>
      <c r="P259" s="18">
        <f>'A) Base RI'!L259</f>
        <v>36667.9</v>
      </c>
      <c r="Q259" s="64">
        <f>'A) Base RI'!AR259</f>
        <v>1</v>
      </c>
      <c r="R259" s="4">
        <f t="shared" si="20"/>
        <v>539803.66999999993</v>
      </c>
      <c r="S259" s="63">
        <f>'A) Base RI'!AM259</f>
        <v>72</v>
      </c>
      <c r="T259" s="4">
        <f t="shared" si="21"/>
        <v>501881.76999999996</v>
      </c>
      <c r="U259" s="4">
        <f t="shared" si="22"/>
        <v>7497.2731944444431</v>
      </c>
      <c r="V259" s="18">
        <v>0</v>
      </c>
      <c r="W259" s="18">
        <f>'A) Base RI'!P259</f>
        <v>37234.6</v>
      </c>
      <c r="X259" s="18">
        <f>'A) Base RI'!R259</f>
        <v>34295.9</v>
      </c>
      <c r="Y259" s="4">
        <f t="shared" si="23"/>
        <v>71530.5</v>
      </c>
      <c r="Z259" s="18">
        <f>'A) Base RI'!N259</f>
        <v>0</v>
      </c>
      <c r="AA259" s="18">
        <f>'A) Base RI'!S259+'A) Base RI'!T259</f>
        <v>0</v>
      </c>
      <c r="AB259" s="18">
        <f>'A) Base RI'!U259</f>
        <v>3050</v>
      </c>
      <c r="AC259" s="18">
        <f>'A) Base RI'!V259</f>
        <v>0</v>
      </c>
      <c r="AD259" s="18">
        <f>'A) Base RI'!W259</f>
        <v>0</v>
      </c>
      <c r="AE259" s="18">
        <f>'A) Base RI'!Y259</f>
        <v>29365.200000000001</v>
      </c>
      <c r="AF259" s="18">
        <f>'A) Base RI'!Z259</f>
        <v>0</v>
      </c>
      <c r="AG259" s="18">
        <f>'A) Base RI'!AA259</f>
        <v>45658.5</v>
      </c>
      <c r="AH259" s="18">
        <f>'A) Base RI'!AB259</f>
        <v>0</v>
      </c>
      <c r="AI259" s="18">
        <f>'A) Base RI'!AC259</f>
        <v>31079.75</v>
      </c>
      <c r="AJ259" s="18">
        <f>'A) Base RI'!AD259</f>
        <v>40916.25</v>
      </c>
      <c r="AK259" s="18">
        <f>'A) Base RI'!AE259</f>
        <v>0</v>
      </c>
      <c r="AL259" s="18">
        <f>'A) Base RI'!AF259</f>
        <v>0</v>
      </c>
      <c r="AM259" s="18">
        <f>'A) Base RI'!AG259</f>
        <v>0</v>
      </c>
      <c r="AN259" s="18">
        <f>'A) Base RI'!AH259</f>
        <v>8387.9500000000007</v>
      </c>
      <c r="AO259" s="18">
        <f>'A) Base RI'!AI259</f>
        <v>0</v>
      </c>
      <c r="AP259" s="18">
        <f>'A) Base RI'!AJ259</f>
        <v>63.8</v>
      </c>
      <c r="AQ259" s="18">
        <f>'A) Base RI'!AK259</f>
        <v>0</v>
      </c>
      <c r="AR259" s="18">
        <f>'A) Base RI'!AN259</f>
        <v>335</v>
      </c>
    </row>
    <row r="260" spans="1:44" x14ac:dyDescent="0.25">
      <c r="A260" s="13">
        <f>'A) Base RI'!A260</f>
        <v>5822</v>
      </c>
      <c r="B260" s="62" t="str">
        <f>'A) Base RI'!B260</f>
        <v>Payerne</v>
      </c>
      <c r="C260" s="18">
        <f>'A) Base RI'!C260+'A) Base RI'!D260</f>
        <v>13710181.6</v>
      </c>
      <c r="D260" s="18">
        <f>'A) Base RI'!AO260</f>
        <v>-693331.35</v>
      </c>
      <c r="E260" s="61">
        <f>'A) Base RI'!AP260</f>
        <v>0</v>
      </c>
      <c r="F260" s="61">
        <f>'A) Base RI'!AQ260</f>
        <v>-866.47</v>
      </c>
      <c r="G260" s="4">
        <f t="shared" si="18"/>
        <v>13015983.779999999</v>
      </c>
      <c r="H260" s="18">
        <f>'A) Base RI'!E260</f>
        <v>0</v>
      </c>
      <c r="I260" s="18">
        <f>'A) Base RI'!F260</f>
        <v>0</v>
      </c>
      <c r="J260" s="18">
        <f>'A) Base RI'!G260+'A) Base RI'!H260</f>
        <v>1883812</v>
      </c>
      <c r="K260" s="18">
        <f>'A) Base RI'!I260</f>
        <v>8820.35</v>
      </c>
      <c r="L260" s="18">
        <f>'A) Base RI'!J260</f>
        <v>613074.81999999995</v>
      </c>
      <c r="M260" s="18">
        <f>'A) Base RI'!K260</f>
        <v>126495</v>
      </c>
      <c r="N260" s="18">
        <f>'A) Base RI'!Q260</f>
        <v>157075.9</v>
      </c>
      <c r="O260" s="18">
        <f t="shared" si="19"/>
        <v>1143270.45</v>
      </c>
      <c r="P260" s="18">
        <f>'A) Base RI'!L260</f>
        <v>1143270.45</v>
      </c>
      <c r="Q260" s="64">
        <f>'A) Base RI'!AR260</f>
        <v>1</v>
      </c>
      <c r="R260" s="4">
        <f t="shared" si="20"/>
        <v>16948532.300000001</v>
      </c>
      <c r="S260" s="63">
        <f>'A) Base RI'!AM260</f>
        <v>73</v>
      </c>
      <c r="T260" s="4">
        <f t="shared" si="21"/>
        <v>15678766.85</v>
      </c>
      <c r="U260" s="4">
        <f t="shared" si="22"/>
        <v>232171.67534246575</v>
      </c>
      <c r="V260" s="18">
        <f>'A) Base RI'!O260</f>
        <v>830815.1</v>
      </c>
      <c r="W260" s="18">
        <f>'A) Base RI'!P260</f>
        <v>416400.95</v>
      </c>
      <c r="X260" s="18">
        <f>'A) Base RI'!R260</f>
        <v>441055.95</v>
      </c>
      <c r="Y260" s="4">
        <f t="shared" si="23"/>
        <v>1688272</v>
      </c>
      <c r="Z260" s="18">
        <f>'A) Base RI'!N260</f>
        <v>22324.45</v>
      </c>
      <c r="AA260" s="18">
        <f>'A) Base RI'!S260+'A) Base RI'!T260</f>
        <v>184926.2</v>
      </c>
      <c r="AB260" s="18">
        <f>'A) Base RI'!U260</f>
        <v>14125</v>
      </c>
      <c r="AC260" s="18">
        <f>'A) Base RI'!V260</f>
        <v>721875.25</v>
      </c>
      <c r="AD260" s="18">
        <f>'A) Base RI'!W260</f>
        <v>0</v>
      </c>
      <c r="AE260" s="18">
        <f>'A) Base RI'!Y260</f>
        <v>191914.25</v>
      </c>
      <c r="AF260" s="18">
        <f>'A) Base RI'!Z260</f>
        <v>0</v>
      </c>
      <c r="AG260" s="18">
        <f>'A) Base RI'!AA260</f>
        <v>2335269.7999999998</v>
      </c>
      <c r="AH260" s="18">
        <f>'A) Base RI'!AB260</f>
        <v>0</v>
      </c>
      <c r="AI260" s="18">
        <f>'A) Base RI'!AC260</f>
        <v>1221103.07</v>
      </c>
      <c r="AJ260" s="18">
        <f>'A) Base RI'!AD260</f>
        <v>37348.699999999997</v>
      </c>
      <c r="AK260" s="18">
        <f>'A) Base RI'!AE260</f>
        <v>0</v>
      </c>
      <c r="AL260" s="18">
        <f>'A) Base RI'!AF260</f>
        <v>0</v>
      </c>
      <c r="AM260" s="18">
        <f>'A) Base RI'!AG260</f>
        <v>1594</v>
      </c>
      <c r="AN260" s="18">
        <f>'A) Base RI'!AH260</f>
        <v>0</v>
      </c>
      <c r="AO260" s="18">
        <f>'A) Base RI'!AI260</f>
        <v>0</v>
      </c>
      <c r="AP260" s="18">
        <f>'A) Base RI'!AJ260</f>
        <v>0</v>
      </c>
      <c r="AQ260" s="18">
        <f>'A) Base RI'!AK260</f>
        <v>0</v>
      </c>
      <c r="AR260" s="18">
        <f>'A) Base RI'!AN260</f>
        <v>9207</v>
      </c>
    </row>
    <row r="261" spans="1:44" x14ac:dyDescent="0.25">
      <c r="A261" s="13">
        <f>'A) Base RI'!A261</f>
        <v>5827</v>
      </c>
      <c r="B261" s="62" t="str">
        <f>'A) Base RI'!B261</f>
        <v>Trey</v>
      </c>
      <c r="C261" s="18">
        <f>'A) Base RI'!C261+'A) Base RI'!D261</f>
        <v>462541.51999999996</v>
      </c>
      <c r="D261" s="18">
        <f>'A) Base RI'!AO261</f>
        <v>-17675.16</v>
      </c>
      <c r="E261" s="61">
        <f>'A) Base RI'!AP261</f>
        <v>0</v>
      </c>
      <c r="F261" s="61">
        <f>'A) Base RI'!AQ261</f>
        <v>-8.15</v>
      </c>
      <c r="G261" s="4">
        <f t="shared" si="18"/>
        <v>444858.20999999996</v>
      </c>
      <c r="H261" s="18">
        <f>'A) Base RI'!E261</f>
        <v>0</v>
      </c>
      <c r="I261" s="18">
        <f>'A) Base RI'!F261</f>
        <v>0</v>
      </c>
      <c r="J261" s="18">
        <f>'A) Base RI'!G261+'A) Base RI'!H261</f>
        <v>10731.699999999999</v>
      </c>
      <c r="K261" s="18">
        <f>'A) Base RI'!I261</f>
        <v>0</v>
      </c>
      <c r="L261" s="18">
        <f>'A) Base RI'!J261</f>
        <v>-451.13</v>
      </c>
      <c r="M261" s="18">
        <f>'A) Base RI'!K261</f>
        <v>141</v>
      </c>
      <c r="N261" s="18">
        <f>'A) Base RI'!Q261</f>
        <v>5530.66</v>
      </c>
      <c r="O261" s="18">
        <f t="shared" si="19"/>
        <v>31066.55</v>
      </c>
      <c r="P261" s="18">
        <f>'A) Base RI'!L261</f>
        <v>31066.55</v>
      </c>
      <c r="Q261" s="64">
        <f>'A) Base RI'!AR261</f>
        <v>1</v>
      </c>
      <c r="R261" s="4">
        <f t="shared" si="20"/>
        <v>491876.98999999993</v>
      </c>
      <c r="S261" s="63">
        <f>'A) Base RI'!AM261</f>
        <v>80</v>
      </c>
      <c r="T261" s="4">
        <f t="shared" si="21"/>
        <v>460669.43999999994</v>
      </c>
      <c r="U261" s="4">
        <f t="shared" si="22"/>
        <v>6148.4623749999992</v>
      </c>
      <c r="V261" s="18">
        <v>0</v>
      </c>
      <c r="W261" s="18">
        <f>'A) Base RI'!P261</f>
        <v>10010</v>
      </c>
      <c r="X261" s="18">
        <f>'A) Base RI'!R261</f>
        <v>13372.3</v>
      </c>
      <c r="Y261" s="4">
        <f t="shared" si="23"/>
        <v>23382.3</v>
      </c>
      <c r="Z261" s="18">
        <f>'A) Base RI'!N261</f>
        <v>6013.45</v>
      </c>
      <c r="AA261" s="18">
        <f>'A) Base RI'!S261+'A) Base RI'!T261</f>
        <v>0</v>
      </c>
      <c r="AB261" s="18">
        <f>'A) Base RI'!U261</f>
        <v>1650</v>
      </c>
      <c r="AC261" s="18">
        <f>'A) Base RI'!V261</f>
        <v>0</v>
      </c>
      <c r="AD261" s="18">
        <f>'A) Base RI'!W261</f>
        <v>0</v>
      </c>
      <c r="AE261" s="18">
        <f>'A) Base RI'!Y261</f>
        <v>0</v>
      </c>
      <c r="AF261" s="18">
        <f>'A) Base RI'!Z261</f>
        <v>0</v>
      </c>
      <c r="AG261" s="18">
        <f>'A) Base RI'!AA261</f>
        <v>24596.6</v>
      </c>
      <c r="AH261" s="18">
        <f>'A) Base RI'!AB261</f>
        <v>0</v>
      </c>
      <c r="AI261" s="18">
        <f>'A) Base RI'!AC261</f>
        <v>13130</v>
      </c>
      <c r="AJ261" s="18">
        <f>'A) Base RI'!AD261</f>
        <v>0</v>
      </c>
      <c r="AK261" s="18">
        <f>'A) Base RI'!AE261</f>
        <v>0</v>
      </c>
      <c r="AL261" s="18">
        <f>'A) Base RI'!AF261</f>
        <v>0</v>
      </c>
      <c r="AM261" s="18">
        <f>'A) Base RI'!AG261</f>
        <v>0</v>
      </c>
      <c r="AN261" s="18">
        <f>'A) Base RI'!AH261</f>
        <v>0</v>
      </c>
      <c r="AO261" s="18">
        <f>'A) Base RI'!AI261</f>
        <v>0</v>
      </c>
      <c r="AP261" s="18">
        <f>'A) Base RI'!AJ261</f>
        <v>0</v>
      </c>
      <c r="AQ261" s="18">
        <f>'A) Base RI'!AK261</f>
        <v>0</v>
      </c>
      <c r="AR261" s="18">
        <f>'A) Base RI'!AN261</f>
        <v>267</v>
      </c>
    </row>
    <row r="262" spans="1:44" x14ac:dyDescent="0.25">
      <c r="A262" s="13">
        <f>'A) Base RI'!A262</f>
        <v>5828</v>
      </c>
      <c r="B262" s="62" t="str">
        <f>'A) Base RI'!B262</f>
        <v>Treytorrens</v>
      </c>
      <c r="C262" s="18">
        <f>'A) Base RI'!C262+'A) Base RI'!D262</f>
        <v>197311.19</v>
      </c>
      <c r="D262" s="18">
        <f>'A) Base RI'!AO262</f>
        <v>-6350.05</v>
      </c>
      <c r="E262" s="61">
        <f>'A) Base RI'!AP262</f>
        <v>0</v>
      </c>
      <c r="F262" s="61">
        <f>'A) Base RI'!AQ262</f>
        <v>-0.13</v>
      </c>
      <c r="G262" s="4">
        <f t="shared" si="18"/>
        <v>190961.01</v>
      </c>
      <c r="H262" s="18">
        <f>'A) Base RI'!E262</f>
        <v>0</v>
      </c>
      <c r="I262" s="18">
        <f>'A) Base RI'!F262</f>
        <v>0</v>
      </c>
      <c r="J262" s="18">
        <f>'A) Base RI'!G262+'A) Base RI'!H262</f>
        <v>204.8</v>
      </c>
      <c r="K262" s="18">
        <f>'A) Base RI'!I262</f>
        <v>0</v>
      </c>
      <c r="L262" s="18">
        <f>'A) Base RI'!J262</f>
        <v>1731.91</v>
      </c>
      <c r="M262" s="18">
        <f>'A) Base RI'!K262</f>
        <v>0</v>
      </c>
      <c r="N262" s="18">
        <f>'A) Base RI'!Q262</f>
        <v>0</v>
      </c>
      <c r="O262" s="18">
        <f t="shared" si="19"/>
        <v>13565.9</v>
      </c>
      <c r="P262" s="18">
        <f>'A) Base RI'!L262</f>
        <v>20348.849999999999</v>
      </c>
      <c r="Q262" s="64">
        <f>'A) Base RI'!AR262</f>
        <v>1.5</v>
      </c>
      <c r="R262" s="4">
        <f t="shared" si="20"/>
        <v>206463.62</v>
      </c>
      <c r="S262" s="63">
        <f>'A) Base RI'!AM262</f>
        <v>84</v>
      </c>
      <c r="T262" s="4">
        <f t="shared" si="21"/>
        <v>192897.72</v>
      </c>
      <c r="U262" s="4">
        <f t="shared" si="22"/>
        <v>2457.9002380952379</v>
      </c>
      <c r="V262" s="18">
        <f>'A) Base RI'!O262</f>
        <v>3266.7</v>
      </c>
      <c r="W262" s="18">
        <f>'A) Base RI'!P262</f>
        <v>6333.8</v>
      </c>
      <c r="X262" s="18">
        <f>'A) Base RI'!R262</f>
        <v>13683</v>
      </c>
      <c r="Y262" s="4">
        <f t="shared" si="23"/>
        <v>23283.5</v>
      </c>
      <c r="Z262" s="18">
        <f>'A) Base RI'!N262</f>
        <v>0</v>
      </c>
      <c r="AA262" s="18">
        <f>'A) Base RI'!S262+'A) Base RI'!T262</f>
        <v>0</v>
      </c>
      <c r="AB262" s="18">
        <f>'A) Base RI'!U262</f>
        <v>570</v>
      </c>
      <c r="AC262" s="18">
        <f>'A) Base RI'!V262</f>
        <v>0</v>
      </c>
      <c r="AD262" s="18">
        <f>'A) Base RI'!W262</f>
        <v>0</v>
      </c>
      <c r="AE262" s="18">
        <f>'A) Base RI'!Y262</f>
        <v>0</v>
      </c>
      <c r="AF262" s="18">
        <f>'A) Base RI'!Z262</f>
        <v>0</v>
      </c>
      <c r="AG262" s="18">
        <f>'A) Base RI'!AA262</f>
        <v>18685</v>
      </c>
      <c r="AH262" s="18">
        <f>'A) Base RI'!AB262</f>
        <v>0</v>
      </c>
      <c r="AI262" s="18">
        <f>'A) Base RI'!AC262</f>
        <v>10136.1</v>
      </c>
      <c r="AJ262" s="18">
        <f>'A) Base RI'!AD262</f>
        <v>0</v>
      </c>
      <c r="AK262" s="18">
        <f>'A) Base RI'!AE262</f>
        <v>0</v>
      </c>
      <c r="AL262" s="18">
        <f>'A) Base RI'!AF262</f>
        <v>0</v>
      </c>
      <c r="AM262" s="18">
        <f>'A) Base RI'!AG262</f>
        <v>0</v>
      </c>
      <c r="AN262" s="18">
        <f>'A) Base RI'!AH262</f>
        <v>3383</v>
      </c>
      <c r="AO262" s="18">
        <f>'A) Base RI'!AI262</f>
        <v>0</v>
      </c>
      <c r="AP262" s="18">
        <f>'A) Base RI'!AJ262</f>
        <v>0</v>
      </c>
      <c r="AQ262" s="18">
        <f>'A) Base RI'!AK262</f>
        <v>0</v>
      </c>
      <c r="AR262" s="18">
        <f>'A) Base RI'!AN262</f>
        <v>120</v>
      </c>
    </row>
    <row r="263" spans="1:44" x14ac:dyDescent="0.25">
      <c r="A263" s="13">
        <f>'A) Base RI'!A263</f>
        <v>5830</v>
      </c>
      <c r="B263" s="62" t="str">
        <f>'A) Base RI'!B263</f>
        <v>Villarzel</v>
      </c>
      <c r="C263" s="18">
        <f>'A) Base RI'!C263+'A) Base RI'!D263</f>
        <v>732435.37999999989</v>
      </c>
      <c r="D263" s="18">
        <f>'A) Base RI'!AO263</f>
        <v>-1046.68</v>
      </c>
      <c r="E263" s="61">
        <f>'A) Base RI'!AP263</f>
        <v>0</v>
      </c>
      <c r="F263" s="61">
        <f>'A) Base RI'!AQ263</f>
        <v>-0.55000000000000004</v>
      </c>
      <c r="G263" s="4">
        <f t="shared" si="18"/>
        <v>731388.14999999979</v>
      </c>
      <c r="H263" s="18">
        <f>'A) Base RI'!E263</f>
        <v>0</v>
      </c>
      <c r="I263" s="18">
        <f>'A) Base RI'!F263</f>
        <v>2360</v>
      </c>
      <c r="J263" s="18">
        <f>'A) Base RI'!G263+'A) Base RI'!H263</f>
        <v>3597.3</v>
      </c>
      <c r="K263" s="18">
        <f>'A) Base RI'!I263</f>
        <v>0</v>
      </c>
      <c r="L263" s="18">
        <f>'A) Base RI'!J263</f>
        <v>12893.52</v>
      </c>
      <c r="M263" s="18">
        <f>'A) Base RI'!K263</f>
        <v>1075</v>
      </c>
      <c r="N263" s="18">
        <f>'A) Base RI'!Q263</f>
        <v>0</v>
      </c>
      <c r="O263" s="18">
        <f t="shared" si="19"/>
        <v>49640.25</v>
      </c>
      <c r="P263" s="18">
        <f>'A) Base RI'!L263</f>
        <v>49640.25</v>
      </c>
      <c r="Q263" s="64">
        <f>'A) Base RI'!AR263</f>
        <v>1</v>
      </c>
      <c r="R263" s="4">
        <f t="shared" si="20"/>
        <v>800954.21999999986</v>
      </c>
      <c r="S263" s="63">
        <f>'A) Base RI'!AM263</f>
        <v>81</v>
      </c>
      <c r="T263" s="4">
        <f t="shared" si="21"/>
        <v>747878.96999999986</v>
      </c>
      <c r="U263" s="4">
        <f t="shared" si="22"/>
        <v>9888.3237037037015</v>
      </c>
      <c r="V263" s="18">
        <v>0</v>
      </c>
      <c r="W263" s="18">
        <f>'A) Base RI'!P263</f>
        <v>25694.65</v>
      </c>
      <c r="X263" s="18">
        <f>'A) Base RI'!R263</f>
        <v>31284.400000000001</v>
      </c>
      <c r="Y263" s="4">
        <f t="shared" si="23"/>
        <v>56979.05</v>
      </c>
      <c r="Z263" s="18">
        <f>'A) Base RI'!N263</f>
        <v>0</v>
      </c>
      <c r="AA263" s="18">
        <f>'A) Base RI'!S263+'A) Base RI'!T263</f>
        <v>0</v>
      </c>
      <c r="AB263" s="18">
        <f>'A) Base RI'!U263</f>
        <v>2700</v>
      </c>
      <c r="AC263" s="18">
        <f>'A) Base RI'!V263</f>
        <v>0</v>
      </c>
      <c r="AD263" s="18">
        <f>'A) Base RI'!W263</f>
        <v>0</v>
      </c>
      <c r="AE263" s="18">
        <f>'A) Base RI'!Y263</f>
        <v>14000</v>
      </c>
      <c r="AF263" s="18">
        <f>'A) Base RI'!Z263</f>
        <v>0</v>
      </c>
      <c r="AG263" s="18">
        <f>'A) Base RI'!AA263</f>
        <v>52153.8</v>
      </c>
      <c r="AH263" s="18">
        <f>'A) Base RI'!AB263</f>
        <v>0</v>
      </c>
      <c r="AI263" s="18">
        <f>'A) Base RI'!AC263</f>
        <v>29244.6</v>
      </c>
      <c r="AJ263" s="18">
        <f>'A) Base RI'!AD263</f>
        <v>4000</v>
      </c>
      <c r="AK263" s="18">
        <f>'A) Base RI'!AE263</f>
        <v>0</v>
      </c>
      <c r="AL263" s="18">
        <f>'A) Base RI'!AF263</f>
        <v>0</v>
      </c>
      <c r="AM263" s="18">
        <f>'A) Base RI'!AG263</f>
        <v>0</v>
      </c>
      <c r="AN263" s="18">
        <f>'A) Base RI'!AH263</f>
        <v>0</v>
      </c>
      <c r="AO263" s="18">
        <f>'A) Base RI'!AI263</f>
        <v>0</v>
      </c>
      <c r="AP263" s="18">
        <f>'A) Base RI'!AJ263</f>
        <v>0</v>
      </c>
      <c r="AQ263" s="18">
        <f>'A) Base RI'!AK263</f>
        <v>0</v>
      </c>
      <c r="AR263" s="18">
        <f>'A) Base RI'!AN263</f>
        <v>413</v>
      </c>
    </row>
    <row r="264" spans="1:44" x14ac:dyDescent="0.25">
      <c r="A264" s="13">
        <f>'A) Base RI'!A264</f>
        <v>5831</v>
      </c>
      <c r="B264" s="62" t="str">
        <f>'A) Base RI'!B264</f>
        <v>Valbroye</v>
      </c>
      <c r="C264" s="18">
        <f>'A) Base RI'!C264+'A) Base RI'!D264</f>
        <v>4564803.5299999993</v>
      </c>
      <c r="D264" s="18">
        <f>'A) Base RI'!AO264</f>
        <v>-206915.44</v>
      </c>
      <c r="E264" s="61">
        <f>'A) Base RI'!AP264</f>
        <v>0</v>
      </c>
      <c r="F264" s="61">
        <f>'A) Base RI'!AQ264</f>
        <v>-163.38999999999999</v>
      </c>
      <c r="G264" s="4">
        <f t="shared" ref="G264:G324" si="24">SUM(C264:F264)</f>
        <v>4357724.6999999993</v>
      </c>
      <c r="H264" s="18">
        <f>'A) Base RI'!E264</f>
        <v>0</v>
      </c>
      <c r="I264" s="18">
        <f>'A) Base RI'!F264</f>
        <v>0</v>
      </c>
      <c r="J264" s="18">
        <f>'A) Base RI'!G264+'A) Base RI'!H264</f>
        <v>511146.45</v>
      </c>
      <c r="K264" s="18">
        <f>'A) Base RI'!I264</f>
        <v>29038.75</v>
      </c>
      <c r="L264" s="18">
        <f>'A) Base RI'!J264</f>
        <v>121977.02</v>
      </c>
      <c r="M264" s="18">
        <f>'A) Base RI'!K264</f>
        <v>10310</v>
      </c>
      <c r="N264" s="18">
        <f>'A) Base RI'!Q264</f>
        <v>19951.560000000001</v>
      </c>
      <c r="O264" s="18">
        <f t="shared" ref="O264:O324" si="25">P264/Q264*1</f>
        <v>364031.58333333337</v>
      </c>
      <c r="P264" s="18">
        <f>'A) Base RI'!L264</f>
        <v>218418.95</v>
      </c>
      <c r="Q264" s="64">
        <f>'A) Base RI'!AR264</f>
        <v>0.6</v>
      </c>
      <c r="R264" s="4">
        <f t="shared" ref="R264:R324" si="26">SUM(G264:O264)</f>
        <v>5414180.0633333316</v>
      </c>
      <c r="S264" s="63">
        <f>'A) Base RI'!AM264</f>
        <v>75</v>
      </c>
      <c r="T264" s="4">
        <f t="shared" ref="T264:T324" si="27">(G264+H264+J264+K264+L264+N264)</f>
        <v>5039838.4799999986</v>
      </c>
      <c r="U264" s="4">
        <f t="shared" ref="U264:U324" si="28">R264/S264</f>
        <v>72189.06751111109</v>
      </c>
      <c r="V264" s="18">
        <f>'A) Base RI'!O264</f>
        <v>51514.9</v>
      </c>
      <c r="W264" s="18">
        <f>'A) Base RI'!P264</f>
        <v>91814.45</v>
      </c>
      <c r="X264" s="18">
        <f>'A) Base RI'!R264</f>
        <v>130504.9</v>
      </c>
      <c r="Y264" s="4">
        <f t="shared" ref="Y264:Y324" si="29">SUM(V264:X264)</f>
        <v>273834.25</v>
      </c>
      <c r="Z264" s="18">
        <f>'A) Base RI'!N264</f>
        <v>16971.599999999999</v>
      </c>
      <c r="AA264" s="18">
        <f>'A) Base RI'!S264+'A) Base RI'!T264</f>
        <v>812.5</v>
      </c>
      <c r="AB264" s="18">
        <f>'A) Base RI'!U264</f>
        <v>15275</v>
      </c>
      <c r="AC264" s="18">
        <f>'A) Base RI'!V264</f>
        <v>0</v>
      </c>
      <c r="AD264" s="18">
        <f>'A) Base RI'!W264</f>
        <v>0</v>
      </c>
      <c r="AE264" s="18">
        <f>'A) Base RI'!Y264</f>
        <v>82505.25</v>
      </c>
      <c r="AF264" s="18">
        <f>'A) Base RI'!Z264</f>
        <v>0</v>
      </c>
      <c r="AG264" s="18">
        <f>'A) Base RI'!AA264</f>
        <v>302991.88</v>
      </c>
      <c r="AH264" s="18">
        <f>'A) Base RI'!AB264</f>
        <v>0</v>
      </c>
      <c r="AI264" s="18">
        <f>'A) Base RI'!AC264</f>
        <v>205208.27</v>
      </c>
      <c r="AJ264" s="18">
        <f>'A) Base RI'!AD264</f>
        <v>45807.25</v>
      </c>
      <c r="AK264" s="18">
        <f>'A) Base RI'!AE264</f>
        <v>85020</v>
      </c>
      <c r="AL264" s="18">
        <f>'A) Base RI'!AF264</f>
        <v>0</v>
      </c>
      <c r="AM264" s="18">
        <f>'A) Base RI'!AG264</f>
        <v>0</v>
      </c>
      <c r="AN264" s="18">
        <f>'A) Base RI'!AH264</f>
        <v>146951.95000000001</v>
      </c>
      <c r="AO264" s="18">
        <f>'A) Base RI'!AI264</f>
        <v>0</v>
      </c>
      <c r="AP264" s="18">
        <f>'A) Base RI'!AJ264</f>
        <v>0</v>
      </c>
      <c r="AQ264" s="18">
        <f>'A) Base RI'!AK264</f>
        <v>0</v>
      </c>
      <c r="AR264" s="18">
        <f>'A) Base RI'!AN264</f>
        <v>2928</v>
      </c>
    </row>
    <row r="265" spans="1:44" x14ac:dyDescent="0.25">
      <c r="A265" s="13">
        <f>'A) Base RI'!A265</f>
        <v>5841</v>
      </c>
      <c r="B265" s="62" t="str">
        <f>'A) Base RI'!B265</f>
        <v>Château-d'Oex</v>
      </c>
      <c r="C265" s="18">
        <f>'A) Base RI'!C265+'A) Base RI'!D265</f>
        <v>6694114.6399999997</v>
      </c>
      <c r="D265" s="18">
        <f>'A) Base RI'!AO265</f>
        <v>-80918.210000000006</v>
      </c>
      <c r="E265" s="61">
        <f>'A) Base RI'!AP265</f>
        <v>0</v>
      </c>
      <c r="F265" s="61">
        <f>'A) Base RI'!AQ265</f>
        <v>-1936.95</v>
      </c>
      <c r="G265" s="4">
        <f t="shared" si="24"/>
        <v>6611259.4799999995</v>
      </c>
      <c r="H265" s="18">
        <f>'A) Base RI'!E265</f>
        <v>0</v>
      </c>
      <c r="I265" s="18">
        <f>'A) Base RI'!F265</f>
        <v>0</v>
      </c>
      <c r="J265" s="18">
        <f>'A) Base RI'!G265+'A) Base RI'!H265</f>
        <v>478896.64999999997</v>
      </c>
      <c r="K265" s="18">
        <f>'A) Base RI'!I265</f>
        <v>616955.80000000005</v>
      </c>
      <c r="L265" s="18">
        <f>'A) Base RI'!J265</f>
        <v>308641.48</v>
      </c>
      <c r="M265" s="18">
        <f>'A) Base RI'!K265</f>
        <v>29140</v>
      </c>
      <c r="N265" s="18">
        <f>'A) Base RI'!Q265</f>
        <v>10963.95</v>
      </c>
      <c r="O265" s="18">
        <f t="shared" si="25"/>
        <v>858522.29999999993</v>
      </c>
      <c r="P265" s="18">
        <f>'A) Base RI'!L265</f>
        <v>1287783.45</v>
      </c>
      <c r="Q265" s="64">
        <f>'A) Base RI'!AR265</f>
        <v>1.5</v>
      </c>
      <c r="R265" s="4">
        <f t="shared" si="26"/>
        <v>8914379.6600000001</v>
      </c>
      <c r="S265" s="63">
        <f>'A) Base RI'!AM265</f>
        <v>83</v>
      </c>
      <c r="T265" s="4">
        <f t="shared" si="27"/>
        <v>8026717.3600000003</v>
      </c>
      <c r="U265" s="4">
        <f t="shared" si="28"/>
        <v>107402.16457831326</v>
      </c>
      <c r="V265" s="18">
        <f>'A) Base RI'!O265</f>
        <v>81246.3</v>
      </c>
      <c r="W265" s="18">
        <f>'A) Base RI'!P265</f>
        <v>549430.05000000005</v>
      </c>
      <c r="X265" s="18">
        <f>'A) Base RI'!R265</f>
        <v>326149.55</v>
      </c>
      <c r="Y265" s="4">
        <f t="shared" si="29"/>
        <v>956825.90000000014</v>
      </c>
      <c r="Z265" s="18">
        <f>'A) Base RI'!N265</f>
        <v>9161.9500000000007</v>
      </c>
      <c r="AA265" s="18">
        <f>'A) Base RI'!S265+'A) Base RI'!T265</f>
        <v>17070.25</v>
      </c>
      <c r="AB265" s="18">
        <f>'A) Base RI'!U265</f>
        <v>19800</v>
      </c>
      <c r="AC265" s="18">
        <f>'A) Base RI'!V265</f>
        <v>0</v>
      </c>
      <c r="AD265" s="18">
        <f>'A) Base RI'!W265</f>
        <v>0</v>
      </c>
      <c r="AE265" s="18">
        <f>'A) Base RI'!Y265</f>
        <v>125046.3</v>
      </c>
      <c r="AF265" s="18">
        <f>'A) Base RI'!Z265</f>
        <v>0</v>
      </c>
      <c r="AG265" s="18">
        <f>'A) Base RI'!AA265</f>
        <v>1074908.6000000001</v>
      </c>
      <c r="AH265" s="18">
        <f>'A) Base RI'!AB265</f>
        <v>0</v>
      </c>
      <c r="AI265" s="18">
        <f>'A) Base RI'!AC265</f>
        <v>592402.69999999995</v>
      </c>
      <c r="AJ265" s="18">
        <f>'A) Base RI'!AD265</f>
        <v>0</v>
      </c>
      <c r="AK265" s="18">
        <f>'A) Base RI'!AE265</f>
        <v>0</v>
      </c>
      <c r="AL265" s="18">
        <f>'A) Base RI'!AF265</f>
        <v>0</v>
      </c>
      <c r="AM265" s="18">
        <f>'A) Base RI'!AG265</f>
        <v>537720.42000000004</v>
      </c>
      <c r="AN265" s="18">
        <f>'A) Base RI'!AH265</f>
        <v>164187.15</v>
      </c>
      <c r="AO265" s="18">
        <f>'A) Base RI'!AI265</f>
        <v>0</v>
      </c>
      <c r="AP265" s="18">
        <f>'A) Base RI'!AJ265</f>
        <v>0</v>
      </c>
      <c r="AQ265" s="18">
        <f>'A) Base RI'!AK265</f>
        <v>0</v>
      </c>
      <c r="AR265" s="18">
        <f>'A) Base RI'!AN265</f>
        <v>3440</v>
      </c>
    </row>
    <row r="266" spans="1:44" x14ac:dyDescent="0.25">
      <c r="A266" s="13">
        <f>'A) Base RI'!A266</f>
        <v>5842</v>
      </c>
      <c r="B266" s="62" t="str">
        <f>'A) Base RI'!B266</f>
        <v>Rossinière</v>
      </c>
      <c r="C266" s="18">
        <f>'A) Base RI'!C266+'A) Base RI'!D266</f>
        <v>997974.65</v>
      </c>
      <c r="D266" s="18">
        <f>'A) Base RI'!AO266</f>
        <v>-2372.77</v>
      </c>
      <c r="E266" s="61">
        <f>'A) Base RI'!AP266</f>
        <v>0</v>
      </c>
      <c r="F266" s="61">
        <f>'A) Base RI'!AQ266</f>
        <v>-1260.1300000000001</v>
      </c>
      <c r="G266" s="4">
        <f t="shared" si="24"/>
        <v>994341.75</v>
      </c>
      <c r="H266" s="18">
        <f>'A) Base RI'!E266</f>
        <v>0</v>
      </c>
      <c r="I266" s="18">
        <f>'A) Base RI'!F266</f>
        <v>0</v>
      </c>
      <c r="J266" s="18">
        <f>'A) Base RI'!G266+'A) Base RI'!H266</f>
        <v>28143.3</v>
      </c>
      <c r="K266" s="18">
        <f>'A) Base RI'!I266</f>
        <v>46608.4</v>
      </c>
      <c r="L266" s="18">
        <f>'A) Base RI'!J266</f>
        <v>21745.66</v>
      </c>
      <c r="M266" s="18">
        <f>'A) Base RI'!K266</f>
        <v>388</v>
      </c>
      <c r="N266" s="18">
        <f>'A) Base RI'!Q266</f>
        <v>0</v>
      </c>
      <c r="O266" s="18">
        <f t="shared" si="25"/>
        <v>87934.3</v>
      </c>
      <c r="P266" s="18">
        <f>'A) Base RI'!L266</f>
        <v>131901.45000000001</v>
      </c>
      <c r="Q266" s="64">
        <f>'A) Base RI'!AR266</f>
        <v>1.5</v>
      </c>
      <c r="R266" s="4">
        <f t="shared" si="26"/>
        <v>1179161.4099999999</v>
      </c>
      <c r="S266" s="63">
        <f>'A) Base RI'!AM266</f>
        <v>81</v>
      </c>
      <c r="T266" s="4">
        <f t="shared" si="27"/>
        <v>1090839.1099999999</v>
      </c>
      <c r="U266" s="4">
        <f t="shared" si="28"/>
        <v>14557.548271604937</v>
      </c>
      <c r="V266" s="18">
        <f>'A) Base RI'!O266</f>
        <v>62403.8</v>
      </c>
      <c r="W266" s="18">
        <f>'A) Base RI'!P266</f>
        <v>13857.95</v>
      </c>
      <c r="X266" s="18">
        <f>'A) Base RI'!R266</f>
        <v>9081.15</v>
      </c>
      <c r="Y266" s="4">
        <f t="shared" si="29"/>
        <v>85342.9</v>
      </c>
      <c r="Z266" s="18">
        <f>'A) Base RI'!N266</f>
        <v>0</v>
      </c>
      <c r="AA266" s="18">
        <f>'A) Base RI'!S266+'A) Base RI'!T266</f>
        <v>187.5</v>
      </c>
      <c r="AB266" s="18">
        <f>'A) Base RI'!U266</f>
        <v>3200</v>
      </c>
      <c r="AC266" s="18">
        <f>'A) Base RI'!V266</f>
        <v>0</v>
      </c>
      <c r="AD266" s="18">
        <f>'A) Base RI'!W266</f>
        <v>0</v>
      </c>
      <c r="AE266" s="18">
        <f>'A) Base RI'!Y266</f>
        <v>0</v>
      </c>
      <c r="AF266" s="18">
        <f>'A) Base RI'!Z266</f>
        <v>0</v>
      </c>
      <c r="AG266" s="18">
        <f>'A) Base RI'!AA266</f>
        <v>62175.9</v>
      </c>
      <c r="AH266" s="18">
        <f>'A) Base RI'!AB266</f>
        <v>0</v>
      </c>
      <c r="AI266" s="18">
        <f>'A) Base RI'!AC266</f>
        <v>39456.35</v>
      </c>
      <c r="AJ266" s="18">
        <f>'A) Base RI'!AD266</f>
        <v>0</v>
      </c>
      <c r="AK266" s="18">
        <f>'A) Base RI'!AE266</f>
        <v>0</v>
      </c>
      <c r="AL266" s="18">
        <f>'A) Base RI'!AF266</f>
        <v>0</v>
      </c>
      <c r="AM266" s="18">
        <f>'A) Base RI'!AG266</f>
        <v>0</v>
      </c>
      <c r="AN266" s="18">
        <f>'A) Base RI'!AH266</f>
        <v>0</v>
      </c>
      <c r="AO266" s="18">
        <f>'A) Base RI'!AI266</f>
        <v>0</v>
      </c>
      <c r="AP266" s="18">
        <f>'A) Base RI'!AJ266</f>
        <v>0</v>
      </c>
      <c r="AQ266" s="18">
        <f>'A) Base RI'!AK266</f>
        <v>0</v>
      </c>
      <c r="AR266" s="18">
        <f>'A) Base RI'!AN266</f>
        <v>552</v>
      </c>
    </row>
    <row r="267" spans="1:44" x14ac:dyDescent="0.25">
      <c r="A267" s="13">
        <f>'A) Base RI'!A267</f>
        <v>5843</v>
      </c>
      <c r="B267" s="62" t="str">
        <f>'A) Base RI'!B267</f>
        <v>Rougemont</v>
      </c>
      <c r="C267" s="18">
        <f>'A) Base RI'!C267+'A) Base RI'!D267</f>
        <v>3588547.12</v>
      </c>
      <c r="D267" s="18">
        <f>'A) Base RI'!AO267</f>
        <v>-19794.79</v>
      </c>
      <c r="E267" s="61">
        <f>'A) Base RI'!AP267</f>
        <v>0</v>
      </c>
      <c r="F267" s="61">
        <f>'A) Base RI'!AQ267</f>
        <v>-2893.87</v>
      </c>
      <c r="G267" s="4">
        <f t="shared" si="24"/>
        <v>3565858.46</v>
      </c>
      <c r="H267" s="18">
        <f>'A) Base RI'!E267</f>
        <v>0</v>
      </c>
      <c r="I267" s="18">
        <f>'A) Base RI'!F267</f>
        <v>0</v>
      </c>
      <c r="J267" s="18">
        <f>'A) Base RI'!G267+'A) Base RI'!H267</f>
        <v>203625.5</v>
      </c>
      <c r="K267" s="18">
        <f>'A) Base RI'!I267</f>
        <v>1005316.27</v>
      </c>
      <c r="L267" s="18">
        <f>'A) Base RI'!J267</f>
        <v>116324.24</v>
      </c>
      <c r="M267" s="18">
        <f>'A) Base RI'!K267</f>
        <v>16160</v>
      </c>
      <c r="N267" s="18">
        <f>'A) Base RI'!Q267</f>
        <v>2253</v>
      </c>
      <c r="O267" s="18">
        <f t="shared" si="25"/>
        <v>642858.66666666663</v>
      </c>
      <c r="P267" s="18">
        <f>'A) Base RI'!L267</f>
        <v>964288</v>
      </c>
      <c r="Q267" s="64">
        <f>'A) Base RI'!AR267</f>
        <v>1.5</v>
      </c>
      <c r="R267" s="4">
        <f t="shared" si="26"/>
        <v>5552396.1366666676</v>
      </c>
      <c r="S267" s="63">
        <f>'A) Base RI'!AM267</f>
        <v>69</v>
      </c>
      <c r="T267" s="4">
        <f t="shared" si="27"/>
        <v>4893377.4700000007</v>
      </c>
      <c r="U267" s="4">
        <f t="shared" si="28"/>
        <v>80469.50922705316</v>
      </c>
      <c r="V267" s="18">
        <f>'A) Base RI'!O267</f>
        <v>341644.7</v>
      </c>
      <c r="W267" s="18">
        <f>'A) Base RI'!P267</f>
        <v>788324.1</v>
      </c>
      <c r="X267" s="18">
        <f>'A) Base RI'!R267</f>
        <v>413170.3</v>
      </c>
      <c r="Y267" s="4">
        <f t="shared" si="29"/>
        <v>1543139.1</v>
      </c>
      <c r="Z267" s="18">
        <f>'A) Base RI'!N267</f>
        <v>0</v>
      </c>
      <c r="AA267" s="18">
        <f>'A) Base RI'!S267+'A) Base RI'!T267</f>
        <v>1907.5</v>
      </c>
      <c r="AB267" s="18">
        <f>'A) Base RI'!U267</f>
        <v>4740</v>
      </c>
      <c r="AC267" s="18">
        <f>'A) Base RI'!V267</f>
        <v>0</v>
      </c>
      <c r="AD267" s="18">
        <f>'A) Base RI'!W267</f>
        <v>0</v>
      </c>
      <c r="AE267" s="18">
        <f>'A) Base RI'!Y267</f>
        <v>0</v>
      </c>
      <c r="AF267" s="18">
        <f>'A) Base RI'!Z267</f>
        <v>0</v>
      </c>
      <c r="AG267" s="18">
        <f>'A) Base RI'!AA267</f>
        <v>0</v>
      </c>
      <c r="AH267" s="18">
        <f>'A) Base RI'!AB267</f>
        <v>0</v>
      </c>
      <c r="AI267" s="18">
        <f>'A) Base RI'!AC267</f>
        <v>0</v>
      </c>
      <c r="AJ267" s="18">
        <f>'A) Base RI'!AD267</f>
        <v>0</v>
      </c>
      <c r="AK267" s="18">
        <f>'A) Base RI'!AE267</f>
        <v>0</v>
      </c>
      <c r="AL267" s="18">
        <f>'A) Base RI'!AF267</f>
        <v>0</v>
      </c>
      <c r="AM267" s="18">
        <f>'A) Base RI'!AG267</f>
        <v>0</v>
      </c>
      <c r="AN267" s="18">
        <f>'A) Base RI'!AH267</f>
        <v>0</v>
      </c>
      <c r="AO267" s="18">
        <f>'A) Base RI'!AI267</f>
        <v>0</v>
      </c>
      <c r="AP267" s="18">
        <f>'A) Base RI'!AJ267</f>
        <v>0</v>
      </c>
      <c r="AQ267" s="18">
        <f>'A) Base RI'!AK267</f>
        <v>0</v>
      </c>
      <c r="AR267" s="18">
        <f>'A) Base RI'!AN267</f>
        <v>882</v>
      </c>
    </row>
    <row r="268" spans="1:44" x14ac:dyDescent="0.25">
      <c r="A268" s="13">
        <f>'A) Base RI'!A268</f>
        <v>5851</v>
      </c>
      <c r="B268" s="62" t="str">
        <f>'A) Base RI'!B268</f>
        <v>Allaman</v>
      </c>
      <c r="C268" s="18">
        <f>'A) Base RI'!C268+'A) Base RI'!D268</f>
        <v>907409.41</v>
      </c>
      <c r="D268" s="18">
        <f>'A) Base RI'!AO268</f>
        <v>-15706.19</v>
      </c>
      <c r="E268" s="61">
        <f>'A) Base RI'!AP268</f>
        <v>0</v>
      </c>
      <c r="F268" s="61">
        <f>'A) Base RI'!AQ268</f>
        <v>-312.94</v>
      </c>
      <c r="G268" s="4">
        <f t="shared" si="24"/>
        <v>891390.28000000014</v>
      </c>
      <c r="H268" s="18">
        <f>'A) Base RI'!E268</f>
        <v>0</v>
      </c>
      <c r="I268" s="18">
        <f>'A) Base RI'!F268</f>
        <v>0</v>
      </c>
      <c r="J268" s="18">
        <f>'A) Base RI'!G268+'A) Base RI'!H268</f>
        <v>293124.84999999998</v>
      </c>
      <c r="K268" s="18">
        <f>'A) Base RI'!I268</f>
        <v>72900.95</v>
      </c>
      <c r="L268" s="18">
        <f>'A) Base RI'!J268</f>
        <v>19949.439999999999</v>
      </c>
      <c r="M268" s="18">
        <f>'A) Base RI'!K268</f>
        <v>29089.5</v>
      </c>
      <c r="N268" s="18">
        <f>'A) Base RI'!Q268</f>
        <v>346.38</v>
      </c>
      <c r="O268" s="18">
        <f t="shared" si="25"/>
        <v>198134.95</v>
      </c>
      <c r="P268" s="18">
        <f>'A) Base RI'!L268</f>
        <v>198134.95</v>
      </c>
      <c r="Q268" s="64">
        <f>'A) Base RI'!AR268</f>
        <v>1</v>
      </c>
      <c r="R268" s="4">
        <f t="shared" si="26"/>
        <v>1504936.3499999999</v>
      </c>
      <c r="S268" s="63">
        <f>'A) Base RI'!AM268</f>
        <v>61</v>
      </c>
      <c r="T268" s="4">
        <f t="shared" si="27"/>
        <v>1277711.8999999999</v>
      </c>
      <c r="U268" s="4">
        <f t="shared" si="28"/>
        <v>24671.087704918031</v>
      </c>
      <c r="V268" s="18">
        <f>'A) Base RI'!O268</f>
        <v>680186.3</v>
      </c>
      <c r="W268" s="18">
        <f>'A) Base RI'!P268</f>
        <v>15481.95</v>
      </c>
      <c r="X268" s="18">
        <f>'A) Base RI'!R268</f>
        <v>35312.9</v>
      </c>
      <c r="Y268" s="4">
        <f t="shared" si="29"/>
        <v>730981.15</v>
      </c>
      <c r="Z268" s="18">
        <f>'A) Base RI'!N268</f>
        <v>39239.050000000003</v>
      </c>
      <c r="AA268" s="18">
        <f>'A) Base RI'!S268+'A) Base RI'!T268</f>
        <v>412.5</v>
      </c>
      <c r="AB268" s="18">
        <f>'A) Base RI'!U268</f>
        <v>2100</v>
      </c>
      <c r="AC268" s="18">
        <f>'A) Base RI'!V268</f>
        <v>250</v>
      </c>
      <c r="AD268" s="18">
        <f>'A) Base RI'!W268</f>
        <v>0</v>
      </c>
      <c r="AE268" s="18">
        <f>'A) Base RI'!Y268</f>
        <v>46786.48</v>
      </c>
      <c r="AF268" s="18">
        <f>'A) Base RI'!Z268</f>
        <v>0</v>
      </c>
      <c r="AG268" s="18">
        <f>'A) Base RI'!AA268</f>
        <v>178304.01</v>
      </c>
      <c r="AH268" s="18">
        <f>'A) Base RI'!AB268</f>
        <v>0</v>
      </c>
      <c r="AI268" s="18">
        <f>'A) Base RI'!AC268</f>
        <v>37077.15</v>
      </c>
      <c r="AJ268" s="18">
        <f>'A) Base RI'!AD268</f>
        <v>0</v>
      </c>
      <c r="AK268" s="18">
        <f>'A) Base RI'!AE268</f>
        <v>0</v>
      </c>
      <c r="AL268" s="18">
        <f>'A) Base RI'!AF268</f>
        <v>0</v>
      </c>
      <c r="AM268" s="18">
        <f>'A) Base RI'!AG268</f>
        <v>0</v>
      </c>
      <c r="AN268" s="18">
        <f>'A) Base RI'!AH268</f>
        <v>55461.5</v>
      </c>
      <c r="AO268" s="18">
        <f>'A) Base RI'!AI268</f>
        <v>0</v>
      </c>
      <c r="AP268" s="18">
        <f>'A) Base RI'!AJ268</f>
        <v>0</v>
      </c>
      <c r="AQ268" s="18">
        <f>'A) Base RI'!AK268</f>
        <v>0</v>
      </c>
      <c r="AR268" s="18">
        <f>'A) Base RI'!AN268</f>
        <v>401</v>
      </c>
    </row>
    <row r="269" spans="1:44" x14ac:dyDescent="0.25">
      <c r="A269" s="13">
        <f>'A) Base RI'!A269</f>
        <v>5852</v>
      </c>
      <c r="B269" s="62" t="str">
        <f>'A) Base RI'!B269</f>
        <v>Bursinel</v>
      </c>
      <c r="C269" s="18">
        <f>'A) Base RI'!C269+'A) Base RI'!D269</f>
        <v>1247901.94</v>
      </c>
      <c r="D269" s="18">
        <f>'A) Base RI'!AO269</f>
        <v>-42073.8</v>
      </c>
      <c r="E269" s="61">
        <f>'A) Base RI'!AP269</f>
        <v>0</v>
      </c>
      <c r="F269" s="61">
        <f>'A) Base RI'!AQ269</f>
        <v>-204.03</v>
      </c>
      <c r="G269" s="4">
        <f t="shared" si="24"/>
        <v>1205624.1099999999</v>
      </c>
      <c r="H269" s="18">
        <f>'A) Base RI'!E269</f>
        <v>0</v>
      </c>
      <c r="I269" s="18">
        <f>'A) Base RI'!F269</f>
        <v>0</v>
      </c>
      <c r="J269" s="18">
        <f>'A) Base RI'!G269+'A) Base RI'!H269</f>
        <v>25002.7</v>
      </c>
      <c r="K269" s="18">
        <f>'A) Base RI'!I269</f>
        <v>356928.25</v>
      </c>
      <c r="L269" s="18">
        <f>'A) Base RI'!J269</f>
        <v>62389.54</v>
      </c>
      <c r="M269" s="18">
        <f>'A) Base RI'!K269</f>
        <v>6646.5</v>
      </c>
      <c r="N269" s="18">
        <f>'A) Base RI'!Q269</f>
        <v>16298.48</v>
      </c>
      <c r="O269" s="18">
        <f t="shared" si="25"/>
        <v>166875.1</v>
      </c>
      <c r="P269" s="18">
        <f>'A) Base RI'!L269</f>
        <v>166875.1</v>
      </c>
      <c r="Q269" s="64">
        <f>'A) Base RI'!AR269</f>
        <v>1</v>
      </c>
      <c r="R269" s="4">
        <f t="shared" si="26"/>
        <v>1839764.68</v>
      </c>
      <c r="S269" s="63">
        <f>'A) Base RI'!AM269</f>
        <v>61.5</v>
      </c>
      <c r="T269" s="4">
        <f t="shared" si="27"/>
        <v>1666243.0799999998</v>
      </c>
      <c r="U269" s="4">
        <f t="shared" si="28"/>
        <v>29914.872845528454</v>
      </c>
      <c r="V269" s="18">
        <f>'A) Base RI'!O269</f>
        <v>96846.3</v>
      </c>
      <c r="W269" s="18">
        <f>'A) Base RI'!P269</f>
        <v>12265</v>
      </c>
      <c r="X269" s="18">
        <v>0</v>
      </c>
      <c r="Y269" s="4">
        <f t="shared" si="29"/>
        <v>109111.3</v>
      </c>
      <c r="Z269" s="18">
        <f>'A) Base RI'!N269</f>
        <v>5664.7</v>
      </c>
      <c r="AA269" s="18">
        <f>'A) Base RI'!S269+'A) Base RI'!T269</f>
        <v>0</v>
      </c>
      <c r="AB269" s="18">
        <f>'A) Base RI'!U269</f>
        <v>3060</v>
      </c>
      <c r="AC269" s="18">
        <f>'A) Base RI'!V269</f>
        <v>0</v>
      </c>
      <c r="AD269" s="18">
        <f>'A) Base RI'!W269</f>
        <v>0</v>
      </c>
      <c r="AE269" s="18">
        <f>'A) Base RI'!Y269</f>
        <v>2450</v>
      </c>
      <c r="AF269" s="18">
        <f>'A) Base RI'!Z269</f>
        <v>0</v>
      </c>
      <c r="AG269" s="18">
        <f>'A) Base RI'!AA269</f>
        <v>38421</v>
      </c>
      <c r="AH269" s="18">
        <f>'A) Base RI'!AB269</f>
        <v>0</v>
      </c>
      <c r="AI269" s="18">
        <f>'A) Base RI'!AC269</f>
        <v>16425</v>
      </c>
      <c r="AJ269" s="18">
        <f>'A) Base RI'!AD269</f>
        <v>0</v>
      </c>
      <c r="AK269" s="18">
        <f>'A) Base RI'!AE269</f>
        <v>0</v>
      </c>
      <c r="AL269" s="18">
        <f>'A) Base RI'!AF269</f>
        <v>0</v>
      </c>
      <c r="AM269" s="18">
        <f>'A) Base RI'!AG269</f>
        <v>10596.1</v>
      </c>
      <c r="AN269" s="18">
        <f>'A) Base RI'!AH269</f>
        <v>0</v>
      </c>
      <c r="AO269" s="18">
        <f>'A) Base RI'!AI269</f>
        <v>0</v>
      </c>
      <c r="AP269" s="18">
        <f>'A) Base RI'!AJ269</f>
        <v>0</v>
      </c>
      <c r="AQ269" s="18">
        <f>'A) Base RI'!AK269</f>
        <v>0</v>
      </c>
      <c r="AR269" s="18">
        <f>'A) Base RI'!AN269</f>
        <v>471</v>
      </c>
    </row>
    <row r="270" spans="1:44" x14ac:dyDescent="0.25">
      <c r="A270" s="13">
        <f>'A) Base RI'!A270</f>
        <v>5853</v>
      </c>
      <c r="B270" s="62" t="str">
        <f>'A) Base RI'!B270</f>
        <v>Bursins</v>
      </c>
      <c r="C270" s="18">
        <f>'A) Base RI'!C270+'A) Base RI'!D270</f>
        <v>2036834.39</v>
      </c>
      <c r="D270" s="18">
        <f>'A) Base RI'!AO270</f>
        <v>-16590</v>
      </c>
      <c r="E270" s="61">
        <f>'A) Base RI'!AP270</f>
        <v>0</v>
      </c>
      <c r="F270" s="61">
        <f>'A) Base RI'!AQ270</f>
        <v>-1781</v>
      </c>
      <c r="G270" s="4">
        <f t="shared" si="24"/>
        <v>2018463.39</v>
      </c>
      <c r="H270" s="18">
        <f>'A) Base RI'!E270</f>
        <v>0</v>
      </c>
      <c r="I270" s="18">
        <f>'A) Base RI'!F270</f>
        <v>0</v>
      </c>
      <c r="J270" s="18">
        <f>'A) Base RI'!G270+'A) Base RI'!H270</f>
        <v>65246.400000000001</v>
      </c>
      <c r="K270" s="18">
        <f>'A) Base RI'!I270</f>
        <v>193640.6</v>
      </c>
      <c r="L270" s="18">
        <f>'A) Base RI'!J270</f>
        <v>58178.95</v>
      </c>
      <c r="M270" s="18">
        <f>'A) Base RI'!K270</f>
        <v>11693</v>
      </c>
      <c r="N270" s="18">
        <f>'A) Base RI'!Q270</f>
        <v>4462.6400000000003</v>
      </c>
      <c r="O270" s="18">
        <f t="shared" si="25"/>
        <v>180904.6</v>
      </c>
      <c r="P270" s="18">
        <f>'A) Base RI'!L270</f>
        <v>180904.6</v>
      </c>
      <c r="Q270" s="64">
        <f>'A) Base RI'!AR270</f>
        <v>1</v>
      </c>
      <c r="R270" s="4">
        <f t="shared" si="26"/>
        <v>2532589.58</v>
      </c>
      <c r="S270" s="63">
        <f>'A) Base RI'!AM270</f>
        <v>71</v>
      </c>
      <c r="T270" s="4">
        <f t="shared" si="27"/>
        <v>2339991.98</v>
      </c>
      <c r="U270" s="4">
        <f t="shared" si="28"/>
        <v>35670.275774647889</v>
      </c>
      <c r="V270" s="18">
        <f>'A) Base RI'!O270</f>
        <v>13050.4</v>
      </c>
      <c r="W270" s="18">
        <f>'A) Base RI'!P270</f>
        <v>36700.85</v>
      </c>
      <c r="X270" s="18">
        <f>'A) Base RI'!R270</f>
        <v>169023.85</v>
      </c>
      <c r="Y270" s="4">
        <f t="shared" si="29"/>
        <v>218775.1</v>
      </c>
      <c r="Z270" s="18">
        <f>'A) Base RI'!N270</f>
        <v>43123.35</v>
      </c>
      <c r="AA270" s="18">
        <f>'A) Base RI'!S270+'A) Base RI'!T270</f>
        <v>100</v>
      </c>
      <c r="AB270" s="18">
        <f>'A) Base RI'!U270</f>
        <v>3800</v>
      </c>
      <c r="AC270" s="18">
        <f>'A) Base RI'!V270</f>
        <v>0</v>
      </c>
      <c r="AD270" s="18">
        <f>'A) Base RI'!W270</f>
        <v>0</v>
      </c>
      <c r="AE270" s="18">
        <f>'A) Base RI'!Y270</f>
        <v>3694.3</v>
      </c>
      <c r="AF270" s="18">
        <f>'A) Base RI'!Z270</f>
        <v>0</v>
      </c>
      <c r="AG270" s="18">
        <f>'A) Base RI'!AA270</f>
        <v>135017.79999999999</v>
      </c>
      <c r="AH270" s="18">
        <f>'A) Base RI'!AB270</f>
        <v>0</v>
      </c>
      <c r="AI270" s="18">
        <f>'A) Base RI'!AC270</f>
        <v>39492.400000000001</v>
      </c>
      <c r="AJ270" s="18">
        <f>'A) Base RI'!AD270</f>
        <v>2790.95</v>
      </c>
      <c r="AK270" s="18">
        <f>'A) Base RI'!AE270</f>
        <v>0</v>
      </c>
      <c r="AL270" s="18">
        <f>'A) Base RI'!AF270</f>
        <v>0</v>
      </c>
      <c r="AM270" s="18">
        <f>'A) Base RI'!AG270</f>
        <v>0</v>
      </c>
      <c r="AN270" s="18">
        <f>'A) Base RI'!AH270</f>
        <v>0</v>
      </c>
      <c r="AO270" s="18">
        <f>'A) Base RI'!AI270</f>
        <v>0</v>
      </c>
      <c r="AP270" s="18">
        <f>'A) Base RI'!AJ270</f>
        <v>0</v>
      </c>
      <c r="AQ270" s="18">
        <f>'A) Base RI'!AK270</f>
        <v>0</v>
      </c>
      <c r="AR270" s="18">
        <f>'A) Base RI'!AN270</f>
        <v>764</v>
      </c>
    </row>
    <row r="271" spans="1:44" x14ac:dyDescent="0.25">
      <c r="A271" s="13">
        <f>'A) Base RI'!A271</f>
        <v>5854</v>
      </c>
      <c r="B271" s="62" t="str">
        <f>'A) Base RI'!B271</f>
        <v>Burtigny</v>
      </c>
      <c r="C271" s="18">
        <f>'A) Base RI'!C271+'A) Base RI'!D271</f>
        <v>720095.69000000006</v>
      </c>
      <c r="D271" s="18">
        <f>'A) Base RI'!AO271</f>
        <v>-8830.56</v>
      </c>
      <c r="E271" s="61">
        <f>'A) Base RI'!AP271</f>
        <v>0</v>
      </c>
      <c r="F271" s="61">
        <f>'A) Base RI'!AQ271</f>
        <v>-3.33</v>
      </c>
      <c r="G271" s="4">
        <f t="shared" si="24"/>
        <v>711261.8</v>
      </c>
      <c r="H271" s="18">
        <f>'A) Base RI'!E271</f>
        <v>0</v>
      </c>
      <c r="I271" s="18">
        <f>'A) Base RI'!F271</f>
        <v>0</v>
      </c>
      <c r="J271" s="18">
        <f>'A) Base RI'!G271+'A) Base RI'!H271</f>
        <v>43304.3</v>
      </c>
      <c r="K271" s="18">
        <f>'A) Base RI'!I271</f>
        <v>0</v>
      </c>
      <c r="L271" s="18">
        <f>'A) Base RI'!J271</f>
        <v>14924.44</v>
      </c>
      <c r="M271" s="18">
        <f>'A) Base RI'!K271</f>
        <v>1165.5</v>
      </c>
      <c r="N271" s="18">
        <f>'A) Base RI'!Q271</f>
        <v>165.84</v>
      </c>
      <c r="O271" s="18">
        <f t="shared" si="25"/>
        <v>59666.633333333331</v>
      </c>
      <c r="P271" s="18">
        <f>'A) Base RI'!L271</f>
        <v>89499.95</v>
      </c>
      <c r="Q271" s="64">
        <f>'A) Base RI'!AR271</f>
        <v>1.5</v>
      </c>
      <c r="R271" s="4">
        <f t="shared" si="26"/>
        <v>830488.51333333331</v>
      </c>
      <c r="S271" s="63">
        <f>'A) Base RI'!AM271</f>
        <v>76</v>
      </c>
      <c r="T271" s="4">
        <f t="shared" si="27"/>
        <v>769656.38</v>
      </c>
      <c r="U271" s="4">
        <f t="shared" si="28"/>
        <v>10927.480438596491</v>
      </c>
      <c r="V271" s="18">
        <f>'A) Base RI'!O271</f>
        <v>8731.2999999999993</v>
      </c>
      <c r="W271" s="18">
        <f>'A) Base RI'!P271</f>
        <v>3850</v>
      </c>
      <c r="X271" s="18">
        <f>'A) Base RI'!R271</f>
        <v>15262.5</v>
      </c>
      <c r="Y271" s="4">
        <f t="shared" si="29"/>
        <v>27843.8</v>
      </c>
      <c r="Z271" s="18">
        <f>'A) Base RI'!N271</f>
        <v>22875.65</v>
      </c>
      <c r="AA271" s="18">
        <f>'A) Base RI'!S271+'A) Base RI'!T271</f>
        <v>0</v>
      </c>
      <c r="AB271" s="18">
        <f>'A) Base RI'!U271</f>
        <v>1525</v>
      </c>
      <c r="AC271" s="18">
        <f>'A) Base RI'!V271</f>
        <v>0</v>
      </c>
      <c r="AD271" s="18">
        <f>'A) Base RI'!W271</f>
        <v>0</v>
      </c>
      <c r="AE271" s="18">
        <f>'A) Base RI'!Y271</f>
        <v>3877</v>
      </c>
      <c r="AF271" s="18">
        <f>'A) Base RI'!Z271</f>
        <v>0</v>
      </c>
      <c r="AG271" s="18">
        <f>'A) Base RI'!AA271</f>
        <v>26680</v>
      </c>
      <c r="AH271" s="18">
        <f>'A) Base RI'!AB271</f>
        <v>0</v>
      </c>
      <c r="AI271" s="18">
        <f>'A) Base RI'!AC271</f>
        <v>28920</v>
      </c>
      <c r="AJ271" s="18">
        <f>'A) Base RI'!AD271</f>
        <v>2513</v>
      </c>
      <c r="AK271" s="18">
        <f>'A) Base RI'!AE271</f>
        <v>0</v>
      </c>
      <c r="AL271" s="18">
        <f>'A) Base RI'!AF271</f>
        <v>0</v>
      </c>
      <c r="AM271" s="18">
        <f>'A) Base RI'!AG271</f>
        <v>2273.3000000000002</v>
      </c>
      <c r="AN271" s="18">
        <f>'A) Base RI'!AH271</f>
        <v>5100</v>
      </c>
      <c r="AO271" s="18">
        <f>'A) Base RI'!AI271</f>
        <v>0</v>
      </c>
      <c r="AP271" s="18">
        <f>'A) Base RI'!AJ271</f>
        <v>0</v>
      </c>
      <c r="AQ271" s="18">
        <f>'A) Base RI'!AK271</f>
        <v>0</v>
      </c>
      <c r="AR271" s="18">
        <f>'A) Base RI'!AN271</f>
        <v>371</v>
      </c>
    </row>
    <row r="272" spans="1:44" x14ac:dyDescent="0.25">
      <c r="A272" s="13">
        <f>'A) Base RI'!A272</f>
        <v>5855</v>
      </c>
      <c r="B272" s="62" t="str">
        <f>'A) Base RI'!B272</f>
        <v>Dully</v>
      </c>
      <c r="C272" s="18">
        <f>'A) Base RI'!C272+'A) Base RI'!D272</f>
        <v>2935771.4</v>
      </c>
      <c r="D272" s="18">
        <f>'A) Base RI'!AO272</f>
        <v>-15686.05</v>
      </c>
      <c r="E272" s="61">
        <f>'A) Base RI'!AP272</f>
        <v>0</v>
      </c>
      <c r="F272" s="61">
        <f>'A) Base RI'!AQ272</f>
        <v>-1634.28</v>
      </c>
      <c r="G272" s="4">
        <f t="shared" si="24"/>
        <v>2918451.0700000003</v>
      </c>
      <c r="H272" s="18">
        <f>'A) Base RI'!E272</f>
        <v>0</v>
      </c>
      <c r="I272" s="18">
        <f>'A) Base RI'!F272</f>
        <v>0</v>
      </c>
      <c r="J272" s="18">
        <f>'A) Base RI'!G272+'A) Base RI'!H272</f>
        <v>2732.75</v>
      </c>
      <c r="K272" s="18">
        <f>'A) Base RI'!I272</f>
        <v>637067.66</v>
      </c>
      <c r="L272" s="18">
        <f>'A) Base RI'!J272</f>
        <v>76202.69</v>
      </c>
      <c r="M272" s="18">
        <f>'A) Base RI'!K272</f>
        <v>6585.5</v>
      </c>
      <c r="N272" s="18">
        <f>'A) Base RI'!Q272</f>
        <v>0</v>
      </c>
      <c r="O272" s="18">
        <f t="shared" si="25"/>
        <v>293001.40000000002</v>
      </c>
      <c r="P272" s="18">
        <f>'A) Base RI'!L272</f>
        <v>146500.70000000001</v>
      </c>
      <c r="Q272" s="64">
        <f>'A) Base RI'!AR272</f>
        <v>0.5</v>
      </c>
      <c r="R272" s="4">
        <f t="shared" si="26"/>
        <v>3934041.0700000003</v>
      </c>
      <c r="S272" s="63">
        <f>'A) Base RI'!AM272</f>
        <v>49</v>
      </c>
      <c r="T272" s="4">
        <f t="shared" si="27"/>
        <v>3634454.1700000004</v>
      </c>
      <c r="U272" s="4">
        <f t="shared" si="28"/>
        <v>80286.552448979593</v>
      </c>
      <c r="V272" s="18">
        <f>'A) Base RI'!O272</f>
        <v>594</v>
      </c>
      <c r="W272" s="18">
        <f>'A) Base RI'!P272</f>
        <v>158070</v>
      </c>
      <c r="X272" s="18">
        <f>'A) Base RI'!R272</f>
        <v>465216.5</v>
      </c>
      <c r="Y272" s="4">
        <f t="shared" si="29"/>
        <v>623880.5</v>
      </c>
      <c r="Z272" s="18">
        <f>'A) Base RI'!N272</f>
        <v>5255.75</v>
      </c>
      <c r="AA272" s="18">
        <f>'A) Base RI'!S272+'A) Base RI'!T272</f>
        <v>93.75</v>
      </c>
      <c r="AB272" s="18">
        <f>'A) Base RI'!U272</f>
        <v>2180</v>
      </c>
      <c r="AC272" s="18">
        <f>'A) Base RI'!V272</f>
        <v>0</v>
      </c>
      <c r="AD272" s="18">
        <f>'A) Base RI'!W272</f>
        <v>0</v>
      </c>
      <c r="AE272" s="18">
        <f>'A) Base RI'!Y272</f>
        <v>28475.8</v>
      </c>
      <c r="AF272" s="18">
        <f>'A) Base RI'!Z272</f>
        <v>0</v>
      </c>
      <c r="AG272" s="18">
        <f>'A) Base RI'!AA272</f>
        <v>119743.2</v>
      </c>
      <c r="AH272" s="18">
        <f>'A) Base RI'!AB272</f>
        <v>0</v>
      </c>
      <c r="AI272" s="18">
        <f>'A) Base RI'!AC272</f>
        <v>19718.5</v>
      </c>
      <c r="AJ272" s="18">
        <f>'A) Base RI'!AD272</f>
        <v>0</v>
      </c>
      <c r="AK272" s="18">
        <f>'A) Base RI'!AE272</f>
        <v>0</v>
      </c>
      <c r="AL272" s="18">
        <f>'A) Base RI'!AF272</f>
        <v>0</v>
      </c>
      <c r="AM272" s="18">
        <f>'A) Base RI'!AG272</f>
        <v>9105.1</v>
      </c>
      <c r="AN272" s="18">
        <f>'A) Base RI'!AH272</f>
        <v>0</v>
      </c>
      <c r="AO272" s="18">
        <f>'A) Base RI'!AI272</f>
        <v>0</v>
      </c>
      <c r="AP272" s="18">
        <f>'A) Base RI'!AJ272</f>
        <v>0</v>
      </c>
      <c r="AQ272" s="18">
        <f>'A) Base RI'!AK272</f>
        <v>0</v>
      </c>
      <c r="AR272" s="18">
        <f>'A) Base RI'!AN272</f>
        <v>612</v>
      </c>
    </row>
    <row r="273" spans="1:44" x14ac:dyDescent="0.25">
      <c r="A273" s="13">
        <f>'A) Base RI'!A273</f>
        <v>5856</v>
      </c>
      <c r="B273" s="62" t="str">
        <f>'A) Base RI'!B273</f>
        <v>Essertines-sur-Rolle</v>
      </c>
      <c r="C273" s="18">
        <f>'A) Base RI'!C273+'A) Base RI'!D273</f>
        <v>1953117.98</v>
      </c>
      <c r="D273" s="18">
        <f>'A) Base RI'!AO273</f>
        <v>-148.04</v>
      </c>
      <c r="E273" s="61">
        <f>'A) Base RI'!AP273</f>
        <v>0</v>
      </c>
      <c r="F273" s="61">
        <f>'A) Base RI'!AQ273</f>
        <v>-1.67</v>
      </c>
      <c r="G273" s="4">
        <f t="shared" si="24"/>
        <v>1952968.27</v>
      </c>
      <c r="H273" s="18">
        <f>'A) Base RI'!E273</f>
        <v>0</v>
      </c>
      <c r="I273" s="18">
        <f>'A) Base RI'!F273</f>
        <v>0</v>
      </c>
      <c r="J273" s="18">
        <f>'A) Base RI'!G273+'A) Base RI'!H273</f>
        <v>15294.4</v>
      </c>
      <c r="K273" s="18">
        <f>'A) Base RI'!I273</f>
        <v>198122.25</v>
      </c>
      <c r="L273" s="18">
        <f>'A) Base RI'!J273</f>
        <v>211610.03</v>
      </c>
      <c r="M273" s="18">
        <f>'A) Base RI'!K273</f>
        <v>1507.5</v>
      </c>
      <c r="N273" s="18">
        <f>'A) Base RI'!Q273</f>
        <v>0</v>
      </c>
      <c r="O273" s="18">
        <f t="shared" si="25"/>
        <v>161799.19230769231</v>
      </c>
      <c r="P273" s="18">
        <f>'A) Base RI'!L273</f>
        <v>210338.95</v>
      </c>
      <c r="Q273" s="64">
        <f>'A) Base RI'!AR273</f>
        <v>1.3</v>
      </c>
      <c r="R273" s="4">
        <f t="shared" si="26"/>
        <v>2541301.6423076922</v>
      </c>
      <c r="S273" s="63">
        <f>'A) Base RI'!AM273</f>
        <v>68</v>
      </c>
      <c r="T273" s="4">
        <f t="shared" si="27"/>
        <v>2377994.9499999997</v>
      </c>
      <c r="U273" s="4">
        <f t="shared" si="28"/>
        <v>37372.082975113124</v>
      </c>
      <c r="V273" s="18">
        <v>0</v>
      </c>
      <c r="W273" s="18">
        <f>'A) Base RI'!P273</f>
        <v>63159.6</v>
      </c>
      <c r="X273" s="18">
        <f>'A) Base RI'!R273</f>
        <v>36809.449999999997</v>
      </c>
      <c r="Y273" s="4">
        <f t="shared" si="29"/>
        <v>99969.049999999988</v>
      </c>
      <c r="Z273" s="18">
        <f>'A) Base RI'!N273</f>
        <v>0</v>
      </c>
      <c r="AA273" s="18">
        <f>'A) Base RI'!S273+'A) Base RI'!T273</f>
        <v>0</v>
      </c>
      <c r="AB273" s="18">
        <f>'A) Base RI'!U273</f>
        <v>2800</v>
      </c>
      <c r="AC273" s="18">
        <f>'A) Base RI'!V273</f>
        <v>0</v>
      </c>
      <c r="AD273" s="18">
        <f>'A) Base RI'!W273</f>
        <v>0</v>
      </c>
      <c r="AE273" s="18">
        <f>'A) Base RI'!Y273</f>
        <v>0</v>
      </c>
      <c r="AF273" s="18">
        <f>'A) Base RI'!Z273</f>
        <v>0</v>
      </c>
      <c r="AG273" s="18">
        <f>'A) Base RI'!AA273</f>
        <v>132412.95000000001</v>
      </c>
      <c r="AH273" s="18">
        <f>'A) Base RI'!AB273</f>
        <v>0</v>
      </c>
      <c r="AI273" s="18">
        <f>'A) Base RI'!AC273</f>
        <v>77552.5</v>
      </c>
      <c r="AJ273" s="18">
        <f>'A) Base RI'!AD273</f>
        <v>0</v>
      </c>
      <c r="AK273" s="18">
        <f>'A) Base RI'!AE273</f>
        <v>0</v>
      </c>
      <c r="AL273" s="18">
        <f>'A) Base RI'!AF273</f>
        <v>0</v>
      </c>
      <c r="AM273" s="18">
        <f>'A) Base RI'!AG273</f>
        <v>0</v>
      </c>
      <c r="AN273" s="18">
        <f>'A) Base RI'!AH273</f>
        <v>0</v>
      </c>
      <c r="AO273" s="18">
        <f>'A) Base RI'!AI273</f>
        <v>0</v>
      </c>
      <c r="AP273" s="18">
        <f>'A) Base RI'!AJ273</f>
        <v>0</v>
      </c>
      <c r="AQ273" s="18">
        <f>'A) Base RI'!AK273</f>
        <v>0</v>
      </c>
      <c r="AR273" s="18">
        <f>'A) Base RI'!AN273</f>
        <v>698</v>
      </c>
    </row>
    <row r="274" spans="1:44" x14ac:dyDescent="0.25">
      <c r="A274" s="13">
        <f>'A) Base RI'!A274</f>
        <v>5857</v>
      </c>
      <c r="B274" s="62" t="str">
        <f>'A) Base RI'!B274</f>
        <v>Gilly</v>
      </c>
      <c r="C274" s="18">
        <f>'A) Base RI'!C274+'A) Base RI'!D274</f>
        <v>3899884.3699999996</v>
      </c>
      <c r="D274" s="18">
        <f>'A) Base RI'!AO274</f>
        <v>-68212.58</v>
      </c>
      <c r="E274" s="61">
        <f>'A) Base RI'!AP274</f>
        <v>0</v>
      </c>
      <c r="F274" s="61">
        <f>'A) Base RI'!AQ274</f>
        <v>-434.12</v>
      </c>
      <c r="G274" s="4">
        <f t="shared" si="24"/>
        <v>3831237.6699999995</v>
      </c>
      <c r="H274" s="18">
        <f>'A) Base RI'!E274</f>
        <v>0</v>
      </c>
      <c r="I274" s="18">
        <f>'A) Base RI'!F274</f>
        <v>0</v>
      </c>
      <c r="J274" s="18">
        <f>'A) Base RI'!G274+'A) Base RI'!H274</f>
        <v>14241.7</v>
      </c>
      <c r="K274" s="18">
        <f>'A) Base RI'!I274</f>
        <v>61223.6</v>
      </c>
      <c r="L274" s="18">
        <f>'A) Base RI'!J274</f>
        <v>31841.01</v>
      </c>
      <c r="M274" s="18">
        <f>'A) Base RI'!K274</f>
        <v>6885</v>
      </c>
      <c r="N274" s="18">
        <f>'A) Base RI'!Q274</f>
        <v>0</v>
      </c>
      <c r="O274" s="18">
        <f t="shared" si="25"/>
        <v>295472.75</v>
      </c>
      <c r="P274" s="18">
        <f>'A) Base RI'!L274</f>
        <v>295472.75</v>
      </c>
      <c r="Q274" s="64">
        <f>'A) Base RI'!AR274</f>
        <v>1</v>
      </c>
      <c r="R274" s="4">
        <f t="shared" si="26"/>
        <v>4240901.7299999995</v>
      </c>
      <c r="S274" s="63">
        <f>'A) Base RI'!AM274</f>
        <v>66</v>
      </c>
      <c r="T274" s="4">
        <f t="shared" si="27"/>
        <v>3938543.9799999995</v>
      </c>
      <c r="U274" s="4">
        <f t="shared" si="28"/>
        <v>64256.086818181808</v>
      </c>
      <c r="V274" s="18">
        <f>'A) Base RI'!O274</f>
        <v>8925.2000000000007</v>
      </c>
      <c r="W274" s="18">
        <f>'A) Base RI'!P274</f>
        <v>270862.05</v>
      </c>
      <c r="X274" s="18">
        <f>'A) Base RI'!R274</f>
        <v>439630.85</v>
      </c>
      <c r="Y274" s="4">
        <f t="shared" si="29"/>
        <v>719418.1</v>
      </c>
      <c r="Z274" s="18">
        <f>'A) Base RI'!N274</f>
        <v>53061.45</v>
      </c>
      <c r="AA274" s="18">
        <f>'A) Base RI'!S274+'A) Base RI'!T274</f>
        <v>31.25</v>
      </c>
      <c r="AB274" s="18">
        <f>'A) Base RI'!U274</f>
        <v>1515</v>
      </c>
      <c r="AC274" s="18">
        <f>'A) Base RI'!V274</f>
        <v>0</v>
      </c>
      <c r="AD274" s="18">
        <f>'A) Base RI'!W274</f>
        <v>0</v>
      </c>
      <c r="AE274" s="18">
        <f>'A) Base RI'!Y274</f>
        <v>399243</v>
      </c>
      <c r="AF274" s="18">
        <f>'A) Base RI'!Z274</f>
        <v>0</v>
      </c>
      <c r="AG274" s="18">
        <f>'A) Base RI'!AA274</f>
        <v>73978</v>
      </c>
      <c r="AH274" s="18">
        <f>'A) Base RI'!AB274</f>
        <v>0</v>
      </c>
      <c r="AI274" s="18">
        <f>'A) Base RI'!AC274</f>
        <v>61942.75</v>
      </c>
      <c r="AJ274" s="18">
        <f>'A) Base RI'!AD274</f>
        <v>-1438.6</v>
      </c>
      <c r="AK274" s="18">
        <f>'A) Base RI'!AE274</f>
        <v>0</v>
      </c>
      <c r="AL274" s="18">
        <f>'A) Base RI'!AF274</f>
        <v>0</v>
      </c>
      <c r="AM274" s="18">
        <f>'A) Base RI'!AG274</f>
        <v>1551.75</v>
      </c>
      <c r="AN274" s="18">
        <f>'A) Base RI'!AH274</f>
        <v>28377.05</v>
      </c>
      <c r="AO274" s="18">
        <f>'A) Base RI'!AI274</f>
        <v>0</v>
      </c>
      <c r="AP274" s="18">
        <f>'A) Base RI'!AJ274</f>
        <v>0</v>
      </c>
      <c r="AQ274" s="18">
        <f>'A) Base RI'!AK274</f>
        <v>0</v>
      </c>
      <c r="AR274" s="18">
        <f>'A) Base RI'!AN274</f>
        <v>1074</v>
      </c>
    </row>
    <row r="275" spans="1:44" x14ac:dyDescent="0.25">
      <c r="A275" s="13">
        <f>'A) Base RI'!A275</f>
        <v>5858</v>
      </c>
      <c r="B275" s="62" t="str">
        <f>'A) Base RI'!B275</f>
        <v>Luins</v>
      </c>
      <c r="C275" s="18">
        <f>'A) Base RI'!C275+'A) Base RI'!D275</f>
        <v>1809710.86</v>
      </c>
      <c r="D275" s="18">
        <f>'A) Base RI'!AO275</f>
        <v>-13467.41</v>
      </c>
      <c r="E275" s="61">
        <f>'A) Base RI'!AP275</f>
        <v>0</v>
      </c>
      <c r="F275" s="61">
        <f>'A) Base RI'!AQ275</f>
        <v>-129.43</v>
      </c>
      <c r="G275" s="4">
        <f t="shared" si="24"/>
        <v>1796114.0200000003</v>
      </c>
      <c r="H275" s="18">
        <f>'A) Base RI'!E275</f>
        <v>0</v>
      </c>
      <c r="I275" s="18">
        <f>'A) Base RI'!F275</f>
        <v>0</v>
      </c>
      <c r="J275" s="18">
        <f>'A) Base RI'!G275+'A) Base RI'!H275</f>
        <v>21632.5</v>
      </c>
      <c r="K275" s="18">
        <f>'A) Base RI'!I275</f>
        <v>160530.6</v>
      </c>
      <c r="L275" s="18">
        <f>'A) Base RI'!J275</f>
        <v>27980.59</v>
      </c>
      <c r="M275" s="18">
        <f>'A) Base RI'!K275</f>
        <v>899.1</v>
      </c>
      <c r="N275" s="18">
        <f>'A) Base RI'!Q275</f>
        <v>608.4</v>
      </c>
      <c r="O275" s="18">
        <f t="shared" si="25"/>
        <v>126234.06666666667</v>
      </c>
      <c r="P275" s="18">
        <f>'A) Base RI'!L275</f>
        <v>189351.1</v>
      </c>
      <c r="Q275" s="64">
        <f>'A) Base RI'!AR275</f>
        <v>1.5</v>
      </c>
      <c r="R275" s="4">
        <f t="shared" si="26"/>
        <v>2133999.2766666673</v>
      </c>
      <c r="S275" s="63">
        <f>'A) Base RI'!AM275</f>
        <v>60</v>
      </c>
      <c r="T275" s="4">
        <f t="shared" si="27"/>
        <v>2006866.1100000003</v>
      </c>
      <c r="U275" s="4">
        <f t="shared" si="28"/>
        <v>35566.654611111124</v>
      </c>
      <c r="V275" s="18">
        <f>'A) Base RI'!O275</f>
        <v>6876</v>
      </c>
      <c r="W275" s="18">
        <f>'A) Base RI'!P275</f>
        <v>39380</v>
      </c>
      <c r="X275" s="18">
        <f>'A) Base RI'!R275</f>
        <v>63191.75</v>
      </c>
      <c r="Y275" s="4">
        <f t="shared" si="29"/>
        <v>109447.75</v>
      </c>
      <c r="Z275" s="18">
        <f>'A) Base RI'!N275</f>
        <v>21719.200000000001</v>
      </c>
      <c r="AA275" s="18">
        <f>'A) Base RI'!S275+'A) Base RI'!T275</f>
        <v>650</v>
      </c>
      <c r="AB275" s="18">
        <f>'A) Base RI'!U275</f>
        <v>1950</v>
      </c>
      <c r="AC275" s="18">
        <f>'A) Base RI'!V275</f>
        <v>0</v>
      </c>
      <c r="AD275" s="18">
        <f>'A) Base RI'!W275</f>
        <v>0</v>
      </c>
      <c r="AE275" s="18">
        <f>'A) Base RI'!Y275</f>
        <v>100128</v>
      </c>
      <c r="AF275" s="18">
        <f>'A) Base RI'!Z275</f>
        <v>0</v>
      </c>
      <c r="AG275" s="18">
        <f>'A) Base RI'!AA275</f>
        <v>26019</v>
      </c>
      <c r="AH275" s="18">
        <f>'A) Base RI'!AB275</f>
        <v>0</v>
      </c>
      <c r="AI275" s="18">
        <f>'A) Base RI'!AC275</f>
        <v>31772</v>
      </c>
      <c r="AJ275" s="18">
        <f>'A) Base RI'!AD275</f>
        <v>92310</v>
      </c>
      <c r="AK275" s="18">
        <f>'A) Base RI'!AE275</f>
        <v>0</v>
      </c>
      <c r="AL275" s="18">
        <f>'A) Base RI'!AF275</f>
        <v>0</v>
      </c>
      <c r="AM275" s="18">
        <f>'A) Base RI'!AG275</f>
        <v>27</v>
      </c>
      <c r="AN275" s="18">
        <f>'A) Base RI'!AH275</f>
        <v>19234</v>
      </c>
      <c r="AO275" s="18">
        <f>'A) Base RI'!AI275</f>
        <v>0</v>
      </c>
      <c r="AP275" s="18">
        <f>'A) Base RI'!AJ275</f>
        <v>0</v>
      </c>
      <c r="AQ275" s="18">
        <f>'A) Base RI'!AK275</f>
        <v>0</v>
      </c>
      <c r="AR275" s="18">
        <f>'A) Base RI'!AN275</f>
        <v>608</v>
      </c>
    </row>
    <row r="276" spans="1:44" x14ac:dyDescent="0.25">
      <c r="A276" s="13">
        <f>'A) Base RI'!A276</f>
        <v>5859</v>
      </c>
      <c r="B276" s="62" t="str">
        <f>'A) Base RI'!B276</f>
        <v>Mont-sur-Rolle</v>
      </c>
      <c r="C276" s="18">
        <f>'A) Base RI'!C276+'A) Base RI'!D276</f>
        <v>7230878.6100000003</v>
      </c>
      <c r="D276" s="18">
        <f>'A) Base RI'!AO276</f>
        <v>-70070.97</v>
      </c>
      <c r="E276" s="61">
        <f>'A) Base RI'!AP276</f>
        <v>0</v>
      </c>
      <c r="F276" s="61">
        <f>'A) Base RI'!AQ276</f>
        <v>-5603.58</v>
      </c>
      <c r="G276" s="4">
        <f t="shared" si="24"/>
        <v>7155204.0600000005</v>
      </c>
      <c r="H276" s="18">
        <f>'A) Base RI'!E276</f>
        <v>0</v>
      </c>
      <c r="I276" s="18">
        <f>'A) Base RI'!F276</f>
        <v>0</v>
      </c>
      <c r="J276" s="18">
        <f>'A) Base RI'!G276+'A) Base RI'!H276</f>
        <v>100363.4</v>
      </c>
      <c r="K276" s="18">
        <f>'A) Base RI'!I276</f>
        <v>502630.7</v>
      </c>
      <c r="L276" s="18">
        <f>'A) Base RI'!J276</f>
        <v>227848</v>
      </c>
      <c r="M276" s="18">
        <f>'A) Base RI'!K276</f>
        <v>15547.8</v>
      </c>
      <c r="N276" s="18">
        <f>'A) Base RI'!Q276</f>
        <v>728.03</v>
      </c>
      <c r="O276" s="18">
        <f t="shared" si="25"/>
        <v>562175.1</v>
      </c>
      <c r="P276" s="18">
        <f>'A) Base RI'!L276</f>
        <v>562175.1</v>
      </c>
      <c r="Q276" s="64">
        <f>'A) Base RI'!AR276</f>
        <v>1</v>
      </c>
      <c r="R276" s="4">
        <f t="shared" si="26"/>
        <v>8564497.0900000017</v>
      </c>
      <c r="S276" s="63">
        <f>'A) Base RI'!AM276</f>
        <v>63</v>
      </c>
      <c r="T276" s="4">
        <f t="shared" si="27"/>
        <v>7986774.1900000013</v>
      </c>
      <c r="U276" s="4">
        <f t="shared" si="28"/>
        <v>135944.39825396828</v>
      </c>
      <c r="V276" s="18">
        <f>'A) Base RI'!O276</f>
        <v>10681.2</v>
      </c>
      <c r="W276" s="18">
        <f>'A) Base RI'!P276</f>
        <v>210719.8</v>
      </c>
      <c r="X276" s="18">
        <f>'A) Base RI'!R276</f>
        <v>573821.4</v>
      </c>
      <c r="Y276" s="4">
        <f t="shared" si="29"/>
        <v>795222.4</v>
      </c>
      <c r="Z276" s="18">
        <f>'A) Base RI'!N276</f>
        <v>42193.1</v>
      </c>
      <c r="AA276" s="18">
        <f>'A) Base RI'!S276+'A) Base RI'!T276</f>
        <v>0</v>
      </c>
      <c r="AB276" s="18">
        <f>'A) Base RI'!U276</f>
        <v>13150</v>
      </c>
      <c r="AC276" s="18">
        <f>'A) Base RI'!V276</f>
        <v>0</v>
      </c>
      <c r="AD276" s="18">
        <f>'A) Base RI'!W276</f>
        <v>0</v>
      </c>
      <c r="AE276" s="18">
        <f>'A) Base RI'!Y276</f>
        <v>42789.35</v>
      </c>
      <c r="AF276" s="18">
        <f>'A) Base RI'!Z276</f>
        <v>0</v>
      </c>
      <c r="AG276" s="18">
        <f>'A) Base RI'!AA276</f>
        <v>322256.15000000002</v>
      </c>
      <c r="AH276" s="18">
        <f>'A) Base RI'!AB276</f>
        <v>0</v>
      </c>
      <c r="AI276" s="18">
        <f>'A) Base RI'!AC276</f>
        <v>184913.9</v>
      </c>
      <c r="AJ276" s="18">
        <f>'A) Base RI'!AD276</f>
        <v>0</v>
      </c>
      <c r="AK276" s="18">
        <f>'A) Base RI'!AE276</f>
        <v>0</v>
      </c>
      <c r="AL276" s="18">
        <f>'A) Base RI'!AF276</f>
        <v>0</v>
      </c>
      <c r="AM276" s="18">
        <f>'A) Base RI'!AG276</f>
        <v>0</v>
      </c>
      <c r="AN276" s="18">
        <f>'A) Base RI'!AH276</f>
        <v>0</v>
      </c>
      <c r="AO276" s="18">
        <f>'A) Base RI'!AI276</f>
        <v>0</v>
      </c>
      <c r="AP276" s="18">
        <f>'A) Base RI'!AJ276</f>
        <v>0</v>
      </c>
      <c r="AQ276" s="18">
        <f>'A) Base RI'!AK276</f>
        <v>0</v>
      </c>
      <c r="AR276" s="18">
        <f>'A) Base RI'!AN276</f>
        <v>2602</v>
      </c>
    </row>
    <row r="277" spans="1:44" x14ac:dyDescent="0.25">
      <c r="A277" s="13">
        <f>'A) Base RI'!A277</f>
        <v>5860</v>
      </c>
      <c r="B277" s="62" t="str">
        <f>'A) Base RI'!B277</f>
        <v>Perroy</v>
      </c>
      <c r="C277" s="18">
        <f>'A) Base RI'!C277+'A) Base RI'!D277</f>
        <v>3733984.81</v>
      </c>
      <c r="D277" s="18">
        <f>'A) Base RI'!AO277</f>
        <v>-547054.56000000006</v>
      </c>
      <c r="E277" s="61">
        <f>'A) Base RI'!AP277</f>
        <v>0</v>
      </c>
      <c r="F277" s="61">
        <f>'A) Base RI'!AQ277</f>
        <v>-4087.41</v>
      </c>
      <c r="G277" s="4">
        <f t="shared" si="24"/>
        <v>3182842.84</v>
      </c>
      <c r="H277" s="18">
        <f>'A) Base RI'!E277</f>
        <v>0</v>
      </c>
      <c r="I277" s="18">
        <f>'A) Base RI'!F277</f>
        <v>0</v>
      </c>
      <c r="J277" s="18">
        <f>'A) Base RI'!G277+'A) Base RI'!H277</f>
        <v>47818.15</v>
      </c>
      <c r="K277" s="18">
        <f>'A) Base RI'!I277</f>
        <v>360937.35</v>
      </c>
      <c r="L277" s="18">
        <f>'A) Base RI'!J277</f>
        <v>57315.35</v>
      </c>
      <c r="M277" s="18">
        <f>'A) Base RI'!K277</f>
        <v>22191</v>
      </c>
      <c r="N277" s="18">
        <f>'A) Base RI'!Q277</f>
        <v>21375.29</v>
      </c>
      <c r="O277" s="18">
        <f t="shared" si="25"/>
        <v>425163.9</v>
      </c>
      <c r="P277" s="18">
        <f>'A) Base RI'!L277</f>
        <v>425163.9</v>
      </c>
      <c r="Q277" s="64">
        <f>'A) Base RI'!AR277</f>
        <v>1</v>
      </c>
      <c r="R277" s="4">
        <f t="shared" si="26"/>
        <v>4117643.88</v>
      </c>
      <c r="S277" s="63">
        <f>'A) Base RI'!AM277</f>
        <v>58</v>
      </c>
      <c r="T277" s="4">
        <f t="shared" si="27"/>
        <v>3670288.98</v>
      </c>
      <c r="U277" s="4">
        <f t="shared" si="28"/>
        <v>70993.86</v>
      </c>
      <c r="V277" s="18">
        <f>'A) Base RI'!O277</f>
        <v>23611.599999999999</v>
      </c>
      <c r="W277" s="18">
        <f>'A) Base RI'!P277</f>
        <v>187737.25</v>
      </c>
      <c r="X277" s="18">
        <f>'A) Base RI'!R277</f>
        <v>161627.85</v>
      </c>
      <c r="Y277" s="4">
        <f t="shared" si="29"/>
        <v>372976.7</v>
      </c>
      <c r="Z277" s="18">
        <f>'A) Base RI'!N277</f>
        <v>11862.45</v>
      </c>
      <c r="AA277" s="18">
        <f>'A) Base RI'!S277+'A) Base RI'!T277</f>
        <v>0</v>
      </c>
      <c r="AB277" s="18">
        <f>'A) Base RI'!U277</f>
        <v>6600</v>
      </c>
      <c r="AC277" s="18">
        <f>'A) Base RI'!V277</f>
        <v>0</v>
      </c>
      <c r="AD277" s="18">
        <f>'A) Base RI'!W277</f>
        <v>0</v>
      </c>
      <c r="AE277" s="18">
        <f>'A) Base RI'!Y277</f>
        <v>315182.28000000003</v>
      </c>
      <c r="AF277" s="18">
        <f>'A) Base RI'!Z277</f>
        <v>0</v>
      </c>
      <c r="AG277" s="18">
        <f>'A) Base RI'!AA277</f>
        <v>226070.48</v>
      </c>
      <c r="AH277" s="18">
        <f>'A) Base RI'!AB277</f>
        <v>0</v>
      </c>
      <c r="AI277" s="18">
        <f>'A) Base RI'!AC277</f>
        <v>83664.070000000007</v>
      </c>
      <c r="AJ277" s="18">
        <f>'A) Base RI'!AD277</f>
        <v>0</v>
      </c>
      <c r="AK277" s="18">
        <f>'A) Base RI'!AE277</f>
        <v>0</v>
      </c>
      <c r="AL277" s="18">
        <f>'A) Base RI'!AF277</f>
        <v>0</v>
      </c>
      <c r="AM277" s="18">
        <f>'A) Base RI'!AG277</f>
        <v>0</v>
      </c>
      <c r="AN277" s="18">
        <f>'A) Base RI'!AH277</f>
        <v>0</v>
      </c>
      <c r="AO277" s="18">
        <f>'A) Base RI'!AI277</f>
        <v>0</v>
      </c>
      <c r="AP277" s="18">
        <f>'A) Base RI'!AJ277</f>
        <v>0</v>
      </c>
      <c r="AQ277" s="18">
        <f>'A) Base RI'!AK277</f>
        <v>0</v>
      </c>
      <c r="AR277" s="18">
        <f>'A) Base RI'!AN277</f>
        <v>1395</v>
      </c>
    </row>
    <row r="278" spans="1:44" x14ac:dyDescent="0.25">
      <c r="A278" s="13">
        <f>'A) Base RI'!A278</f>
        <v>5861</v>
      </c>
      <c r="B278" s="62" t="str">
        <f>'A) Base RI'!B278</f>
        <v>Rolle</v>
      </c>
      <c r="C278" s="18">
        <f>'A) Base RI'!C278+'A) Base RI'!D278</f>
        <v>13962077.52</v>
      </c>
      <c r="D278" s="18">
        <f>'A) Base RI'!AO278</f>
        <v>-266006.45</v>
      </c>
      <c r="E278" s="61">
        <f>'A) Base RI'!AP278</f>
        <v>0</v>
      </c>
      <c r="F278" s="61">
        <f>'A) Base RI'!AQ278</f>
        <v>-13436.74</v>
      </c>
      <c r="G278" s="4">
        <f t="shared" si="24"/>
        <v>13682634.33</v>
      </c>
      <c r="H278" s="18">
        <f>'A) Base RI'!E278</f>
        <v>0</v>
      </c>
      <c r="I278" s="18">
        <f>'A) Base RI'!F278</f>
        <v>0</v>
      </c>
      <c r="J278" s="18">
        <f>'A) Base RI'!G278+'A) Base RI'!H278</f>
        <v>4013212.6</v>
      </c>
      <c r="K278" s="18">
        <f>'A) Base RI'!I278</f>
        <v>686461.41</v>
      </c>
      <c r="L278" s="18">
        <f>'A) Base RI'!J278</f>
        <v>918193.11</v>
      </c>
      <c r="M278" s="18">
        <f>'A) Base RI'!K278</f>
        <v>228718.5</v>
      </c>
      <c r="N278" s="18">
        <f>'A) Base RI'!Q278</f>
        <v>39344.83</v>
      </c>
      <c r="O278" s="18">
        <f t="shared" si="25"/>
        <v>1644980</v>
      </c>
      <c r="P278" s="18">
        <f>'A) Base RI'!L278</f>
        <v>1644980</v>
      </c>
      <c r="Q278" s="64">
        <f>'A) Base RI'!AR278</f>
        <v>1</v>
      </c>
      <c r="R278" s="4">
        <f t="shared" si="26"/>
        <v>21213544.779999997</v>
      </c>
      <c r="S278" s="63">
        <f>'A) Base RI'!AM278</f>
        <v>59.5</v>
      </c>
      <c r="T278" s="4">
        <f t="shared" si="27"/>
        <v>19339846.279999997</v>
      </c>
      <c r="U278" s="4">
        <f t="shared" si="28"/>
        <v>356530.16436974786</v>
      </c>
      <c r="V278" s="18">
        <f>'A) Base RI'!O278</f>
        <v>955690.6</v>
      </c>
      <c r="W278" s="18">
        <f>'A) Base RI'!P278</f>
        <v>653650.69999999995</v>
      </c>
      <c r="X278" s="18">
        <f>'A) Base RI'!R278</f>
        <v>468681.1</v>
      </c>
      <c r="Y278" s="4">
        <f t="shared" si="29"/>
        <v>2078022.4</v>
      </c>
      <c r="Z278" s="18">
        <f>'A) Base RI'!N278</f>
        <v>782086.7</v>
      </c>
      <c r="AA278" s="18">
        <f>'A) Base RI'!S278+'A) Base RI'!T278</f>
        <v>981.25</v>
      </c>
      <c r="AB278" s="18">
        <f>'A) Base RI'!U278</f>
        <v>20812.5</v>
      </c>
      <c r="AC278" s="18">
        <f>'A) Base RI'!V278</f>
        <v>0</v>
      </c>
      <c r="AD278" s="18">
        <f>'A) Base RI'!W278</f>
        <v>0</v>
      </c>
      <c r="AE278" s="18">
        <f>'A) Base RI'!Y278</f>
        <v>198361</v>
      </c>
      <c r="AF278" s="18">
        <f>'A) Base RI'!Z278</f>
        <v>401251</v>
      </c>
      <c r="AG278" s="18">
        <f>'A) Base RI'!AA278</f>
        <v>1044590</v>
      </c>
      <c r="AH278" s="18">
        <f>'A) Base RI'!AB278</f>
        <v>0</v>
      </c>
      <c r="AI278" s="18">
        <f>'A) Base RI'!AC278</f>
        <v>334402</v>
      </c>
      <c r="AJ278" s="18">
        <f>'A) Base RI'!AD278</f>
        <v>0</v>
      </c>
      <c r="AK278" s="18">
        <f>'A) Base RI'!AE278</f>
        <v>0</v>
      </c>
      <c r="AL278" s="18">
        <f>'A) Base RI'!AF278</f>
        <v>0</v>
      </c>
      <c r="AM278" s="18">
        <f>'A) Base RI'!AG278</f>
        <v>103083</v>
      </c>
      <c r="AN278" s="18">
        <f>'A) Base RI'!AH278</f>
        <v>221942</v>
      </c>
      <c r="AO278" s="18">
        <f>'A) Base RI'!AI278</f>
        <v>0</v>
      </c>
      <c r="AP278" s="18">
        <f>'A) Base RI'!AJ278</f>
        <v>0</v>
      </c>
      <c r="AQ278" s="18">
        <f>'A) Base RI'!AK278</f>
        <v>0</v>
      </c>
      <c r="AR278" s="18">
        <f>'A) Base RI'!AN278</f>
        <v>5900</v>
      </c>
    </row>
    <row r="279" spans="1:44" x14ac:dyDescent="0.25">
      <c r="A279" s="13">
        <f>'A) Base RI'!A279</f>
        <v>5862</v>
      </c>
      <c r="B279" s="62" t="str">
        <f>'A) Base RI'!B279</f>
        <v>Tartegnin</v>
      </c>
      <c r="C279" s="18">
        <f>'A) Base RI'!C279+'A) Base RI'!D279</f>
        <v>569614.19999999995</v>
      </c>
      <c r="D279" s="18">
        <f>'A) Base RI'!AO279</f>
        <v>-4602.34</v>
      </c>
      <c r="E279" s="61">
        <f>'A) Base RI'!AP279</f>
        <v>0</v>
      </c>
      <c r="F279" s="61">
        <f>'A) Base RI'!AQ279</f>
        <v>-1.1599999999999999</v>
      </c>
      <c r="G279" s="4">
        <f t="shared" si="24"/>
        <v>565010.69999999995</v>
      </c>
      <c r="H279" s="18">
        <f>'A) Base RI'!E279</f>
        <v>0</v>
      </c>
      <c r="I279" s="18">
        <f>'A) Base RI'!F279</f>
        <v>0</v>
      </c>
      <c r="J279" s="18">
        <f>'A) Base RI'!G279+'A) Base RI'!H279</f>
        <v>2855.8</v>
      </c>
      <c r="K279" s="18">
        <f>'A) Base RI'!I279</f>
        <v>0</v>
      </c>
      <c r="L279" s="18">
        <f>'A) Base RI'!J279</f>
        <v>38454.51</v>
      </c>
      <c r="M279" s="18">
        <f>'A) Base RI'!K279</f>
        <v>0</v>
      </c>
      <c r="N279" s="18">
        <f>'A) Base RI'!Q279</f>
        <v>925.19</v>
      </c>
      <c r="O279" s="18">
        <f t="shared" si="25"/>
        <v>42518.833333333328</v>
      </c>
      <c r="P279" s="18">
        <f>'A) Base RI'!L279</f>
        <v>38266.949999999997</v>
      </c>
      <c r="Q279" s="64">
        <f>'A) Base RI'!AR279</f>
        <v>0.9</v>
      </c>
      <c r="R279" s="4">
        <f t="shared" si="26"/>
        <v>649765.03333333333</v>
      </c>
      <c r="S279" s="63">
        <f>'A) Base RI'!AM279</f>
        <v>84</v>
      </c>
      <c r="T279" s="4">
        <f t="shared" si="27"/>
        <v>607246.19999999995</v>
      </c>
      <c r="U279" s="4">
        <f t="shared" si="28"/>
        <v>7735.2980158730161</v>
      </c>
      <c r="V279" s="18">
        <v>0</v>
      </c>
      <c r="W279" s="18">
        <f>'A) Base RI'!P279</f>
        <v>70568.7</v>
      </c>
      <c r="X279" s="18">
        <f>'A) Base RI'!R279</f>
        <v>30609.5</v>
      </c>
      <c r="Y279" s="4">
        <f t="shared" si="29"/>
        <v>101178.2</v>
      </c>
      <c r="Z279" s="18">
        <f>'A) Base RI'!N279</f>
        <v>6303.8</v>
      </c>
      <c r="AA279" s="18">
        <f>'A) Base RI'!S279+'A) Base RI'!T279</f>
        <v>62.5</v>
      </c>
      <c r="AB279" s="18">
        <f>'A) Base RI'!U279</f>
        <v>825</v>
      </c>
      <c r="AC279" s="18">
        <f>'A) Base RI'!V279</f>
        <v>0</v>
      </c>
      <c r="AD279" s="18">
        <f>'A) Base RI'!W279</f>
        <v>0</v>
      </c>
      <c r="AE279" s="18">
        <f>'A) Base RI'!Y279</f>
        <v>0</v>
      </c>
      <c r="AF279" s="18">
        <f>'A) Base RI'!Z279</f>
        <v>0</v>
      </c>
      <c r="AG279" s="18">
        <f>'A) Base RI'!AA279</f>
        <v>39977.599999999999</v>
      </c>
      <c r="AH279" s="18">
        <f>'A) Base RI'!AB279</f>
        <v>0</v>
      </c>
      <c r="AI279" s="18">
        <f>'A) Base RI'!AC279</f>
        <v>37034.46</v>
      </c>
      <c r="AJ279" s="18">
        <f>'A) Base RI'!AD279</f>
        <v>17801.2</v>
      </c>
      <c r="AK279" s="18">
        <f>'A) Base RI'!AE279</f>
        <v>0</v>
      </c>
      <c r="AL279" s="18">
        <f>'A) Base RI'!AF279</f>
        <v>0</v>
      </c>
      <c r="AM279" s="18">
        <f>'A) Base RI'!AG279</f>
        <v>111.9</v>
      </c>
      <c r="AN279" s="18">
        <f>'A) Base RI'!AH279</f>
        <v>0</v>
      </c>
      <c r="AO279" s="18">
        <f>'A) Base RI'!AI279</f>
        <v>0</v>
      </c>
      <c r="AP279" s="18">
        <f>'A) Base RI'!AJ279</f>
        <v>0</v>
      </c>
      <c r="AQ279" s="18">
        <f>'A) Base RI'!AK279</f>
        <v>0</v>
      </c>
      <c r="AR279" s="18">
        <f>'A) Base RI'!AN279</f>
        <v>228</v>
      </c>
    </row>
    <row r="280" spans="1:44" x14ac:dyDescent="0.25">
      <c r="A280" s="13">
        <f>'A) Base RI'!A280</f>
        <v>5863</v>
      </c>
      <c r="B280" s="62" t="str">
        <f>'A) Base RI'!B280</f>
        <v>Vinzel</v>
      </c>
      <c r="C280" s="18">
        <f>'A) Base RI'!C280+'A) Base RI'!D280</f>
        <v>1417728.63</v>
      </c>
      <c r="D280" s="18">
        <f>'A) Base RI'!AO280</f>
        <v>-22487.49</v>
      </c>
      <c r="E280" s="61">
        <f>'A) Base RI'!AP280</f>
        <v>-947.35</v>
      </c>
      <c r="F280" s="61">
        <f>'A) Base RI'!AQ280</f>
        <v>-1462.17</v>
      </c>
      <c r="G280" s="4">
        <f t="shared" si="24"/>
        <v>1392831.6199999999</v>
      </c>
      <c r="H280" s="18">
        <f>'A) Base RI'!E280</f>
        <v>0</v>
      </c>
      <c r="I280" s="18">
        <f>'A) Base RI'!F280</f>
        <v>0</v>
      </c>
      <c r="J280" s="18">
        <f>'A) Base RI'!G280+'A) Base RI'!H280</f>
        <v>59528.850000000006</v>
      </c>
      <c r="K280" s="18">
        <f>'A) Base RI'!I280</f>
        <v>0</v>
      </c>
      <c r="L280" s="18">
        <f>'A) Base RI'!J280</f>
        <v>9995.2199999999993</v>
      </c>
      <c r="M280" s="18">
        <f>'A) Base RI'!K280</f>
        <v>1387</v>
      </c>
      <c r="N280" s="18">
        <f>'A) Base RI'!Q280</f>
        <v>5832.18</v>
      </c>
      <c r="O280" s="18">
        <f t="shared" si="25"/>
        <v>71488.399999999994</v>
      </c>
      <c r="P280" s="18">
        <f>'A) Base RI'!L280</f>
        <v>71488.399999999994</v>
      </c>
      <c r="Q280" s="64">
        <f>'A) Base RI'!AR280</f>
        <v>1</v>
      </c>
      <c r="R280" s="4">
        <f t="shared" si="26"/>
        <v>1541063.2699999998</v>
      </c>
      <c r="S280" s="63">
        <f>'A) Base RI'!AM280</f>
        <v>73</v>
      </c>
      <c r="T280" s="4">
        <f t="shared" si="27"/>
        <v>1468187.8699999999</v>
      </c>
      <c r="U280" s="4">
        <f t="shared" si="28"/>
        <v>21110.455753424656</v>
      </c>
      <c r="V280" s="18">
        <v>0</v>
      </c>
      <c r="W280" s="18">
        <f>'A) Base RI'!P280</f>
        <v>158.4</v>
      </c>
      <c r="X280" s="18">
        <f>'A) Base RI'!R280</f>
        <v>315</v>
      </c>
      <c r="Y280" s="4">
        <f t="shared" si="29"/>
        <v>473.4</v>
      </c>
      <c r="Z280" s="18">
        <f>'A) Base RI'!N280</f>
        <v>15226</v>
      </c>
      <c r="AA280" s="18">
        <f>'A) Base RI'!S280+'A) Base RI'!T280</f>
        <v>356.25</v>
      </c>
      <c r="AB280" s="18">
        <f>'A) Base RI'!U280</f>
        <v>1300</v>
      </c>
      <c r="AC280" s="18">
        <f>'A) Base RI'!V280</f>
        <v>0</v>
      </c>
      <c r="AD280" s="18">
        <f>'A) Base RI'!W280</f>
        <v>0</v>
      </c>
      <c r="AE280" s="18">
        <f>'A) Base RI'!Y280</f>
        <v>0</v>
      </c>
      <c r="AF280" s="18">
        <f>'A) Base RI'!Z280</f>
        <v>0</v>
      </c>
      <c r="AG280" s="18">
        <f>'A) Base RI'!AA280</f>
        <v>14122</v>
      </c>
      <c r="AH280" s="18">
        <f>'A) Base RI'!AB280</f>
        <v>0</v>
      </c>
      <c r="AI280" s="18">
        <f>'A) Base RI'!AC280</f>
        <v>37391.1</v>
      </c>
      <c r="AJ280" s="18">
        <f>'A) Base RI'!AD280</f>
        <v>0</v>
      </c>
      <c r="AK280" s="18">
        <f>'A) Base RI'!AE280</f>
        <v>0</v>
      </c>
      <c r="AL280" s="18">
        <f>'A) Base RI'!AF280</f>
        <v>0</v>
      </c>
      <c r="AM280" s="18">
        <f>'A) Base RI'!AG280</f>
        <v>711.6</v>
      </c>
      <c r="AN280" s="18">
        <f>'A) Base RI'!AH280</f>
        <v>6260.4</v>
      </c>
      <c r="AO280" s="18">
        <f>'A) Base RI'!AI280</f>
        <v>0</v>
      </c>
      <c r="AP280" s="18">
        <f>'A) Base RI'!AJ280</f>
        <v>0</v>
      </c>
      <c r="AQ280" s="18">
        <f>'A) Base RI'!AK280</f>
        <v>0</v>
      </c>
      <c r="AR280" s="18">
        <f>'A) Base RI'!AN280</f>
        <v>352</v>
      </c>
    </row>
    <row r="281" spans="1:44" x14ac:dyDescent="0.25">
      <c r="A281" s="13">
        <f>'A) Base RI'!A281</f>
        <v>5871</v>
      </c>
      <c r="B281" s="62" t="str">
        <f>'A) Base RI'!B281</f>
        <v>L'Abbaye</v>
      </c>
      <c r="C281" s="18">
        <f>'A) Base RI'!C281+'A) Base RI'!D281</f>
        <v>3280624.81</v>
      </c>
      <c r="D281" s="18">
        <f>'A) Base RI'!AO281</f>
        <v>-18115.169999999998</v>
      </c>
      <c r="E281" s="61">
        <f>'A) Base RI'!AP281</f>
        <v>0</v>
      </c>
      <c r="F281" s="61">
        <f>'A) Base RI'!AQ281</f>
        <v>-44.69</v>
      </c>
      <c r="G281" s="4">
        <f t="shared" si="24"/>
        <v>3262464.95</v>
      </c>
      <c r="H281" s="18">
        <f>'A) Base RI'!E281</f>
        <v>0</v>
      </c>
      <c r="I281" s="18">
        <f>'A) Base RI'!F281</f>
        <v>0</v>
      </c>
      <c r="J281" s="18">
        <f>'A) Base RI'!G281+'A) Base RI'!H281</f>
        <v>1134763.45</v>
      </c>
      <c r="K281" s="18">
        <f>'A) Base RI'!I281</f>
        <v>0</v>
      </c>
      <c r="L281" s="18">
        <f>'A) Base RI'!J281</f>
        <v>69102.53</v>
      </c>
      <c r="M281" s="18">
        <f>'A) Base RI'!K281</f>
        <v>2631.25</v>
      </c>
      <c r="N281" s="18">
        <f>'A) Base RI'!Q281</f>
        <v>3409.16</v>
      </c>
      <c r="O281" s="18">
        <f t="shared" si="25"/>
        <v>216490.6</v>
      </c>
      <c r="P281" s="18">
        <f>'A) Base RI'!L281</f>
        <v>216490.6</v>
      </c>
      <c r="Q281" s="64">
        <f>'A) Base RI'!AR281</f>
        <v>1</v>
      </c>
      <c r="R281" s="4">
        <f t="shared" si="26"/>
        <v>4688861.9400000004</v>
      </c>
      <c r="S281" s="63">
        <f>'A) Base RI'!AM281</f>
        <v>76.98</v>
      </c>
      <c r="T281" s="4">
        <f t="shared" si="27"/>
        <v>4469740.0900000008</v>
      </c>
      <c r="U281" s="4">
        <f t="shared" si="28"/>
        <v>60910.131722525337</v>
      </c>
      <c r="V281" s="18">
        <f>'A) Base RI'!O281</f>
        <v>6501.7</v>
      </c>
      <c r="W281" s="18">
        <f>'A) Base RI'!P281</f>
        <v>108096.05</v>
      </c>
      <c r="X281" s="18">
        <f>'A) Base RI'!R281</f>
        <v>133144.1</v>
      </c>
      <c r="Y281" s="4">
        <f t="shared" si="29"/>
        <v>247741.85</v>
      </c>
      <c r="Z281" s="18">
        <f>'A) Base RI'!N281</f>
        <v>514317.1</v>
      </c>
      <c r="AA281" s="18">
        <f>'A) Base RI'!S281+'A) Base RI'!T281</f>
        <v>312.5</v>
      </c>
      <c r="AB281" s="18">
        <f>'A) Base RI'!U281</f>
        <v>6750</v>
      </c>
      <c r="AC281" s="18">
        <f>'A) Base RI'!V281</f>
        <v>0</v>
      </c>
      <c r="AD281" s="18">
        <f>'A) Base RI'!W281</f>
        <v>0</v>
      </c>
      <c r="AE281" s="18">
        <f>'A) Base RI'!Y281</f>
        <v>18266.5</v>
      </c>
      <c r="AF281" s="18">
        <f>'A) Base RI'!Z281</f>
        <v>8865.6</v>
      </c>
      <c r="AG281" s="18">
        <f>'A) Base RI'!AA281</f>
        <v>292318.5</v>
      </c>
      <c r="AH281" s="18">
        <f>'A) Base RI'!AB281</f>
        <v>0</v>
      </c>
      <c r="AI281" s="18">
        <f>'A) Base RI'!AC281</f>
        <v>143117.5</v>
      </c>
      <c r="AJ281" s="18">
        <f>'A) Base RI'!AD281</f>
        <v>0</v>
      </c>
      <c r="AK281" s="18">
        <f>'A) Base RI'!AE281</f>
        <v>0</v>
      </c>
      <c r="AL281" s="18">
        <f>'A) Base RI'!AF281</f>
        <v>0</v>
      </c>
      <c r="AM281" s="18">
        <f>'A) Base RI'!AG281</f>
        <v>58339.95</v>
      </c>
      <c r="AN281" s="18">
        <f>'A) Base RI'!AH281</f>
        <v>0</v>
      </c>
      <c r="AO281" s="18">
        <f>'A) Base RI'!AI281</f>
        <v>0</v>
      </c>
      <c r="AP281" s="18">
        <f>'A) Base RI'!AJ281</f>
        <v>0</v>
      </c>
      <c r="AQ281" s="18">
        <f>'A) Base RI'!AK281</f>
        <v>0</v>
      </c>
      <c r="AR281" s="18">
        <f>'A) Base RI'!AN281</f>
        <v>1433</v>
      </c>
    </row>
    <row r="282" spans="1:44" x14ac:dyDescent="0.25">
      <c r="A282" s="13">
        <f>'A) Base RI'!A282</f>
        <v>5872</v>
      </c>
      <c r="B282" s="62" t="str">
        <f>'A) Base RI'!B282</f>
        <v>Le Chenit</v>
      </c>
      <c r="C282" s="18">
        <f>'A) Base RI'!C282+'A) Base RI'!D282</f>
        <v>7569119.6899999995</v>
      </c>
      <c r="D282" s="18">
        <f>'A) Base RI'!AO282</f>
        <v>-146817</v>
      </c>
      <c r="E282" s="61">
        <f>'A) Base RI'!AP282</f>
        <v>0</v>
      </c>
      <c r="F282" s="61">
        <f>'A) Base RI'!AQ282</f>
        <v>-403.1</v>
      </c>
      <c r="G282" s="4">
        <f t="shared" si="24"/>
        <v>7421899.5899999999</v>
      </c>
      <c r="H282" s="18">
        <f>'A) Base RI'!E282</f>
        <v>0</v>
      </c>
      <c r="I282" s="18">
        <f>'A) Base RI'!F282</f>
        <v>0</v>
      </c>
      <c r="J282" s="18">
        <f>'A) Base RI'!G282+'A) Base RI'!H282</f>
        <v>17393828.149999999</v>
      </c>
      <c r="K282" s="18">
        <f>'A) Base RI'!I282</f>
        <v>0</v>
      </c>
      <c r="L282" s="18">
        <f>'A) Base RI'!J282</f>
        <v>602960</v>
      </c>
      <c r="M282" s="18">
        <f>'A) Base RI'!K282</f>
        <v>31056</v>
      </c>
      <c r="N282" s="18">
        <f>'A) Base RI'!Q282</f>
        <v>20395.740000000002</v>
      </c>
      <c r="O282" s="18">
        <f t="shared" si="25"/>
        <v>621647.92857142864</v>
      </c>
      <c r="P282" s="18">
        <f>'A) Base RI'!L282</f>
        <v>435153.55</v>
      </c>
      <c r="Q282" s="64">
        <f>'A) Base RI'!AR282</f>
        <v>0.7</v>
      </c>
      <c r="R282" s="4">
        <f t="shared" si="26"/>
        <v>26091787.408571426</v>
      </c>
      <c r="S282" s="63">
        <f>'A) Base RI'!AM282</f>
        <v>69.81</v>
      </c>
      <c r="T282" s="4">
        <f t="shared" si="27"/>
        <v>25439083.479999997</v>
      </c>
      <c r="U282" s="4">
        <f t="shared" si="28"/>
        <v>373754.29606892174</v>
      </c>
      <c r="V282" s="18">
        <f>'A) Base RI'!O282</f>
        <v>173257.60000000001</v>
      </c>
      <c r="W282" s="18">
        <f>'A) Base RI'!P282</f>
        <v>195508.15</v>
      </c>
      <c r="X282" s="18">
        <f>'A) Base RI'!R282</f>
        <v>141995.85</v>
      </c>
      <c r="Y282" s="4">
        <f t="shared" si="29"/>
        <v>510761.6</v>
      </c>
      <c r="Z282" s="18">
        <f>'A) Base RI'!N282</f>
        <v>7230843.5499999998</v>
      </c>
      <c r="AA282" s="18">
        <f>'A) Base RI'!S282+'A) Base RI'!T282</f>
        <v>1262.5</v>
      </c>
      <c r="AB282" s="18">
        <f>'A) Base RI'!U282</f>
        <v>24550</v>
      </c>
      <c r="AC282" s="18">
        <f>'A) Base RI'!V282</f>
        <v>0</v>
      </c>
      <c r="AD282" s="18">
        <f>'A) Base RI'!W282</f>
        <v>0</v>
      </c>
      <c r="AE282" s="18">
        <f>'A) Base RI'!Y282</f>
        <v>76239</v>
      </c>
      <c r="AF282" s="18">
        <f>'A) Base RI'!Z282</f>
        <v>41052</v>
      </c>
      <c r="AG282" s="18">
        <f>'A) Base RI'!AA282</f>
        <v>902509</v>
      </c>
      <c r="AH282" s="18">
        <f>'A) Base RI'!AB282</f>
        <v>0</v>
      </c>
      <c r="AI282" s="18">
        <f>'A) Base RI'!AC282</f>
        <v>689703</v>
      </c>
      <c r="AJ282" s="18">
        <f>'A) Base RI'!AD282</f>
        <v>50826</v>
      </c>
      <c r="AK282" s="18">
        <f>'A) Base RI'!AE282</f>
        <v>27368</v>
      </c>
      <c r="AL282" s="18">
        <f>'A) Base RI'!AF282</f>
        <v>-60</v>
      </c>
      <c r="AM282" s="18">
        <f>'A) Base RI'!AG282</f>
        <v>111489</v>
      </c>
      <c r="AN282" s="18">
        <f>'A) Base RI'!AH282</f>
        <v>0</v>
      </c>
      <c r="AO282" s="18">
        <f>'A) Base RI'!AI282</f>
        <v>0</v>
      </c>
      <c r="AP282" s="18">
        <f>'A) Base RI'!AJ282</f>
        <v>0</v>
      </c>
      <c r="AQ282" s="18">
        <f>'A) Base RI'!AK282</f>
        <v>0</v>
      </c>
      <c r="AR282" s="18">
        <f>'A) Base RI'!AN282</f>
        <v>4496</v>
      </c>
    </row>
    <row r="283" spans="1:44" x14ac:dyDescent="0.25">
      <c r="A283" s="13">
        <f>'A) Base RI'!A283</f>
        <v>5873</v>
      </c>
      <c r="B283" s="62" t="str">
        <f>'A) Base RI'!B283</f>
        <v>Le Lieu</v>
      </c>
      <c r="C283" s="18">
        <f>'A) Base RI'!C283+'A) Base RI'!D283</f>
        <v>1635160.8900000001</v>
      </c>
      <c r="D283" s="18">
        <f>'A) Base RI'!AO283</f>
        <v>-18293.349999999999</v>
      </c>
      <c r="E283" s="61">
        <f>'A) Base RI'!AP283</f>
        <v>0</v>
      </c>
      <c r="F283" s="61">
        <f>'A) Base RI'!AQ283</f>
        <v>-105.56</v>
      </c>
      <c r="G283" s="4">
        <f t="shared" si="24"/>
        <v>1616761.98</v>
      </c>
      <c r="H283" s="18">
        <f>'A) Base RI'!E283</f>
        <v>0</v>
      </c>
      <c r="I283" s="18">
        <f>'A) Base RI'!F283</f>
        <v>0</v>
      </c>
      <c r="J283" s="18">
        <f>'A) Base RI'!G283+'A) Base RI'!H283</f>
        <v>754633.15</v>
      </c>
      <c r="K283" s="18">
        <f>'A) Base RI'!I283</f>
        <v>0</v>
      </c>
      <c r="L283" s="18">
        <f>'A) Base RI'!J283</f>
        <v>57068.13</v>
      </c>
      <c r="M283" s="18">
        <f>'A) Base RI'!K283</f>
        <v>0</v>
      </c>
      <c r="N283" s="18">
        <f>'A) Base RI'!Q283</f>
        <v>516.25</v>
      </c>
      <c r="O283" s="18">
        <f t="shared" si="25"/>
        <v>130071.00000000001</v>
      </c>
      <c r="P283" s="18">
        <f>'A) Base RI'!L283</f>
        <v>78042.600000000006</v>
      </c>
      <c r="Q283" s="64">
        <f>'A) Base RI'!AR283</f>
        <v>0.6</v>
      </c>
      <c r="R283" s="4">
        <f t="shared" si="26"/>
        <v>2559050.5099999998</v>
      </c>
      <c r="S283" s="63">
        <f>'A) Base RI'!AM283</f>
        <v>65</v>
      </c>
      <c r="T283" s="4">
        <f t="shared" si="27"/>
        <v>2428979.5099999998</v>
      </c>
      <c r="U283" s="4">
        <f t="shared" si="28"/>
        <v>39370.007846153843</v>
      </c>
      <c r="V283" s="18">
        <f>'A) Base RI'!O283</f>
        <v>2469.4</v>
      </c>
      <c r="W283" s="18">
        <f>'A) Base RI'!P283</f>
        <v>41021.65</v>
      </c>
      <c r="X283" s="18">
        <f>'A) Base RI'!R283</f>
        <v>30559.05</v>
      </c>
      <c r="Y283" s="4">
        <f t="shared" si="29"/>
        <v>74050.100000000006</v>
      </c>
      <c r="Z283" s="18">
        <f>'A) Base RI'!N283</f>
        <v>1028944.9</v>
      </c>
      <c r="AA283" s="18">
        <f>'A) Base RI'!S283+'A) Base RI'!T283</f>
        <v>312.5</v>
      </c>
      <c r="AB283" s="18">
        <f>'A) Base RI'!U283</f>
        <v>5750</v>
      </c>
      <c r="AC283" s="18">
        <f>'A) Base RI'!V283</f>
        <v>0</v>
      </c>
      <c r="AD283" s="18">
        <f>'A) Base RI'!W283</f>
        <v>0</v>
      </c>
      <c r="AE283" s="18">
        <f>'A) Base RI'!Y283</f>
        <v>9000</v>
      </c>
      <c r="AF283" s="18">
        <f>'A) Base RI'!Z283</f>
        <v>0</v>
      </c>
      <c r="AG283" s="18">
        <f>'A) Base RI'!AA283</f>
        <v>229721.1</v>
      </c>
      <c r="AH283" s="18">
        <f>'A) Base RI'!AB283</f>
        <v>0</v>
      </c>
      <c r="AI283" s="18">
        <f>'A) Base RI'!AC283</f>
        <v>86484.45</v>
      </c>
      <c r="AJ283" s="18">
        <f>'A) Base RI'!AD283</f>
        <v>12000</v>
      </c>
      <c r="AK283" s="18">
        <f>'A) Base RI'!AE283</f>
        <v>0</v>
      </c>
      <c r="AL283" s="18">
        <f>'A) Base RI'!AF283</f>
        <v>0</v>
      </c>
      <c r="AM283" s="18">
        <f>'A) Base RI'!AG283</f>
        <v>0</v>
      </c>
      <c r="AN283" s="18">
        <f>'A) Base RI'!AH283</f>
        <v>0</v>
      </c>
      <c r="AO283" s="18">
        <f>'A) Base RI'!AI283</f>
        <v>0</v>
      </c>
      <c r="AP283" s="18">
        <f>'A) Base RI'!AJ283</f>
        <v>0</v>
      </c>
      <c r="AQ283" s="18">
        <f>'A) Base RI'!AK283</f>
        <v>0</v>
      </c>
      <c r="AR283" s="18">
        <f>'A) Base RI'!AN283</f>
        <v>856</v>
      </c>
    </row>
    <row r="284" spans="1:44" x14ac:dyDescent="0.25">
      <c r="A284" s="13">
        <f>'A) Base RI'!A284</f>
        <v>5881</v>
      </c>
      <c r="B284" s="62" t="str">
        <f>'A) Base RI'!B284</f>
        <v>Blonay</v>
      </c>
      <c r="C284" s="18">
        <f>'A) Base RI'!C284+'A) Base RI'!D284</f>
        <v>21310079.879999999</v>
      </c>
      <c r="D284" s="18">
        <f>'A) Base RI'!AO284</f>
        <v>-222156.75</v>
      </c>
      <c r="E284" s="61">
        <f>'A) Base RI'!AP284</f>
        <v>0</v>
      </c>
      <c r="F284" s="61">
        <f>'A) Base RI'!AQ284</f>
        <v>-59354.05</v>
      </c>
      <c r="G284" s="4">
        <f t="shared" si="24"/>
        <v>21028569.079999998</v>
      </c>
      <c r="H284" s="18">
        <f>'A) Base RI'!E284</f>
        <v>0</v>
      </c>
      <c r="I284" s="18">
        <f>'A) Base RI'!F284</f>
        <v>0</v>
      </c>
      <c r="J284" s="18">
        <f>'A) Base RI'!G284+'A) Base RI'!H284</f>
        <v>436791.8</v>
      </c>
      <c r="K284" s="18">
        <f>'A) Base RI'!I284</f>
        <v>546317.43999999994</v>
      </c>
      <c r="L284" s="18">
        <f>'A) Base RI'!J284</f>
        <v>264078.93</v>
      </c>
      <c r="M284" s="18">
        <f>'A) Base RI'!K284</f>
        <v>54319</v>
      </c>
      <c r="N284" s="18">
        <f>'A) Base RI'!Q284</f>
        <v>82939.990000000005</v>
      </c>
      <c r="O284" s="18">
        <f t="shared" si="25"/>
        <v>1482886.8</v>
      </c>
      <c r="P284" s="18">
        <f>'A) Base RI'!L284</f>
        <v>1482886.8</v>
      </c>
      <c r="Q284" s="64">
        <f>'A) Base RI'!AR284</f>
        <v>1</v>
      </c>
      <c r="R284" s="4">
        <f t="shared" si="26"/>
        <v>23895903.039999999</v>
      </c>
      <c r="S284" s="63">
        <f>'A) Base RI'!AM284</f>
        <v>72</v>
      </c>
      <c r="T284" s="4">
        <f t="shared" si="27"/>
        <v>22358697.239999998</v>
      </c>
      <c r="U284" s="4">
        <f t="shared" si="28"/>
        <v>331887.5422222222</v>
      </c>
      <c r="V284" s="18">
        <f>'A) Base RI'!O284</f>
        <v>266997.90000000002</v>
      </c>
      <c r="W284" s="18">
        <f>'A) Base RI'!P284</f>
        <v>747391</v>
      </c>
      <c r="X284" s="18">
        <f>'A) Base RI'!R284</f>
        <v>480097.2</v>
      </c>
      <c r="Y284" s="4">
        <f t="shared" si="29"/>
        <v>1494486.1</v>
      </c>
      <c r="Z284" s="18">
        <f>'A) Base RI'!N284</f>
        <v>69846</v>
      </c>
      <c r="AA284" s="18">
        <f>'A) Base RI'!S284+'A) Base RI'!T284</f>
        <v>618.75</v>
      </c>
      <c r="AB284" s="18">
        <f>'A) Base RI'!U284</f>
        <v>38250</v>
      </c>
      <c r="AC284" s="18">
        <f>'A) Base RI'!V284</f>
        <v>0</v>
      </c>
      <c r="AD284" s="18">
        <f>'A) Base RI'!W284</f>
        <v>0</v>
      </c>
      <c r="AE284" s="18">
        <f>'A) Base RI'!Y284</f>
        <v>84930</v>
      </c>
      <c r="AF284" s="18">
        <f>'A) Base RI'!Z284</f>
        <v>0</v>
      </c>
      <c r="AG284" s="18">
        <f>'A) Base RI'!AA284</f>
        <v>447433</v>
      </c>
      <c r="AH284" s="18">
        <f>'A) Base RI'!AB284</f>
        <v>0</v>
      </c>
      <c r="AI284" s="18">
        <f>'A) Base RI'!AC284</f>
        <v>455415</v>
      </c>
      <c r="AJ284" s="18">
        <f>'A) Base RI'!AD284</f>
        <v>86885.25</v>
      </c>
      <c r="AK284" s="18">
        <f>'A) Base RI'!AE284</f>
        <v>0</v>
      </c>
      <c r="AL284" s="18">
        <f>'A) Base RI'!AF284</f>
        <v>0</v>
      </c>
      <c r="AM284" s="18">
        <f>'A) Base RI'!AG284</f>
        <v>0</v>
      </c>
      <c r="AN284" s="18">
        <f>'A) Base RI'!AH284</f>
        <v>0</v>
      </c>
      <c r="AO284" s="18">
        <f>'A) Base RI'!AI284</f>
        <v>0</v>
      </c>
      <c r="AP284" s="18">
        <f>'A) Base RI'!AJ284</f>
        <v>0</v>
      </c>
      <c r="AQ284" s="18">
        <f>'A) Base RI'!AK284</f>
        <v>0</v>
      </c>
      <c r="AR284" s="18">
        <f>'A) Base RI'!AN284</f>
        <v>6110</v>
      </c>
    </row>
    <row r="285" spans="1:44" x14ac:dyDescent="0.25">
      <c r="A285" s="13">
        <f>'A) Base RI'!A285</f>
        <v>5882</v>
      </c>
      <c r="B285" s="62" t="str">
        <f>'A) Base RI'!B285</f>
        <v>Chardonne</v>
      </c>
      <c r="C285" s="18">
        <f>'A) Base RI'!C285+'A) Base RI'!D285</f>
        <v>9061540.7599999998</v>
      </c>
      <c r="D285" s="18">
        <f>'A) Base RI'!AO285</f>
        <v>-53583.43</v>
      </c>
      <c r="E285" s="61">
        <f>'A) Base RI'!AP285</f>
        <v>0</v>
      </c>
      <c r="F285" s="61">
        <f>'A) Base RI'!AQ285</f>
        <v>-3035.03</v>
      </c>
      <c r="G285" s="4">
        <f t="shared" si="24"/>
        <v>9004922.3000000007</v>
      </c>
      <c r="H285" s="18">
        <f>'A) Base RI'!E285</f>
        <v>0</v>
      </c>
      <c r="I285" s="18">
        <f>'A) Base RI'!F285</f>
        <v>0</v>
      </c>
      <c r="J285" s="18">
        <f>'A) Base RI'!G285+'A) Base RI'!H285</f>
        <v>140318.1</v>
      </c>
      <c r="K285" s="18">
        <f>'A) Base RI'!I285</f>
        <v>455061.7</v>
      </c>
      <c r="L285" s="18">
        <f>'A) Base RI'!J285</f>
        <v>228850.86</v>
      </c>
      <c r="M285" s="18">
        <f>'A) Base RI'!K285</f>
        <v>28689</v>
      </c>
      <c r="N285" s="18">
        <f>'A) Base RI'!Q285</f>
        <v>13605.43</v>
      </c>
      <c r="O285" s="18">
        <f t="shared" si="25"/>
        <v>769425.45</v>
      </c>
      <c r="P285" s="18">
        <f>'A) Base RI'!L285</f>
        <v>769425.45</v>
      </c>
      <c r="Q285" s="64">
        <f>'A) Base RI'!AR285</f>
        <v>1</v>
      </c>
      <c r="R285" s="4">
        <f t="shared" si="26"/>
        <v>10640872.839999998</v>
      </c>
      <c r="S285" s="63">
        <f>'A) Base RI'!AM285</f>
        <v>66</v>
      </c>
      <c r="T285" s="4">
        <f t="shared" si="27"/>
        <v>9842758.3899999987</v>
      </c>
      <c r="U285" s="4">
        <f t="shared" si="28"/>
        <v>161225.34606060604</v>
      </c>
      <c r="V285" s="18">
        <f>'A) Base RI'!O285</f>
        <v>2084387.9</v>
      </c>
      <c r="W285" s="18">
        <f>'A) Base RI'!P285</f>
        <v>747480.35</v>
      </c>
      <c r="X285" s="18">
        <f>'A) Base RI'!R285</f>
        <v>214812.79999999999</v>
      </c>
      <c r="Y285" s="4">
        <f t="shared" si="29"/>
        <v>3046681.05</v>
      </c>
      <c r="Z285" s="18">
        <f>'A) Base RI'!N285</f>
        <v>0</v>
      </c>
      <c r="AA285" s="18">
        <f>'A) Base RI'!S285+'A) Base RI'!T285</f>
        <v>284.75</v>
      </c>
      <c r="AB285" s="18">
        <f>'A) Base RI'!U285</f>
        <v>11160</v>
      </c>
      <c r="AC285" s="18">
        <f>'A) Base RI'!V285</f>
        <v>0</v>
      </c>
      <c r="AD285" s="18">
        <f>'A) Base RI'!W285</f>
        <v>0</v>
      </c>
      <c r="AE285" s="18">
        <f>'A) Base RI'!Y285</f>
        <v>49325</v>
      </c>
      <c r="AF285" s="18">
        <f>'A) Base RI'!Z285</f>
        <v>0</v>
      </c>
      <c r="AG285" s="18">
        <f>'A) Base RI'!AA285</f>
        <v>267551.05</v>
      </c>
      <c r="AH285" s="18">
        <f>'A) Base RI'!AB285</f>
        <v>0</v>
      </c>
      <c r="AI285" s="18">
        <f>'A) Base RI'!AC285</f>
        <v>284364</v>
      </c>
      <c r="AJ285" s="18">
        <f>'A) Base RI'!AD285</f>
        <v>0</v>
      </c>
      <c r="AK285" s="18">
        <f>'A) Base RI'!AE285</f>
        <v>0</v>
      </c>
      <c r="AL285" s="18">
        <f>'A) Base RI'!AF285</f>
        <v>0</v>
      </c>
      <c r="AM285" s="18">
        <f>'A) Base RI'!AG285</f>
        <v>0</v>
      </c>
      <c r="AN285" s="18">
        <f>'A) Base RI'!AH285</f>
        <v>0</v>
      </c>
      <c r="AO285" s="18">
        <f>'A) Base RI'!AI285</f>
        <v>0</v>
      </c>
      <c r="AP285" s="18">
        <f>'A) Base RI'!AJ285</f>
        <v>0</v>
      </c>
      <c r="AQ285" s="18">
        <f>'A) Base RI'!AK285</f>
        <v>0</v>
      </c>
      <c r="AR285" s="18">
        <f>'A) Base RI'!AN285</f>
        <v>2835</v>
      </c>
    </row>
    <row r="286" spans="1:44" x14ac:dyDescent="0.25">
      <c r="A286" s="13">
        <f>'A) Base RI'!A286</f>
        <v>5883</v>
      </c>
      <c r="B286" s="62" t="str">
        <f>'A) Base RI'!B286</f>
        <v>Corseaux</v>
      </c>
      <c r="C286" s="18">
        <f>'A) Base RI'!C286+'A) Base RI'!D286</f>
        <v>9001403.1999999993</v>
      </c>
      <c r="D286" s="18">
        <f>'A) Base RI'!AO286</f>
        <v>-76383.72</v>
      </c>
      <c r="E286" s="61">
        <f>'A) Base RI'!AP286</f>
        <v>0</v>
      </c>
      <c r="F286" s="61">
        <f>'A) Base RI'!AQ286</f>
        <v>-24880.29</v>
      </c>
      <c r="G286" s="4">
        <f t="shared" si="24"/>
        <v>8900139.1899999995</v>
      </c>
      <c r="H286" s="18">
        <f>'A) Base RI'!E286</f>
        <v>0</v>
      </c>
      <c r="I286" s="18">
        <f>'A) Base RI'!F286</f>
        <v>0</v>
      </c>
      <c r="J286" s="18">
        <f>'A) Base RI'!G286+'A) Base RI'!H286</f>
        <v>251517.45</v>
      </c>
      <c r="K286" s="18">
        <f>'A) Base RI'!I286</f>
        <v>298779.55</v>
      </c>
      <c r="L286" s="18">
        <f>'A) Base RI'!J286</f>
        <v>136429.70000000001</v>
      </c>
      <c r="M286" s="18">
        <f>'A) Base RI'!K286</f>
        <v>15351.5</v>
      </c>
      <c r="N286" s="18">
        <f>'A) Base RI'!Q286</f>
        <v>10880.49</v>
      </c>
      <c r="O286" s="18">
        <f t="shared" si="25"/>
        <v>576494.65</v>
      </c>
      <c r="P286" s="18">
        <f>'A) Base RI'!L286</f>
        <v>576494.65</v>
      </c>
      <c r="Q286" s="64">
        <f>'A) Base RI'!AR286</f>
        <v>1</v>
      </c>
      <c r="R286" s="4">
        <f t="shared" si="26"/>
        <v>10189592.529999999</v>
      </c>
      <c r="S286" s="63">
        <f>'A) Base RI'!AM286</f>
        <v>64</v>
      </c>
      <c r="T286" s="4">
        <f t="shared" si="27"/>
        <v>9597746.379999999</v>
      </c>
      <c r="U286" s="4">
        <f t="shared" si="28"/>
        <v>159212.38328124999</v>
      </c>
      <c r="V286" s="18">
        <f>'A) Base RI'!O286</f>
        <v>22491.599999999999</v>
      </c>
      <c r="W286" s="18">
        <f>'A) Base RI'!P286</f>
        <v>439998.95</v>
      </c>
      <c r="X286" s="18">
        <f>'A) Base RI'!R286</f>
        <v>424324.05</v>
      </c>
      <c r="Y286" s="4">
        <f t="shared" si="29"/>
        <v>886814.6</v>
      </c>
      <c r="Z286" s="18">
        <f>'A) Base RI'!N286</f>
        <v>8506.4</v>
      </c>
      <c r="AA286" s="18">
        <f>'A) Base RI'!S286+'A) Base RI'!T286</f>
        <v>93.9</v>
      </c>
      <c r="AB286" s="18">
        <f>'A) Base RI'!U286</f>
        <v>4975</v>
      </c>
      <c r="AC286" s="18">
        <f>'A) Base RI'!V286</f>
        <v>0</v>
      </c>
      <c r="AD286" s="18">
        <f>'A) Base RI'!W286</f>
        <v>0</v>
      </c>
      <c r="AE286" s="18">
        <f>'A) Base RI'!Y286</f>
        <v>0</v>
      </c>
      <c r="AF286" s="18">
        <f>'A) Base RI'!Z286</f>
        <v>434087.45</v>
      </c>
      <c r="AG286" s="18">
        <f>'A) Base RI'!AA286</f>
        <v>0</v>
      </c>
      <c r="AH286" s="18">
        <f>'A) Base RI'!AB286</f>
        <v>333314.25</v>
      </c>
      <c r="AI286" s="18">
        <f>'A) Base RI'!AC286</f>
        <v>172624.25</v>
      </c>
      <c r="AJ286" s="18">
        <f>'A) Base RI'!AD286</f>
        <v>0</v>
      </c>
      <c r="AK286" s="18">
        <f>'A) Base RI'!AE286</f>
        <v>0</v>
      </c>
      <c r="AL286" s="18">
        <f>'A) Base RI'!AF286</f>
        <v>0</v>
      </c>
      <c r="AM286" s="18">
        <f>'A) Base RI'!AG286</f>
        <v>0</v>
      </c>
      <c r="AN286" s="18">
        <f>'A) Base RI'!AH286</f>
        <v>0</v>
      </c>
      <c r="AO286" s="18">
        <f>'A) Base RI'!AI286</f>
        <v>0</v>
      </c>
      <c r="AP286" s="18">
        <f>'A) Base RI'!AJ286</f>
        <v>0</v>
      </c>
      <c r="AQ286" s="18">
        <f>'A) Base RI'!AK286</f>
        <v>0</v>
      </c>
      <c r="AR286" s="18">
        <f>'A) Base RI'!AN286</f>
        <v>2172</v>
      </c>
    </row>
    <row r="287" spans="1:44" x14ac:dyDescent="0.25">
      <c r="A287" s="13">
        <f>'A) Base RI'!A287</f>
        <v>5884</v>
      </c>
      <c r="B287" s="62" t="str">
        <f>'A) Base RI'!B287</f>
        <v>Corsier-sur-Vevey</v>
      </c>
      <c r="C287" s="18">
        <f>'A) Base RI'!C287+'A) Base RI'!D287</f>
        <v>6095109.2699999996</v>
      </c>
      <c r="D287" s="18">
        <f>'A) Base RI'!AO287</f>
        <v>-131070.25</v>
      </c>
      <c r="E287" s="61">
        <f>'A) Base RI'!AP287</f>
        <v>0</v>
      </c>
      <c r="F287" s="61">
        <f>'A) Base RI'!AQ287</f>
        <v>-779.21</v>
      </c>
      <c r="G287" s="4">
        <f t="shared" si="24"/>
        <v>5963259.8099999996</v>
      </c>
      <c r="H287" s="18">
        <f>'A) Base RI'!E287</f>
        <v>0</v>
      </c>
      <c r="I287" s="18">
        <f>'A) Base RI'!F287</f>
        <v>0</v>
      </c>
      <c r="J287" s="18">
        <f>'A) Base RI'!G287+'A) Base RI'!H287</f>
        <v>759627.69000000006</v>
      </c>
      <c r="K287" s="18">
        <f>'A) Base RI'!I287</f>
        <v>16691.5</v>
      </c>
      <c r="L287" s="18">
        <f>'A) Base RI'!J287</f>
        <v>362077.58</v>
      </c>
      <c r="M287" s="18">
        <f>'A) Base RI'!K287</f>
        <v>164806</v>
      </c>
      <c r="N287" s="18">
        <f>'A) Base RI'!Q287</f>
        <v>22601</v>
      </c>
      <c r="O287" s="18">
        <f t="shared" si="25"/>
        <v>723685.08333333337</v>
      </c>
      <c r="P287" s="18">
        <f>'A) Base RI'!L287</f>
        <v>868422.1</v>
      </c>
      <c r="Q287" s="64">
        <f>'A) Base RI'!AR287</f>
        <v>1.2</v>
      </c>
      <c r="R287" s="4">
        <f t="shared" si="26"/>
        <v>8012748.6633333331</v>
      </c>
      <c r="S287" s="63">
        <f>'A) Base RI'!AM287</f>
        <v>66</v>
      </c>
      <c r="T287" s="4">
        <f t="shared" si="27"/>
        <v>7124257.5800000001</v>
      </c>
      <c r="U287" s="4">
        <f t="shared" si="28"/>
        <v>121405.28277777777</v>
      </c>
      <c r="V287" s="18">
        <f>'A) Base RI'!O287</f>
        <v>12097.1</v>
      </c>
      <c r="W287" s="18">
        <f>'A) Base RI'!P287</f>
        <v>218146.2</v>
      </c>
      <c r="X287" s="18">
        <f>'A) Base RI'!R287</f>
        <v>129074.15</v>
      </c>
      <c r="Y287" s="4">
        <f t="shared" si="29"/>
        <v>359317.45</v>
      </c>
      <c r="Z287" s="18">
        <f>'A) Base RI'!N287</f>
        <v>322802.95</v>
      </c>
      <c r="AA287" s="18">
        <f>'A) Base RI'!S287+'A) Base RI'!T287</f>
        <v>725</v>
      </c>
      <c r="AB287" s="18">
        <f>'A) Base RI'!U287</f>
        <v>17000</v>
      </c>
      <c r="AC287" s="18">
        <f>'A) Base RI'!V287</f>
        <v>0</v>
      </c>
      <c r="AD287" s="18">
        <f>'A) Base RI'!W287</f>
        <v>0</v>
      </c>
      <c r="AE287" s="18">
        <f>'A) Base RI'!Y287</f>
        <v>18826.150000000001</v>
      </c>
      <c r="AF287" s="18">
        <f>'A) Base RI'!Z287</f>
        <v>0</v>
      </c>
      <c r="AG287" s="18">
        <f>'A) Base RI'!AA287</f>
        <v>297337.90000000002</v>
      </c>
      <c r="AH287" s="18">
        <f>'A) Base RI'!AB287</f>
        <v>599912.62</v>
      </c>
      <c r="AI287" s="18">
        <f>'A) Base RI'!AC287</f>
        <v>237823.4</v>
      </c>
      <c r="AJ287" s="18">
        <f>'A) Base RI'!AD287</f>
        <v>0</v>
      </c>
      <c r="AK287" s="18">
        <f>'A) Base RI'!AE287</f>
        <v>0</v>
      </c>
      <c r="AL287" s="18">
        <f>'A) Base RI'!AF287</f>
        <v>0</v>
      </c>
      <c r="AM287" s="18">
        <f>'A) Base RI'!AG287</f>
        <v>16220</v>
      </c>
      <c r="AN287" s="18">
        <f>'A) Base RI'!AH287</f>
        <v>267562.45</v>
      </c>
      <c r="AO287" s="18">
        <f>'A) Base RI'!AI287</f>
        <v>0</v>
      </c>
      <c r="AP287" s="18">
        <f>'A) Base RI'!AJ287</f>
        <v>0</v>
      </c>
      <c r="AQ287" s="18">
        <f>'A) Base RI'!AK287</f>
        <v>0</v>
      </c>
      <c r="AR287" s="18">
        <f>'A) Base RI'!AN287</f>
        <v>3393</v>
      </c>
    </row>
    <row r="288" spans="1:44" x14ac:dyDescent="0.25">
      <c r="A288" s="13">
        <f>'A) Base RI'!A288</f>
        <v>5885</v>
      </c>
      <c r="B288" s="62" t="str">
        <f>'A) Base RI'!B288</f>
        <v>Jongny</v>
      </c>
      <c r="C288" s="18">
        <f>'A) Base RI'!C288+'A) Base RI'!D288</f>
        <v>4711054.42</v>
      </c>
      <c r="D288" s="18">
        <f>'A) Base RI'!AO288</f>
        <v>-21491.08</v>
      </c>
      <c r="E288" s="61">
        <f>'A) Base RI'!AP288</f>
        <v>0</v>
      </c>
      <c r="F288" s="61">
        <f>'A) Base RI'!AQ288</f>
        <v>-5052.87</v>
      </c>
      <c r="G288" s="4">
        <f t="shared" si="24"/>
        <v>4684510.47</v>
      </c>
      <c r="H288" s="18">
        <f>'A) Base RI'!E288</f>
        <v>0</v>
      </c>
      <c r="I288" s="18">
        <f>'A) Base RI'!F288</f>
        <v>0</v>
      </c>
      <c r="J288" s="18">
        <f>'A) Base RI'!G288+'A) Base RI'!H288</f>
        <v>35801.5</v>
      </c>
      <c r="K288" s="18">
        <f>'A) Base RI'!I288</f>
        <v>109162.8</v>
      </c>
      <c r="L288" s="18">
        <f>'A) Base RI'!J288</f>
        <v>73010</v>
      </c>
      <c r="M288" s="18">
        <f>'A) Base RI'!K288</f>
        <v>7707</v>
      </c>
      <c r="N288" s="18">
        <f>'A) Base RI'!Q288</f>
        <v>17624.939999999999</v>
      </c>
      <c r="O288" s="18">
        <f t="shared" si="25"/>
        <v>329958.33333333337</v>
      </c>
      <c r="P288" s="18">
        <f>'A) Base RI'!L288</f>
        <v>395950</v>
      </c>
      <c r="Q288" s="64">
        <f>'A) Base RI'!AR288</f>
        <v>1.2</v>
      </c>
      <c r="R288" s="4">
        <f t="shared" si="26"/>
        <v>5257775.043333333</v>
      </c>
      <c r="S288" s="63">
        <f>'A) Base RI'!AM288</f>
        <v>69</v>
      </c>
      <c r="T288" s="4">
        <f t="shared" si="27"/>
        <v>4920109.71</v>
      </c>
      <c r="U288" s="4">
        <f t="shared" si="28"/>
        <v>76199.638309178743</v>
      </c>
      <c r="V288" s="18">
        <f>'A) Base RI'!O288</f>
        <v>60885.3</v>
      </c>
      <c r="W288" s="18">
        <f>'A) Base RI'!P288</f>
        <v>214347.5</v>
      </c>
      <c r="X288" s="18">
        <f>'A) Base RI'!R288</f>
        <v>123469</v>
      </c>
      <c r="Y288" s="4">
        <f t="shared" si="29"/>
        <v>398701.8</v>
      </c>
      <c r="Z288" s="18">
        <f>'A) Base RI'!N288</f>
        <v>0</v>
      </c>
      <c r="AA288" s="18">
        <f>'A) Base RI'!S288+'A) Base RI'!T288</f>
        <v>62.5</v>
      </c>
      <c r="AB288" s="18">
        <f>'A) Base RI'!U288</f>
        <v>7150</v>
      </c>
      <c r="AC288" s="18">
        <f>'A) Base RI'!V288</f>
        <v>0</v>
      </c>
      <c r="AD288" s="18">
        <f>'A) Base RI'!W288</f>
        <v>0</v>
      </c>
      <c r="AE288" s="18">
        <f>'A) Base RI'!Y288</f>
        <v>0</v>
      </c>
      <c r="AF288" s="18">
        <f>'A) Base RI'!Z288</f>
        <v>0</v>
      </c>
      <c r="AG288" s="18">
        <f>'A) Base RI'!AA288</f>
        <v>0</v>
      </c>
      <c r="AH288" s="18">
        <f>'A) Base RI'!AB288</f>
        <v>0</v>
      </c>
      <c r="AI288" s="18">
        <f>'A) Base RI'!AC288</f>
        <v>0</v>
      </c>
      <c r="AJ288" s="18">
        <f>'A) Base RI'!AD288</f>
        <v>0</v>
      </c>
      <c r="AK288" s="18">
        <f>'A) Base RI'!AE288</f>
        <v>0</v>
      </c>
      <c r="AL288" s="18">
        <f>'A) Base RI'!AF288</f>
        <v>0</v>
      </c>
      <c r="AM288" s="18">
        <f>'A) Base RI'!AG288</f>
        <v>0</v>
      </c>
      <c r="AN288" s="18">
        <f>'A) Base RI'!AH288</f>
        <v>0</v>
      </c>
      <c r="AO288" s="18">
        <f>'A) Base RI'!AI288</f>
        <v>0</v>
      </c>
      <c r="AP288" s="18">
        <f>'A) Base RI'!AJ288</f>
        <v>0</v>
      </c>
      <c r="AQ288" s="18">
        <f>'A) Base RI'!AK288</f>
        <v>0</v>
      </c>
      <c r="AR288" s="18">
        <f>'A) Base RI'!AN288</f>
        <v>1475</v>
      </c>
    </row>
    <row r="289" spans="1:44" x14ac:dyDescent="0.25">
      <c r="A289" s="13">
        <f>'A) Base RI'!A289</f>
        <v>5886</v>
      </c>
      <c r="B289" s="62" t="str">
        <f>'A) Base RI'!B289</f>
        <v>Montreux</v>
      </c>
      <c r="C289" s="18">
        <f>'A) Base RI'!C289+'A) Base RI'!D289</f>
        <v>54292364.020000003</v>
      </c>
      <c r="D289" s="18">
        <f>'A) Base RI'!AO289</f>
        <v>-2895916.62</v>
      </c>
      <c r="E289" s="61">
        <f>'A) Base RI'!AP289</f>
        <v>0</v>
      </c>
      <c r="F289" s="61">
        <f>'A) Base RI'!AQ289</f>
        <v>-11271.07</v>
      </c>
      <c r="G289" s="4">
        <f t="shared" si="24"/>
        <v>51385176.330000006</v>
      </c>
      <c r="H289" s="18">
        <f>'A) Base RI'!E289</f>
        <v>0</v>
      </c>
      <c r="I289" s="18">
        <f>'A) Base RI'!F289</f>
        <v>0</v>
      </c>
      <c r="J289" s="18">
        <f>'A) Base RI'!G289+'A) Base RI'!H289</f>
        <v>7435435.1499999994</v>
      </c>
      <c r="K289" s="18">
        <f>'A) Base RI'!I289</f>
        <v>4896498.49</v>
      </c>
      <c r="L289" s="18">
        <f>'A) Base RI'!J289</f>
        <v>2977619</v>
      </c>
      <c r="M289" s="18">
        <f>'A) Base RI'!K289</f>
        <v>607242</v>
      </c>
      <c r="N289" s="18">
        <f>'A) Base RI'!Q289</f>
        <v>635864.80000000005</v>
      </c>
      <c r="O289" s="18">
        <f t="shared" si="25"/>
        <v>5972593.1333333328</v>
      </c>
      <c r="P289" s="18">
        <f>'A) Base RI'!L289</f>
        <v>8958889.6999999993</v>
      </c>
      <c r="Q289" s="64">
        <f>'A) Base RI'!AR289</f>
        <v>1.5</v>
      </c>
      <c r="R289" s="4">
        <f t="shared" si="26"/>
        <v>73910428.903333336</v>
      </c>
      <c r="S289" s="63">
        <f>'A) Base RI'!AM289</f>
        <v>66</v>
      </c>
      <c r="T289" s="4">
        <f t="shared" si="27"/>
        <v>67330593.770000011</v>
      </c>
      <c r="U289" s="4">
        <f t="shared" si="28"/>
        <v>1119854.9833838383</v>
      </c>
      <c r="V289" s="18">
        <f>'A) Base RI'!O289</f>
        <v>3306481.2</v>
      </c>
      <c r="W289" s="18">
        <f>'A) Base RI'!P289</f>
        <v>3555777.6</v>
      </c>
      <c r="X289" s="18">
        <f>'A) Base RI'!R289</f>
        <v>3243575.55</v>
      </c>
      <c r="Y289" s="4">
        <f t="shared" si="29"/>
        <v>10105834.350000001</v>
      </c>
      <c r="Z289" s="18">
        <f>'A) Base RI'!N289</f>
        <v>653740.44999999995</v>
      </c>
      <c r="AA289" s="18">
        <f>'A) Base RI'!S289+'A) Base RI'!T289</f>
        <v>6937.5</v>
      </c>
      <c r="AB289" s="18">
        <f>'A) Base RI'!U289</f>
        <v>78240</v>
      </c>
      <c r="AC289" s="18">
        <f>'A) Base RI'!V289</f>
        <v>0</v>
      </c>
      <c r="AD289" s="18">
        <f>'A) Base RI'!W289</f>
        <v>0</v>
      </c>
      <c r="AE289" s="18">
        <f>'A) Base RI'!Y289</f>
        <v>0</v>
      </c>
      <c r="AF289" s="18">
        <f>'A) Base RI'!Z289</f>
        <v>0</v>
      </c>
      <c r="AG289" s="18">
        <f>'A) Base RI'!AA289</f>
        <v>2628956</v>
      </c>
      <c r="AH289" s="18">
        <f>'A) Base RI'!AB289</f>
        <v>0</v>
      </c>
      <c r="AI289" s="18">
        <f>'A) Base RI'!AC289</f>
        <v>4340142</v>
      </c>
      <c r="AJ289" s="18">
        <f>'A) Base RI'!AD289</f>
        <v>0</v>
      </c>
      <c r="AK289" s="18">
        <f>'A) Base RI'!AE289</f>
        <v>0</v>
      </c>
      <c r="AL289" s="18">
        <f>'A) Base RI'!AF289</f>
        <v>0</v>
      </c>
      <c r="AM289" s="18">
        <f>'A) Base RI'!AG289</f>
        <v>0</v>
      </c>
      <c r="AN289" s="18">
        <f>'A) Base RI'!AH289</f>
        <v>0</v>
      </c>
      <c r="AO289" s="18">
        <f>'A) Base RI'!AI289</f>
        <v>0</v>
      </c>
      <c r="AP289" s="18">
        <f>'A) Base RI'!AJ289</f>
        <v>0</v>
      </c>
      <c r="AQ289" s="18">
        <f>'A) Base RI'!AK289</f>
        <v>0</v>
      </c>
      <c r="AR289" s="18">
        <f>'A) Base RI'!AN289</f>
        <v>26072</v>
      </c>
    </row>
    <row r="290" spans="1:44" x14ac:dyDescent="0.25">
      <c r="A290" s="13">
        <f>'A) Base RI'!A290</f>
        <v>5888</v>
      </c>
      <c r="B290" s="62" t="str">
        <f>'A) Base RI'!B290</f>
        <v>St-Légier-La Chiésaz</v>
      </c>
      <c r="C290" s="18">
        <f>'A) Base RI'!C290+'A) Base RI'!D290</f>
        <v>20930442.050000001</v>
      </c>
      <c r="D290" s="18">
        <f>'A) Base RI'!AO290</f>
        <v>-267421.18</v>
      </c>
      <c r="E290" s="61">
        <f>'A) Base RI'!AP290</f>
        <v>0</v>
      </c>
      <c r="F290" s="61">
        <f>'A) Base RI'!AQ290</f>
        <v>-7592.59</v>
      </c>
      <c r="G290" s="4">
        <f t="shared" si="24"/>
        <v>20655428.280000001</v>
      </c>
      <c r="H290" s="18">
        <f>'A) Base RI'!E290</f>
        <v>0</v>
      </c>
      <c r="I290" s="18">
        <f>'A) Base RI'!F290</f>
        <v>0</v>
      </c>
      <c r="J290" s="18">
        <f>'A) Base RI'!G290+'A) Base RI'!H290</f>
        <v>818635.75</v>
      </c>
      <c r="K290" s="18">
        <f>'A) Base RI'!I290</f>
        <v>510333.4</v>
      </c>
      <c r="L290" s="18">
        <f>'A) Base RI'!J290</f>
        <v>138182.66</v>
      </c>
      <c r="M290" s="18">
        <f>'A) Base RI'!K290</f>
        <v>26795.5</v>
      </c>
      <c r="N290" s="18">
        <f>'A) Base RI'!Q290</f>
        <v>131666.71</v>
      </c>
      <c r="O290" s="18">
        <f t="shared" si="25"/>
        <v>1315676.7</v>
      </c>
      <c r="P290" s="18">
        <f>'A) Base RI'!L290</f>
        <v>1315676.7</v>
      </c>
      <c r="Q290" s="64">
        <f>'A) Base RI'!AR290</f>
        <v>1</v>
      </c>
      <c r="R290" s="4">
        <f t="shared" si="26"/>
        <v>23596719</v>
      </c>
      <c r="S290" s="63">
        <f>'A) Base RI'!AM290</f>
        <v>66</v>
      </c>
      <c r="T290" s="4">
        <f t="shared" si="27"/>
        <v>22254246.800000001</v>
      </c>
      <c r="U290" s="4">
        <f t="shared" si="28"/>
        <v>357526.04545454547</v>
      </c>
      <c r="V290" s="18">
        <f>'A) Base RI'!O290</f>
        <v>148346.79999999999</v>
      </c>
      <c r="W290" s="18">
        <f>'A) Base RI'!P290</f>
        <v>472542.8</v>
      </c>
      <c r="X290" s="18">
        <f>'A) Base RI'!R290</f>
        <v>489485.6</v>
      </c>
      <c r="Y290" s="4">
        <f t="shared" si="29"/>
        <v>1110375.2</v>
      </c>
      <c r="Z290" s="18">
        <f>'A) Base RI'!N290</f>
        <v>154439.4</v>
      </c>
      <c r="AA290" s="18">
        <f>'A) Base RI'!S290+'A) Base RI'!T290</f>
        <v>593.75</v>
      </c>
      <c r="AB290" s="18">
        <f>'A) Base RI'!U290</f>
        <v>33050</v>
      </c>
      <c r="AC290" s="18">
        <f>'A) Base RI'!V290</f>
        <v>0</v>
      </c>
      <c r="AD290" s="18">
        <f>'A) Base RI'!W290</f>
        <v>0</v>
      </c>
      <c r="AE290" s="18">
        <f>'A) Base RI'!Y290</f>
        <v>-24971.599999999999</v>
      </c>
      <c r="AF290" s="18">
        <f>'A) Base RI'!Z290</f>
        <v>0</v>
      </c>
      <c r="AG290" s="18">
        <f>'A) Base RI'!AA290</f>
        <v>697847.5</v>
      </c>
      <c r="AH290" s="18">
        <f>'A) Base RI'!AB290</f>
        <v>978377.95</v>
      </c>
      <c r="AI290" s="18">
        <f>'A) Base RI'!AC290</f>
        <v>364728.1</v>
      </c>
      <c r="AJ290" s="18">
        <f>'A) Base RI'!AD290</f>
        <v>16163.45</v>
      </c>
      <c r="AK290" s="18">
        <f>'A) Base RI'!AE290</f>
        <v>0</v>
      </c>
      <c r="AL290" s="18">
        <f>'A) Base RI'!AF290</f>
        <v>0</v>
      </c>
      <c r="AM290" s="18">
        <f>'A) Base RI'!AG290</f>
        <v>25502</v>
      </c>
      <c r="AN290" s="18">
        <f>'A) Base RI'!AH290</f>
        <v>0</v>
      </c>
      <c r="AO290" s="18">
        <f>'A) Base RI'!AI290</f>
        <v>0</v>
      </c>
      <c r="AP290" s="18">
        <f>'A) Base RI'!AJ290</f>
        <v>0</v>
      </c>
      <c r="AQ290" s="18">
        <f>'A) Base RI'!AK290</f>
        <v>0</v>
      </c>
      <c r="AR290" s="18">
        <f>'A) Base RI'!AN290</f>
        <v>5084</v>
      </c>
    </row>
    <row r="291" spans="1:44" x14ac:dyDescent="0.25">
      <c r="A291" s="13">
        <f>'A) Base RI'!A291</f>
        <v>5889</v>
      </c>
      <c r="B291" s="62" t="str">
        <f>'A) Base RI'!B291</f>
        <v>La Tour-de-Peilz</v>
      </c>
      <c r="C291" s="18">
        <f>'A) Base RI'!C291+'A) Base RI'!D291</f>
        <v>27271076.59</v>
      </c>
      <c r="D291" s="18">
        <f>'A) Base RI'!AO291</f>
        <v>-467604.81</v>
      </c>
      <c r="E291" s="61">
        <f>'A) Base RI'!AP291</f>
        <v>0</v>
      </c>
      <c r="F291" s="61">
        <f>'A) Base RI'!AQ291</f>
        <v>-12558.82</v>
      </c>
      <c r="G291" s="4">
        <f t="shared" si="24"/>
        <v>26790912.960000001</v>
      </c>
      <c r="H291" s="18">
        <f>'A) Base RI'!E291</f>
        <v>0</v>
      </c>
      <c r="I291" s="18">
        <f>'A) Base RI'!F291</f>
        <v>0</v>
      </c>
      <c r="J291" s="18">
        <f>'A) Base RI'!G291+'A) Base RI'!H291</f>
        <v>7872288.4500000002</v>
      </c>
      <c r="K291" s="18">
        <f>'A) Base RI'!I291</f>
        <v>995195.28</v>
      </c>
      <c r="L291" s="18">
        <f>'A) Base RI'!J291</f>
        <v>202801.84</v>
      </c>
      <c r="M291" s="18">
        <f>'A) Base RI'!K291</f>
        <v>103508.5</v>
      </c>
      <c r="N291" s="18">
        <f>'A) Base RI'!Q291</f>
        <v>81932.52</v>
      </c>
      <c r="O291" s="18">
        <f t="shared" si="25"/>
        <v>1907218.3333333335</v>
      </c>
      <c r="P291" s="18">
        <f>'A) Base RI'!L291</f>
        <v>2288662</v>
      </c>
      <c r="Q291" s="64">
        <f>'A) Base RI'!AR291</f>
        <v>1.2</v>
      </c>
      <c r="R291" s="4">
        <f t="shared" si="26"/>
        <v>37953857.883333348</v>
      </c>
      <c r="S291" s="63">
        <f>'A) Base RI'!AM291</f>
        <v>64</v>
      </c>
      <c r="T291" s="4">
        <f t="shared" si="27"/>
        <v>35943131.050000012</v>
      </c>
      <c r="U291" s="4">
        <f t="shared" si="28"/>
        <v>593029.02942708356</v>
      </c>
      <c r="V291" s="18">
        <f>'A) Base RI'!O291</f>
        <v>391503.9</v>
      </c>
      <c r="W291" s="18">
        <f>'A) Base RI'!P291</f>
        <v>1495738.1</v>
      </c>
      <c r="X291" s="18">
        <f>'A) Base RI'!R291</f>
        <v>895273.35</v>
      </c>
      <c r="Y291" s="4">
        <f t="shared" si="29"/>
        <v>2782515.35</v>
      </c>
      <c r="Z291" s="18">
        <f>'A) Base RI'!N291</f>
        <v>92592.15</v>
      </c>
      <c r="AA291" s="18">
        <f>'A) Base RI'!S291+'A) Base RI'!T291</f>
        <v>1650</v>
      </c>
      <c r="AB291" s="18">
        <f>'A) Base RI'!U291</f>
        <v>34400</v>
      </c>
      <c r="AC291" s="18">
        <f>'A) Base RI'!V291</f>
        <v>0</v>
      </c>
      <c r="AD291" s="18">
        <f>'A) Base RI'!W291</f>
        <v>252599.54</v>
      </c>
      <c r="AE291" s="18">
        <f>'A) Base RI'!Y291</f>
        <v>2666.25</v>
      </c>
      <c r="AF291" s="18">
        <f>'A) Base RI'!Z291</f>
        <v>0</v>
      </c>
      <c r="AG291" s="18">
        <f>'A) Base RI'!AA291</f>
        <v>435014.5</v>
      </c>
      <c r="AH291" s="18">
        <f>'A) Base RI'!AB291</f>
        <v>1668659.35</v>
      </c>
      <c r="AI291" s="18">
        <f>'A) Base RI'!AC291</f>
        <v>0</v>
      </c>
      <c r="AJ291" s="18">
        <f>'A) Base RI'!AD291</f>
        <v>0</v>
      </c>
      <c r="AK291" s="18">
        <f>'A) Base RI'!AE291</f>
        <v>0</v>
      </c>
      <c r="AL291" s="18">
        <f>'A) Base RI'!AF291</f>
        <v>0</v>
      </c>
      <c r="AM291" s="18">
        <f>'A) Base RI'!AG291</f>
        <v>0</v>
      </c>
      <c r="AN291" s="18">
        <f>'A) Base RI'!AH291</f>
        <v>0</v>
      </c>
      <c r="AO291" s="18">
        <f>'A) Base RI'!AI291</f>
        <v>0</v>
      </c>
      <c r="AP291" s="18">
        <f>'A) Base RI'!AJ291</f>
        <v>0</v>
      </c>
      <c r="AQ291" s="18">
        <f>'A) Base RI'!AK291</f>
        <v>0</v>
      </c>
      <c r="AR291" s="18">
        <f>'A) Base RI'!AN291</f>
        <v>11207</v>
      </c>
    </row>
    <row r="292" spans="1:44" x14ac:dyDescent="0.25">
      <c r="A292" s="13">
        <f>'A) Base RI'!A292</f>
        <v>5890</v>
      </c>
      <c r="B292" s="62" t="str">
        <f>'A) Base RI'!B292</f>
        <v>Vevey</v>
      </c>
      <c r="C292" s="18">
        <f>'A) Base RI'!C292+'A) Base RI'!D292</f>
        <v>40336823.5</v>
      </c>
      <c r="D292" s="18">
        <f>'A) Base RI'!AO292</f>
        <v>-1035323.5</v>
      </c>
      <c r="E292" s="61">
        <f>'A) Base RI'!AP292</f>
        <v>0</v>
      </c>
      <c r="F292" s="61">
        <f>'A) Base RI'!AQ292</f>
        <v>-4842.8900000000003</v>
      </c>
      <c r="G292" s="4">
        <f t="shared" si="24"/>
        <v>39296657.109999999</v>
      </c>
      <c r="H292" s="18">
        <f>'A) Base RI'!E292</f>
        <v>0</v>
      </c>
      <c r="I292" s="18">
        <f>'A) Base RI'!F292</f>
        <v>0</v>
      </c>
      <c r="J292" s="18">
        <f>'A) Base RI'!G292+'A) Base RI'!H292</f>
        <v>19693129.5</v>
      </c>
      <c r="K292" s="18">
        <f>'A) Base RI'!I292</f>
        <v>410417.81</v>
      </c>
      <c r="L292" s="18">
        <f>'A) Base RI'!J292</f>
        <v>4088339.77</v>
      </c>
      <c r="M292" s="18">
        <f>'A) Base RI'!K292</f>
        <v>417329</v>
      </c>
      <c r="N292" s="18">
        <f>'A) Base RI'!Q292</f>
        <v>173781.66</v>
      </c>
      <c r="O292" s="18">
        <f t="shared" si="25"/>
        <v>3084008.3333333335</v>
      </c>
      <c r="P292" s="18">
        <f>'A) Base RI'!L292</f>
        <v>3700810</v>
      </c>
      <c r="Q292" s="64">
        <f>'A) Base RI'!AR292</f>
        <v>1.2</v>
      </c>
      <c r="R292" s="4">
        <f t="shared" si="26"/>
        <v>67163663.183333337</v>
      </c>
      <c r="S292" s="63">
        <f>'A) Base RI'!AM292</f>
        <v>73</v>
      </c>
      <c r="T292" s="4">
        <f t="shared" si="27"/>
        <v>63662325.850000001</v>
      </c>
      <c r="U292" s="4">
        <f t="shared" si="28"/>
        <v>920050.18059360737</v>
      </c>
      <c r="V292" s="18">
        <f>'A) Base RI'!O292</f>
        <v>1667191.6</v>
      </c>
      <c r="W292" s="18">
        <f>'A) Base RI'!P292</f>
        <v>1334561.25</v>
      </c>
      <c r="X292" s="18">
        <f>'A) Base RI'!R292</f>
        <v>823851.45</v>
      </c>
      <c r="Y292" s="4">
        <f t="shared" si="29"/>
        <v>3825604.3</v>
      </c>
      <c r="Z292" s="18">
        <f>'A) Base RI'!N292</f>
        <v>1000064.15</v>
      </c>
      <c r="AA292" s="18">
        <f>'A) Base RI'!S292+'A) Base RI'!T292</f>
        <v>6512.5</v>
      </c>
      <c r="AB292" s="18">
        <f>'A) Base RI'!U292</f>
        <v>52650</v>
      </c>
      <c r="AC292" s="18">
        <f>'A) Base RI'!V292</f>
        <v>0</v>
      </c>
      <c r="AD292" s="18">
        <f>'A) Base RI'!W292</f>
        <v>0</v>
      </c>
      <c r="AE292" s="18">
        <f>'A) Base RI'!Y292</f>
        <v>0</v>
      </c>
      <c r="AF292" s="18">
        <f>'A) Base RI'!Z292</f>
        <v>0</v>
      </c>
      <c r="AG292" s="18">
        <f>'A) Base RI'!AA292</f>
        <v>907064.55</v>
      </c>
      <c r="AH292" s="18">
        <f>'A) Base RI'!AB292</f>
        <v>0</v>
      </c>
      <c r="AI292" s="18">
        <f>'A) Base RI'!AC292</f>
        <v>1533725.5299999998</v>
      </c>
      <c r="AJ292" s="18">
        <f>'A) Base RI'!AD292</f>
        <v>0</v>
      </c>
      <c r="AK292" s="18">
        <f>'A) Base RI'!AE292</f>
        <v>0</v>
      </c>
      <c r="AL292" s="18">
        <f>'A) Base RI'!AF292</f>
        <v>0</v>
      </c>
      <c r="AM292" s="18">
        <f>'A) Base RI'!AG292</f>
        <v>0</v>
      </c>
      <c r="AN292" s="18">
        <f>'A) Base RI'!AH292</f>
        <v>690672</v>
      </c>
      <c r="AO292" s="18">
        <f>'A) Base RI'!AI292</f>
        <v>0</v>
      </c>
      <c r="AP292" s="18">
        <f>'A) Base RI'!AJ292</f>
        <v>196834.85</v>
      </c>
      <c r="AQ292" s="18">
        <f>'A) Base RI'!AK292</f>
        <v>0</v>
      </c>
      <c r="AR292" s="18">
        <f>'A) Base RI'!AN292</f>
        <v>18838</v>
      </c>
    </row>
    <row r="293" spans="1:44" x14ac:dyDescent="0.25">
      <c r="A293" s="13">
        <f>'A) Base RI'!A293</f>
        <v>5891</v>
      </c>
      <c r="B293" s="62" t="str">
        <f>'A) Base RI'!B293</f>
        <v>Veytaux</v>
      </c>
      <c r="C293" s="18">
        <f>'A) Base RI'!C293+'A) Base RI'!D293</f>
        <v>2311401.04</v>
      </c>
      <c r="D293" s="18">
        <f>'A) Base RI'!AO293</f>
        <v>-92182.080000000002</v>
      </c>
      <c r="E293" s="61">
        <f>'A) Base RI'!AP293</f>
        <v>0</v>
      </c>
      <c r="F293" s="61">
        <f>'A) Base RI'!AQ293</f>
        <v>-743.81</v>
      </c>
      <c r="G293" s="4">
        <f t="shared" si="24"/>
        <v>2218475.15</v>
      </c>
      <c r="H293" s="18">
        <f>'A) Base RI'!E293</f>
        <v>0</v>
      </c>
      <c r="I293" s="18">
        <f>'A) Base RI'!F293</f>
        <v>0</v>
      </c>
      <c r="J293" s="18">
        <f>'A) Base RI'!G293+'A) Base RI'!H293</f>
        <v>45306.85</v>
      </c>
      <c r="K293" s="18">
        <f>'A) Base RI'!I293</f>
        <v>-20173.7</v>
      </c>
      <c r="L293" s="18">
        <f>'A) Base RI'!J293</f>
        <v>111749.98</v>
      </c>
      <c r="M293" s="18">
        <f>'A) Base RI'!K293</f>
        <v>14142.5</v>
      </c>
      <c r="N293" s="18">
        <f>'A) Base RI'!Q293</f>
        <v>5993.07</v>
      </c>
      <c r="O293" s="18">
        <f t="shared" si="25"/>
        <v>221496.66666666669</v>
      </c>
      <c r="P293" s="18">
        <f>'A) Base RI'!L293</f>
        <v>265796</v>
      </c>
      <c r="Q293" s="64">
        <f>'A) Base RI'!AR293</f>
        <v>1.2</v>
      </c>
      <c r="R293" s="4">
        <f t="shared" si="26"/>
        <v>2596990.5166666661</v>
      </c>
      <c r="S293" s="63">
        <f>'A) Base RI'!AM293</f>
        <v>69</v>
      </c>
      <c r="T293" s="4">
        <f t="shared" si="27"/>
        <v>2361351.3499999996</v>
      </c>
      <c r="U293" s="4">
        <f t="shared" si="28"/>
        <v>37637.543719806752</v>
      </c>
      <c r="V293" s="18">
        <f>'A) Base RI'!O293</f>
        <v>308098.59999999998</v>
      </c>
      <c r="W293" s="18">
        <f>'A) Base RI'!P293</f>
        <v>118148.7</v>
      </c>
      <c r="X293" s="18">
        <f>'A) Base RI'!R293</f>
        <v>177543.65</v>
      </c>
      <c r="Y293" s="4">
        <f t="shared" si="29"/>
        <v>603790.94999999995</v>
      </c>
      <c r="Z293" s="18">
        <f>'A) Base RI'!N293</f>
        <v>0</v>
      </c>
      <c r="AA293" s="18">
        <f>'A) Base RI'!S293+'A) Base RI'!T293</f>
        <v>81.25</v>
      </c>
      <c r="AB293" s="18">
        <f>'A) Base RI'!U293</f>
        <v>3900</v>
      </c>
      <c r="AC293" s="18">
        <f>'A) Base RI'!V293</f>
        <v>245258.11</v>
      </c>
      <c r="AD293" s="18">
        <f>'A) Base RI'!W293</f>
        <v>0</v>
      </c>
      <c r="AE293" s="18">
        <f>'A) Base RI'!Y293</f>
        <v>4461</v>
      </c>
      <c r="AF293" s="18">
        <f>'A) Base RI'!Z293</f>
        <v>0</v>
      </c>
      <c r="AG293" s="18">
        <f>'A) Base RI'!AA293</f>
        <v>121981.95</v>
      </c>
      <c r="AH293" s="18">
        <f>'A) Base RI'!AB293</f>
        <v>0</v>
      </c>
      <c r="AI293" s="18">
        <f>'A) Base RI'!AC293</f>
        <v>84292.5</v>
      </c>
      <c r="AJ293" s="18">
        <f>'A) Base RI'!AD293</f>
        <v>0</v>
      </c>
      <c r="AK293" s="18">
        <f>'A) Base RI'!AE293</f>
        <v>0</v>
      </c>
      <c r="AL293" s="18">
        <f>'A) Base RI'!AF293</f>
        <v>0</v>
      </c>
      <c r="AM293" s="18">
        <f>'A) Base RI'!AG293</f>
        <v>0</v>
      </c>
      <c r="AN293" s="18">
        <f>'A) Base RI'!AH293</f>
        <v>68428.95</v>
      </c>
      <c r="AO293" s="18">
        <f>'A) Base RI'!AI293</f>
        <v>0</v>
      </c>
      <c r="AP293" s="18">
        <f>'A) Base RI'!AJ293</f>
        <v>0</v>
      </c>
      <c r="AQ293" s="18">
        <f>'A) Base RI'!AK293</f>
        <v>18567.55</v>
      </c>
      <c r="AR293" s="18">
        <f>'A) Base RI'!AN293</f>
        <v>845</v>
      </c>
    </row>
    <row r="294" spans="1:44" x14ac:dyDescent="0.25">
      <c r="A294" s="13">
        <f>'A) Base RI'!A294</f>
        <v>5902</v>
      </c>
      <c r="B294" s="62" t="str">
        <f>'A) Base RI'!B294</f>
        <v>Belmont-sur-Yverdon</v>
      </c>
      <c r="C294" s="18">
        <f>'A) Base RI'!C294+'A) Base RI'!D294</f>
        <v>636218.34</v>
      </c>
      <c r="D294" s="18">
        <f>'A) Base RI'!AO294</f>
        <v>-1064.98</v>
      </c>
      <c r="E294" s="61">
        <f>'A) Base RI'!AP294</f>
        <v>0</v>
      </c>
      <c r="F294" s="61">
        <f>'A) Base RI'!AQ294</f>
        <v>0</v>
      </c>
      <c r="G294" s="4">
        <f t="shared" si="24"/>
        <v>635153.36</v>
      </c>
      <c r="H294" s="18">
        <f>'A) Base RI'!E294</f>
        <v>0</v>
      </c>
      <c r="I294" s="18">
        <f>'A) Base RI'!F294</f>
        <v>0</v>
      </c>
      <c r="J294" s="18">
        <f>'A) Base RI'!G294+'A) Base RI'!H294</f>
        <v>5254.3499999999995</v>
      </c>
      <c r="K294" s="18">
        <f>'A) Base RI'!I294</f>
        <v>0</v>
      </c>
      <c r="L294" s="18">
        <f>'A) Base RI'!J294</f>
        <v>-15069.7</v>
      </c>
      <c r="M294" s="18">
        <f>'A) Base RI'!K294</f>
        <v>0</v>
      </c>
      <c r="N294" s="18">
        <f>'A) Base RI'!Q294</f>
        <v>0</v>
      </c>
      <c r="O294" s="18">
        <f t="shared" si="25"/>
        <v>44152.5</v>
      </c>
      <c r="P294" s="18">
        <f>'A) Base RI'!L294</f>
        <v>44152.5</v>
      </c>
      <c r="Q294" s="64">
        <f>'A) Base RI'!AR294</f>
        <v>1</v>
      </c>
      <c r="R294" s="4">
        <f t="shared" si="26"/>
        <v>669490.51</v>
      </c>
      <c r="S294" s="63">
        <f>'A) Base RI'!AM294</f>
        <v>76</v>
      </c>
      <c r="T294" s="4">
        <f t="shared" si="27"/>
        <v>625338.01</v>
      </c>
      <c r="U294" s="4">
        <f t="shared" si="28"/>
        <v>8809.0856578947369</v>
      </c>
      <c r="V294" s="18">
        <f>'A) Base RI'!O294</f>
        <v>53827.6</v>
      </c>
      <c r="W294" s="18">
        <f>'A) Base RI'!P294</f>
        <v>3161.6</v>
      </c>
      <c r="X294" s="18">
        <f>'A) Base RI'!R294</f>
        <v>32904.75</v>
      </c>
      <c r="Y294" s="4">
        <f t="shared" si="29"/>
        <v>89893.95</v>
      </c>
      <c r="Z294" s="18">
        <f>'A) Base RI'!N294</f>
        <v>0</v>
      </c>
      <c r="AA294" s="18">
        <f>'A) Base RI'!S294+'A) Base RI'!T294</f>
        <v>500</v>
      </c>
      <c r="AB294" s="18">
        <f>'A) Base RI'!U294</f>
        <v>3900</v>
      </c>
      <c r="AC294" s="18">
        <f>'A) Base RI'!V294</f>
        <v>90</v>
      </c>
      <c r="AD294" s="18">
        <f>'A) Base RI'!W294</f>
        <v>0</v>
      </c>
      <c r="AE294" s="18">
        <f>'A) Base RI'!Y294</f>
        <v>9918</v>
      </c>
      <c r="AF294" s="18">
        <f>'A) Base RI'!Z294</f>
        <v>0</v>
      </c>
      <c r="AG294" s="18">
        <f>'A) Base RI'!AA294</f>
        <v>37773.25</v>
      </c>
      <c r="AH294" s="18">
        <f>'A) Base RI'!AB294</f>
        <v>0</v>
      </c>
      <c r="AI294" s="18">
        <f>'A) Base RI'!AC294</f>
        <v>22951.85</v>
      </c>
      <c r="AJ294" s="18">
        <f>'A) Base RI'!AD294</f>
        <v>11708.45</v>
      </c>
      <c r="AK294" s="18">
        <f>'A) Base RI'!AE294</f>
        <v>0</v>
      </c>
      <c r="AL294" s="18">
        <f>'A) Base RI'!AF294</f>
        <v>0</v>
      </c>
      <c r="AM294" s="18">
        <f>'A) Base RI'!AG294</f>
        <v>0</v>
      </c>
      <c r="AN294" s="18">
        <f>'A) Base RI'!AH294</f>
        <v>0</v>
      </c>
      <c r="AO294" s="18">
        <f>'A) Base RI'!AI294</f>
        <v>0</v>
      </c>
      <c r="AP294" s="18">
        <f>'A) Base RI'!AJ294</f>
        <v>0</v>
      </c>
      <c r="AQ294" s="18">
        <f>'A) Base RI'!AK294</f>
        <v>0</v>
      </c>
      <c r="AR294" s="18">
        <f>'A) Base RI'!AN294</f>
        <v>357</v>
      </c>
    </row>
    <row r="295" spans="1:44" x14ac:dyDescent="0.25">
      <c r="A295" s="13">
        <f>'A) Base RI'!A295</f>
        <v>5903</v>
      </c>
      <c r="B295" s="62" t="str">
        <f>'A) Base RI'!B295</f>
        <v>Bioley-Magnoux</v>
      </c>
      <c r="C295" s="18">
        <f>'A) Base RI'!C295+'A) Base RI'!D295</f>
        <v>399141.26</v>
      </c>
      <c r="D295" s="18">
        <f>'A) Base RI'!AO295</f>
        <v>-81.53</v>
      </c>
      <c r="E295" s="61">
        <f>'A) Base RI'!AP295</f>
        <v>0</v>
      </c>
      <c r="F295" s="61">
        <f>'A) Base RI'!AQ295</f>
        <v>0</v>
      </c>
      <c r="G295" s="4">
        <f t="shared" si="24"/>
        <v>399059.73</v>
      </c>
      <c r="H295" s="18">
        <f>'A) Base RI'!E295</f>
        <v>0</v>
      </c>
      <c r="I295" s="18">
        <f>'A) Base RI'!F295</f>
        <v>1140</v>
      </c>
      <c r="J295" s="18">
        <f>'A) Base RI'!G295+'A) Base RI'!H295</f>
        <v>15689.050000000001</v>
      </c>
      <c r="K295" s="18">
        <f>'A) Base RI'!I295</f>
        <v>0</v>
      </c>
      <c r="L295" s="18">
        <f>'A) Base RI'!J295</f>
        <v>6032.61</v>
      </c>
      <c r="M295" s="18">
        <f>'A) Base RI'!K295</f>
        <v>0</v>
      </c>
      <c r="N295" s="18">
        <f>'A) Base RI'!Q295</f>
        <v>0</v>
      </c>
      <c r="O295" s="18">
        <f t="shared" si="25"/>
        <v>28653.214285714286</v>
      </c>
      <c r="P295" s="18">
        <f>'A) Base RI'!L295</f>
        <v>20057.25</v>
      </c>
      <c r="Q295" s="64">
        <f>'A) Base RI'!AR295</f>
        <v>0.7</v>
      </c>
      <c r="R295" s="4">
        <f t="shared" si="26"/>
        <v>450574.60428571422</v>
      </c>
      <c r="S295" s="63">
        <f>'A) Base RI'!AM295</f>
        <v>74</v>
      </c>
      <c r="T295" s="4">
        <f t="shared" si="27"/>
        <v>420781.38999999996</v>
      </c>
      <c r="U295" s="4">
        <f t="shared" si="28"/>
        <v>6088.8460038610028</v>
      </c>
      <c r="V295" s="18">
        <v>0</v>
      </c>
      <c r="W295" s="18">
        <f>'A) Base RI'!P295</f>
        <v>8250</v>
      </c>
      <c r="X295" s="18">
        <f>'A) Base RI'!R295</f>
        <v>7542</v>
      </c>
      <c r="Y295" s="4">
        <f t="shared" si="29"/>
        <v>15792</v>
      </c>
      <c r="Z295" s="18">
        <f>'A) Base RI'!N295</f>
        <v>0</v>
      </c>
      <c r="AA295" s="18">
        <f>'A) Base RI'!S295+'A) Base RI'!T295</f>
        <v>62.5</v>
      </c>
      <c r="AB295" s="18">
        <f>'A) Base RI'!U295</f>
        <v>1200</v>
      </c>
      <c r="AC295" s="18">
        <f>'A) Base RI'!V295</f>
        <v>0</v>
      </c>
      <c r="AD295" s="18">
        <f>'A) Base RI'!W295</f>
        <v>0</v>
      </c>
      <c r="AE295" s="18">
        <f>'A) Base RI'!Y295</f>
        <v>0</v>
      </c>
      <c r="AF295" s="18">
        <f>'A) Base RI'!Z295</f>
        <v>0</v>
      </c>
      <c r="AG295" s="18">
        <f>'A) Base RI'!AA295</f>
        <v>13754.95</v>
      </c>
      <c r="AH295" s="18">
        <f>'A) Base RI'!AB295</f>
        <v>0</v>
      </c>
      <c r="AI295" s="18">
        <f>'A) Base RI'!AC295</f>
        <v>18367.5</v>
      </c>
      <c r="AJ295" s="18">
        <f>'A) Base RI'!AD295</f>
        <v>0</v>
      </c>
      <c r="AK295" s="18">
        <f>'A) Base RI'!AE295</f>
        <v>0</v>
      </c>
      <c r="AL295" s="18">
        <f>'A) Base RI'!AF295</f>
        <v>0</v>
      </c>
      <c r="AM295" s="18">
        <f>'A) Base RI'!AG295</f>
        <v>0</v>
      </c>
      <c r="AN295" s="18">
        <f>'A) Base RI'!AH295</f>
        <v>0</v>
      </c>
      <c r="AO295" s="18">
        <f>'A) Base RI'!AI295</f>
        <v>0</v>
      </c>
      <c r="AP295" s="18">
        <f>'A) Base RI'!AJ295</f>
        <v>0</v>
      </c>
      <c r="AQ295" s="18">
        <f>'A) Base RI'!AK295</f>
        <v>0</v>
      </c>
      <c r="AR295" s="18">
        <f>'A) Base RI'!AN295</f>
        <v>196</v>
      </c>
    </row>
    <row r="296" spans="1:44" x14ac:dyDescent="0.25">
      <c r="A296" s="13">
        <f>'A) Base RI'!A296</f>
        <v>5904</v>
      </c>
      <c r="B296" s="62" t="str">
        <f>'A) Base RI'!B296</f>
        <v>Chamblon</v>
      </c>
      <c r="C296" s="18">
        <f>'A) Base RI'!C296+'A) Base RI'!D296</f>
        <v>1289176.0799999998</v>
      </c>
      <c r="D296" s="18">
        <f>'A) Base RI'!AO296</f>
        <v>-14703.64</v>
      </c>
      <c r="E296" s="61">
        <f>'A) Base RI'!AP296</f>
        <v>0</v>
      </c>
      <c r="F296" s="61">
        <f>'A) Base RI'!AQ296</f>
        <v>-12.71</v>
      </c>
      <c r="G296" s="4">
        <f t="shared" si="24"/>
        <v>1274459.73</v>
      </c>
      <c r="H296" s="18">
        <f>'A) Base RI'!E296</f>
        <v>0</v>
      </c>
      <c r="I296" s="18">
        <f>'A) Base RI'!F296</f>
        <v>0</v>
      </c>
      <c r="J296" s="18">
        <f>'A) Base RI'!G296+'A) Base RI'!H296</f>
        <v>15040.300000000001</v>
      </c>
      <c r="K296" s="18">
        <f>'A) Base RI'!I296</f>
        <v>0</v>
      </c>
      <c r="L296" s="18">
        <f>'A) Base RI'!J296</f>
        <v>45887.41</v>
      </c>
      <c r="M296" s="18">
        <f>'A) Base RI'!K296</f>
        <v>1348</v>
      </c>
      <c r="N296" s="18">
        <f>'A) Base RI'!Q296</f>
        <v>5033.01</v>
      </c>
      <c r="O296" s="18">
        <f t="shared" si="25"/>
        <v>85284.6</v>
      </c>
      <c r="P296" s="18">
        <f>'A) Base RI'!L296</f>
        <v>85284.6</v>
      </c>
      <c r="Q296" s="64">
        <f>'A) Base RI'!AR296</f>
        <v>1</v>
      </c>
      <c r="R296" s="4">
        <f t="shared" si="26"/>
        <v>1427053.05</v>
      </c>
      <c r="S296" s="63">
        <f>'A) Base RI'!AM296</f>
        <v>66</v>
      </c>
      <c r="T296" s="4">
        <f t="shared" si="27"/>
        <v>1340420.45</v>
      </c>
      <c r="U296" s="4">
        <f t="shared" si="28"/>
        <v>21622.015909090911</v>
      </c>
      <c r="V296" s="18">
        <f>'A) Base RI'!O296</f>
        <v>18760.7</v>
      </c>
      <c r="W296" s="18">
        <f>'A) Base RI'!P296</f>
        <v>7679.4</v>
      </c>
      <c r="X296" s="18">
        <f>'A) Base RI'!R296</f>
        <v>9066.6</v>
      </c>
      <c r="Y296" s="4">
        <f t="shared" si="29"/>
        <v>35506.699999999997</v>
      </c>
      <c r="Z296" s="18">
        <f>'A) Base RI'!N296</f>
        <v>37386.25</v>
      </c>
      <c r="AA296" s="18">
        <f>'A) Base RI'!S296+'A) Base RI'!T296</f>
        <v>300</v>
      </c>
      <c r="AB296" s="18">
        <f>'A) Base RI'!U296</f>
        <v>3900</v>
      </c>
      <c r="AC296" s="18">
        <f>'A) Base RI'!V296</f>
        <v>0</v>
      </c>
      <c r="AD296" s="18">
        <f>'A) Base RI'!W296</f>
        <v>0</v>
      </c>
      <c r="AE296" s="18">
        <f>'A) Base RI'!Y296</f>
        <v>37128</v>
      </c>
      <c r="AF296" s="18">
        <f>'A) Base RI'!Z296</f>
        <v>0</v>
      </c>
      <c r="AG296" s="18">
        <f>'A) Base RI'!AA296</f>
        <v>92837.7</v>
      </c>
      <c r="AH296" s="18">
        <f>'A) Base RI'!AB296</f>
        <v>0</v>
      </c>
      <c r="AI296" s="18">
        <f>'A) Base RI'!AC296</f>
        <v>36188.1</v>
      </c>
      <c r="AJ296" s="18">
        <f>'A) Base RI'!AD296</f>
        <v>29148</v>
      </c>
      <c r="AK296" s="18">
        <f>'A) Base RI'!AE296</f>
        <v>0</v>
      </c>
      <c r="AL296" s="18">
        <f>'A) Base RI'!AF296</f>
        <v>0</v>
      </c>
      <c r="AM296" s="18">
        <f>'A) Base RI'!AG296</f>
        <v>0</v>
      </c>
      <c r="AN296" s="18">
        <f>'A) Base RI'!AH296</f>
        <v>23521.95</v>
      </c>
      <c r="AO296" s="18">
        <f>'A) Base RI'!AI296</f>
        <v>0</v>
      </c>
      <c r="AP296" s="18">
        <f>'A) Base RI'!AJ296</f>
        <v>0</v>
      </c>
      <c r="AQ296" s="18">
        <f>'A) Base RI'!AK296</f>
        <v>0</v>
      </c>
      <c r="AR296" s="18">
        <f>'A) Base RI'!AN296</f>
        <v>590</v>
      </c>
    </row>
    <row r="297" spans="1:44" x14ac:dyDescent="0.25">
      <c r="A297" s="13">
        <f>'A) Base RI'!A297</f>
        <v>5905</v>
      </c>
      <c r="B297" s="62" t="str">
        <f>'A) Base RI'!B297</f>
        <v>Champvent</v>
      </c>
      <c r="C297" s="18">
        <f>'A) Base RI'!C297+'A) Base RI'!D297</f>
        <v>1172065.57</v>
      </c>
      <c r="D297" s="18">
        <f>'A) Base RI'!AO297</f>
        <v>-11912.58</v>
      </c>
      <c r="E297" s="61">
        <f>'A) Base RI'!AP297</f>
        <v>0</v>
      </c>
      <c r="F297" s="61">
        <f>'A) Base RI'!AQ297</f>
        <v>-0.19</v>
      </c>
      <c r="G297" s="4">
        <f t="shared" si="24"/>
        <v>1160152.8</v>
      </c>
      <c r="H297" s="18">
        <f>'A) Base RI'!E297</f>
        <v>0</v>
      </c>
      <c r="I297" s="18">
        <f>'A) Base RI'!F297</f>
        <v>0</v>
      </c>
      <c r="J297" s="18">
        <f>'A) Base RI'!G297+'A) Base RI'!H297</f>
        <v>178140.55</v>
      </c>
      <c r="K297" s="18">
        <f>'A) Base RI'!I297</f>
        <v>0</v>
      </c>
      <c r="L297" s="18">
        <f>'A) Base RI'!J297</f>
        <v>17766.560000000001</v>
      </c>
      <c r="M297" s="18">
        <f>'A) Base RI'!K297</f>
        <v>3135.3</v>
      </c>
      <c r="N297" s="18">
        <f>'A) Base RI'!Q297</f>
        <v>0</v>
      </c>
      <c r="O297" s="18">
        <f t="shared" si="25"/>
        <v>83220.649999999994</v>
      </c>
      <c r="P297" s="18">
        <f>'A) Base RI'!L297</f>
        <v>83220.649999999994</v>
      </c>
      <c r="Q297" s="64">
        <f>'A) Base RI'!AR297</f>
        <v>1</v>
      </c>
      <c r="R297" s="4">
        <f t="shared" si="26"/>
        <v>1442415.86</v>
      </c>
      <c r="S297" s="63">
        <f>'A) Base RI'!AM297</f>
        <v>71</v>
      </c>
      <c r="T297" s="4">
        <f t="shared" si="27"/>
        <v>1356059.9100000001</v>
      </c>
      <c r="U297" s="4">
        <f t="shared" si="28"/>
        <v>20315.716338028171</v>
      </c>
      <c r="V297" s="18">
        <f>'A) Base RI'!O297</f>
        <v>2447.4</v>
      </c>
      <c r="W297" s="18">
        <f>'A) Base RI'!P297</f>
        <v>30529.3</v>
      </c>
      <c r="X297" s="18">
        <f>'A) Base RI'!R297</f>
        <v>35319.599999999999</v>
      </c>
      <c r="Y297" s="4">
        <f t="shared" si="29"/>
        <v>68296.299999999988</v>
      </c>
      <c r="Z297" s="18">
        <f>'A) Base RI'!N297</f>
        <v>87676.25</v>
      </c>
      <c r="AA297" s="18">
        <f>'A) Base RI'!S297+'A) Base RI'!T297</f>
        <v>0</v>
      </c>
      <c r="AB297" s="18">
        <f>'A) Base RI'!U297</f>
        <v>0</v>
      </c>
      <c r="AC297" s="18">
        <f>'A) Base RI'!V297</f>
        <v>0</v>
      </c>
      <c r="AD297" s="18">
        <f>'A) Base RI'!W297</f>
        <v>0</v>
      </c>
      <c r="AE297" s="18">
        <f>'A) Base RI'!Y297</f>
        <v>34232</v>
      </c>
      <c r="AF297" s="18">
        <f>'A) Base RI'!Z297</f>
        <v>0</v>
      </c>
      <c r="AG297" s="18">
        <f>'A) Base RI'!AA297</f>
        <v>87072</v>
      </c>
      <c r="AH297" s="18">
        <f>'A) Base RI'!AB297</f>
        <v>0</v>
      </c>
      <c r="AI297" s="18">
        <f>'A) Base RI'!AC297</f>
        <v>16529</v>
      </c>
      <c r="AJ297" s="18">
        <f>'A) Base RI'!AD297</f>
        <v>33986</v>
      </c>
      <c r="AK297" s="18">
        <f>'A) Base RI'!AE297</f>
        <v>0</v>
      </c>
      <c r="AL297" s="18">
        <f>'A) Base RI'!AF297</f>
        <v>0</v>
      </c>
      <c r="AM297" s="18">
        <f>'A) Base RI'!AG297</f>
        <v>0</v>
      </c>
      <c r="AN297" s="18">
        <f>'A) Base RI'!AH297</f>
        <v>0</v>
      </c>
      <c r="AO297" s="18">
        <f>'A) Base RI'!AI297</f>
        <v>0</v>
      </c>
      <c r="AP297" s="18">
        <f>'A) Base RI'!AJ297</f>
        <v>0</v>
      </c>
      <c r="AQ297" s="18">
        <f>'A) Base RI'!AK297</f>
        <v>0</v>
      </c>
      <c r="AR297" s="18">
        <f>'A) Base RI'!AN297</f>
        <v>600</v>
      </c>
    </row>
    <row r="298" spans="1:44" x14ac:dyDescent="0.25">
      <c r="A298" s="13">
        <f>'A) Base RI'!A298</f>
        <v>5907</v>
      </c>
      <c r="B298" s="62" t="str">
        <f>'A) Base RI'!B298</f>
        <v>Chavannes-le-Chêne</v>
      </c>
      <c r="C298" s="18">
        <f>'A) Base RI'!C298+'A) Base RI'!D298</f>
        <v>500069.82999999996</v>
      </c>
      <c r="D298" s="18">
        <f>'A) Base RI'!AO298</f>
        <v>-13244.3</v>
      </c>
      <c r="E298" s="61">
        <f>'A) Base RI'!AP298</f>
        <v>0</v>
      </c>
      <c r="F298" s="61">
        <f>'A) Base RI'!AQ298</f>
        <v>0</v>
      </c>
      <c r="G298" s="4">
        <f t="shared" si="24"/>
        <v>486825.52999999997</v>
      </c>
      <c r="H298" s="18">
        <f>'A) Base RI'!E298</f>
        <v>0</v>
      </c>
      <c r="I298" s="18">
        <f>'A) Base RI'!F298</f>
        <v>1620</v>
      </c>
      <c r="J298" s="18">
        <f>'A) Base RI'!G298+'A) Base RI'!H298</f>
        <v>679.44999999999993</v>
      </c>
      <c r="K298" s="18">
        <f>'A) Base RI'!I298</f>
        <v>0</v>
      </c>
      <c r="L298" s="18">
        <f>'A) Base RI'!J298</f>
        <v>3506.12</v>
      </c>
      <c r="M298" s="18">
        <f>'A) Base RI'!K298</f>
        <v>134</v>
      </c>
      <c r="N298" s="18">
        <f>'A) Base RI'!Q298</f>
        <v>1206.96</v>
      </c>
      <c r="O298" s="18">
        <f t="shared" si="25"/>
        <v>34130.199999999997</v>
      </c>
      <c r="P298" s="18">
        <f>'A) Base RI'!L298</f>
        <v>34130.199999999997</v>
      </c>
      <c r="Q298" s="64">
        <f>'A) Base RI'!AR298</f>
        <v>1</v>
      </c>
      <c r="R298" s="4">
        <f t="shared" si="26"/>
        <v>528102.26</v>
      </c>
      <c r="S298" s="63">
        <f>'A) Base RI'!AM298</f>
        <v>78</v>
      </c>
      <c r="T298" s="4">
        <f t="shared" si="27"/>
        <v>492218.06</v>
      </c>
      <c r="U298" s="4">
        <f t="shared" si="28"/>
        <v>6770.541794871795</v>
      </c>
      <c r="V298" s="18">
        <f>'A) Base RI'!O298</f>
        <v>4047</v>
      </c>
      <c r="W298" s="18">
        <f>'A) Base RI'!P298</f>
        <v>10595.6</v>
      </c>
      <c r="X298" s="18">
        <f>'A) Base RI'!R298</f>
        <v>4714.45</v>
      </c>
      <c r="Y298" s="4">
        <f t="shared" si="29"/>
        <v>19357.05</v>
      </c>
      <c r="Z298" s="18">
        <f>'A) Base RI'!N298</f>
        <v>3609.65</v>
      </c>
      <c r="AA298" s="18">
        <f>'A) Base RI'!S298+'A) Base RI'!T298</f>
        <v>900</v>
      </c>
      <c r="AB298" s="18">
        <f>'A) Base RI'!U298</f>
        <v>1890</v>
      </c>
      <c r="AC298" s="18">
        <f>'A) Base RI'!V298</f>
        <v>0</v>
      </c>
      <c r="AD298" s="18">
        <f>'A) Base RI'!W298</f>
        <v>0</v>
      </c>
      <c r="AE298" s="18">
        <f>'A) Base RI'!Y298</f>
        <v>0</v>
      </c>
      <c r="AF298" s="18">
        <f>'A) Base RI'!Z298</f>
        <v>16000</v>
      </c>
      <c r="AG298" s="18">
        <f>'A) Base RI'!AA298</f>
        <v>6350.7</v>
      </c>
      <c r="AH298" s="18">
        <f>'A) Base RI'!AB298</f>
        <v>0</v>
      </c>
      <c r="AI298" s="18">
        <f>'A) Base RI'!AC298</f>
        <v>11734.2</v>
      </c>
      <c r="AJ298" s="18">
        <f>'A) Base RI'!AD298</f>
        <v>6450.7</v>
      </c>
      <c r="AK298" s="18">
        <f>'A) Base RI'!AE298</f>
        <v>0</v>
      </c>
      <c r="AL298" s="18">
        <f>'A) Base RI'!AF298</f>
        <v>0</v>
      </c>
      <c r="AM298" s="18">
        <f>'A) Base RI'!AG298</f>
        <v>0</v>
      </c>
      <c r="AN298" s="18">
        <f>'A) Base RI'!AH298</f>
        <v>0</v>
      </c>
      <c r="AO298" s="18">
        <f>'A) Base RI'!AI298</f>
        <v>0</v>
      </c>
      <c r="AP298" s="18">
        <f>'A) Base RI'!AJ298</f>
        <v>0</v>
      </c>
      <c r="AQ298" s="18">
        <f>'A) Base RI'!AK298</f>
        <v>0</v>
      </c>
      <c r="AR298" s="18">
        <f>'A) Base RI'!AN298</f>
        <v>274</v>
      </c>
    </row>
    <row r="299" spans="1:44" x14ac:dyDescent="0.25">
      <c r="A299" s="13">
        <f>'A) Base RI'!A299</f>
        <v>5908</v>
      </c>
      <c r="B299" s="62" t="str">
        <f>'A) Base RI'!B299</f>
        <v>Chêne-Pâquier</v>
      </c>
      <c r="C299" s="18">
        <f>'A) Base RI'!C299+'A) Base RI'!D299</f>
        <v>240223.52000000002</v>
      </c>
      <c r="D299" s="18">
        <f>'A) Base RI'!AO299</f>
        <v>-7302.49</v>
      </c>
      <c r="E299" s="61">
        <f>'A) Base RI'!AP299</f>
        <v>0</v>
      </c>
      <c r="F299" s="61">
        <f>'A) Base RI'!AQ299</f>
        <v>-8.6999999999999993</v>
      </c>
      <c r="G299" s="4">
        <f t="shared" si="24"/>
        <v>232912.33000000002</v>
      </c>
      <c r="H299" s="18">
        <f>'A) Base RI'!E299</f>
        <v>0</v>
      </c>
      <c r="I299" s="18">
        <f>'A) Base RI'!F299</f>
        <v>0</v>
      </c>
      <c r="J299" s="18">
        <f>'A) Base RI'!G299+'A) Base RI'!H299</f>
        <v>-12056.85</v>
      </c>
      <c r="K299" s="18">
        <f>'A) Base RI'!I299</f>
        <v>0</v>
      </c>
      <c r="L299" s="18">
        <f>'A) Base RI'!J299</f>
        <v>1687.53</v>
      </c>
      <c r="M299" s="18">
        <f>'A) Base RI'!K299</f>
        <v>49.5</v>
      </c>
      <c r="N299" s="18">
        <f>'A) Base RI'!Q299</f>
        <v>24848</v>
      </c>
      <c r="O299" s="18">
        <f t="shared" si="25"/>
        <v>15356.5</v>
      </c>
      <c r="P299" s="18">
        <f>'A) Base RI'!L299</f>
        <v>15356.5</v>
      </c>
      <c r="Q299" s="64">
        <f>'A) Base RI'!AR299</f>
        <v>1</v>
      </c>
      <c r="R299" s="4">
        <f t="shared" si="26"/>
        <v>262797.01</v>
      </c>
      <c r="S299" s="63">
        <f>'A) Base RI'!AM299</f>
        <v>79</v>
      </c>
      <c r="T299" s="4">
        <f t="shared" si="27"/>
        <v>247391.01</v>
      </c>
      <c r="U299" s="4">
        <f t="shared" si="28"/>
        <v>3326.5444303797472</v>
      </c>
      <c r="V299" s="18">
        <f>'A) Base RI'!O299</f>
        <v>5895</v>
      </c>
      <c r="W299" s="18">
        <f>'A) Base RI'!P299</f>
        <v>8470</v>
      </c>
      <c r="X299" s="18">
        <f>'A) Base RI'!R299</f>
        <v>21170.15</v>
      </c>
      <c r="Y299" s="4">
        <f t="shared" si="29"/>
        <v>35535.15</v>
      </c>
      <c r="Z299" s="18">
        <f>'A) Base RI'!N299</f>
        <v>0</v>
      </c>
      <c r="AA299" s="18">
        <f>'A) Base RI'!S299+'A) Base RI'!T299</f>
        <v>0</v>
      </c>
      <c r="AB299" s="18">
        <f>'A) Base RI'!U299</f>
        <v>990</v>
      </c>
      <c r="AC299" s="18">
        <f>'A) Base RI'!V299</f>
        <v>0</v>
      </c>
      <c r="AD299" s="18">
        <f>'A) Base RI'!W299</f>
        <v>0</v>
      </c>
      <c r="AE299" s="18">
        <f>'A) Base RI'!Y299</f>
        <v>2500</v>
      </c>
      <c r="AF299" s="18">
        <f>'A) Base RI'!Z299</f>
        <v>0</v>
      </c>
      <c r="AG299" s="18">
        <f>'A) Base RI'!AA299</f>
        <v>34450</v>
      </c>
      <c r="AH299" s="18">
        <f>'A) Base RI'!AB299</f>
        <v>0</v>
      </c>
      <c r="AI299" s="18">
        <f>'A) Base RI'!AC299</f>
        <v>4855</v>
      </c>
      <c r="AJ299" s="18">
        <f>'A) Base RI'!AD299</f>
        <v>1410</v>
      </c>
      <c r="AK299" s="18">
        <f>'A) Base RI'!AE299</f>
        <v>0</v>
      </c>
      <c r="AL299" s="18">
        <f>'A) Base RI'!AF299</f>
        <v>0</v>
      </c>
      <c r="AM299" s="18">
        <f>'A) Base RI'!AG299</f>
        <v>0</v>
      </c>
      <c r="AN299" s="18">
        <f>'A) Base RI'!AH299</f>
        <v>0</v>
      </c>
      <c r="AO299" s="18">
        <f>'A) Base RI'!AI299</f>
        <v>0</v>
      </c>
      <c r="AP299" s="18">
        <f>'A) Base RI'!AJ299</f>
        <v>0</v>
      </c>
      <c r="AQ299" s="18">
        <f>'A) Base RI'!AK299</f>
        <v>0</v>
      </c>
      <c r="AR299" s="18">
        <f>'A) Base RI'!AN299</f>
        <v>132</v>
      </c>
    </row>
    <row r="300" spans="1:44" x14ac:dyDescent="0.25">
      <c r="A300" s="13">
        <f>'A) Base RI'!A300</f>
        <v>5909</v>
      </c>
      <c r="B300" s="62" t="str">
        <f>'A) Base RI'!B300</f>
        <v>Cheseaux-Noréaz</v>
      </c>
      <c r="C300" s="18">
        <f>'A) Base RI'!C300+'A) Base RI'!D300</f>
        <v>1811714.78</v>
      </c>
      <c r="D300" s="18">
        <f>'A) Base RI'!AO300</f>
        <v>-308.01</v>
      </c>
      <c r="E300" s="61">
        <f>'A) Base RI'!AP300</f>
        <v>-1489.9</v>
      </c>
      <c r="F300" s="61">
        <f>'A) Base RI'!AQ300</f>
        <v>-94.05</v>
      </c>
      <c r="G300" s="4">
        <f t="shared" si="24"/>
        <v>1809822.82</v>
      </c>
      <c r="H300" s="18">
        <f>'A) Base RI'!E300</f>
        <v>0</v>
      </c>
      <c r="I300" s="18">
        <f>'A) Base RI'!F300</f>
        <v>0</v>
      </c>
      <c r="J300" s="18">
        <f>'A) Base RI'!G300+'A) Base RI'!H300</f>
        <v>14159.099999999999</v>
      </c>
      <c r="K300" s="18">
        <f>'A) Base RI'!I300</f>
        <v>0</v>
      </c>
      <c r="L300" s="18">
        <f>'A) Base RI'!J300</f>
        <v>1446.23</v>
      </c>
      <c r="M300" s="18">
        <f>'A) Base RI'!K300</f>
        <v>1124.5</v>
      </c>
      <c r="N300" s="18">
        <f>'A) Base RI'!Q300</f>
        <v>0</v>
      </c>
      <c r="O300" s="18">
        <f t="shared" si="25"/>
        <v>136411.9</v>
      </c>
      <c r="P300" s="18">
        <f>'A) Base RI'!L300</f>
        <v>136411.9</v>
      </c>
      <c r="Q300" s="64">
        <f>'A) Base RI'!AR300</f>
        <v>1</v>
      </c>
      <c r="R300" s="4">
        <f t="shared" si="26"/>
        <v>1962964.55</v>
      </c>
      <c r="S300" s="63">
        <f>'A) Base RI'!AM300</f>
        <v>64</v>
      </c>
      <c r="T300" s="4">
        <f t="shared" si="27"/>
        <v>1825428.1500000001</v>
      </c>
      <c r="U300" s="4">
        <f t="shared" si="28"/>
        <v>30671.321093750001</v>
      </c>
      <c r="V300" s="18">
        <f>'A) Base RI'!O300</f>
        <v>136355.6</v>
      </c>
      <c r="W300" s="18">
        <f>'A) Base RI'!P300</f>
        <v>75801.7</v>
      </c>
      <c r="X300" s="18">
        <f>'A) Base RI'!R300</f>
        <v>117165.1</v>
      </c>
      <c r="Y300" s="4">
        <f t="shared" si="29"/>
        <v>329322.40000000002</v>
      </c>
      <c r="Z300" s="18">
        <f>'A) Base RI'!N300</f>
        <v>8210.9</v>
      </c>
      <c r="AA300" s="18">
        <f>'A) Base RI'!S300+'A) Base RI'!T300</f>
        <v>0</v>
      </c>
      <c r="AB300" s="18">
        <f>'A) Base RI'!U300</f>
        <v>880</v>
      </c>
      <c r="AC300" s="18">
        <f>'A) Base RI'!V300</f>
        <v>2000</v>
      </c>
      <c r="AD300" s="18">
        <f>'A) Base RI'!W300</f>
        <v>0</v>
      </c>
      <c r="AE300" s="18">
        <f>'A) Base RI'!Y300</f>
        <v>12053.25</v>
      </c>
      <c r="AF300" s="18">
        <f>'A) Base RI'!Z300</f>
        <v>0</v>
      </c>
      <c r="AG300" s="18">
        <f>'A) Base RI'!AA300</f>
        <v>51260.88</v>
      </c>
      <c r="AH300" s="18">
        <f>'A) Base RI'!AB300</f>
        <v>0</v>
      </c>
      <c r="AI300" s="18">
        <f>'A) Base RI'!AC300</f>
        <v>41181.1</v>
      </c>
      <c r="AJ300" s="18">
        <f>'A) Base RI'!AD300</f>
        <v>33802.870000000003</v>
      </c>
      <c r="AK300" s="18">
        <f>'A) Base RI'!AE300</f>
        <v>0</v>
      </c>
      <c r="AL300" s="18">
        <f>'A) Base RI'!AF300</f>
        <v>0</v>
      </c>
      <c r="AM300" s="18">
        <f>'A) Base RI'!AG300</f>
        <v>63046.6</v>
      </c>
      <c r="AN300" s="18">
        <f>'A) Base RI'!AH300</f>
        <v>0</v>
      </c>
      <c r="AO300" s="18">
        <f>'A) Base RI'!AI300</f>
        <v>0</v>
      </c>
      <c r="AP300" s="18">
        <f>'A) Base RI'!AJ300</f>
        <v>0</v>
      </c>
      <c r="AQ300" s="18">
        <f>'A) Base RI'!AK300</f>
        <v>0</v>
      </c>
      <c r="AR300" s="18">
        <f>'A) Base RI'!AN300</f>
        <v>663</v>
      </c>
    </row>
    <row r="301" spans="1:44" x14ac:dyDescent="0.25">
      <c r="A301" s="13">
        <f>'A) Base RI'!A301</f>
        <v>5910</v>
      </c>
      <c r="B301" s="62" t="str">
        <f>'A) Base RI'!B301</f>
        <v>Cronay</v>
      </c>
      <c r="C301" s="18">
        <f>'A) Base RI'!C301+'A) Base RI'!D301</f>
        <v>702627.04</v>
      </c>
      <c r="D301" s="18">
        <f>'A) Base RI'!AO301</f>
        <v>-3320</v>
      </c>
      <c r="E301" s="61">
        <f>'A) Base RI'!AP301</f>
        <v>0</v>
      </c>
      <c r="F301" s="61">
        <f>'A) Base RI'!AQ301</f>
        <v>0</v>
      </c>
      <c r="G301" s="4">
        <f t="shared" si="24"/>
        <v>699307.04</v>
      </c>
      <c r="H301" s="18">
        <f>'A) Base RI'!E301</f>
        <v>0</v>
      </c>
      <c r="I301" s="18">
        <f>'A) Base RI'!F301</f>
        <v>2060</v>
      </c>
      <c r="J301" s="18">
        <f>'A) Base RI'!G301+'A) Base RI'!H301</f>
        <v>4605.8500000000004</v>
      </c>
      <c r="K301" s="18">
        <f>'A) Base RI'!I301</f>
        <v>0</v>
      </c>
      <c r="L301" s="18">
        <f>'A) Base RI'!J301</f>
        <v>3809.96</v>
      </c>
      <c r="M301" s="18">
        <f>'A) Base RI'!K301</f>
        <v>0</v>
      </c>
      <c r="N301" s="18">
        <f>'A) Base RI'!Q301</f>
        <v>0</v>
      </c>
      <c r="O301" s="18">
        <f t="shared" si="25"/>
        <v>42926</v>
      </c>
      <c r="P301" s="18">
        <f>'A) Base RI'!L301</f>
        <v>42926</v>
      </c>
      <c r="Q301" s="64">
        <f>'A) Base RI'!AR301</f>
        <v>1</v>
      </c>
      <c r="R301" s="4">
        <f t="shared" si="26"/>
        <v>752708.85</v>
      </c>
      <c r="S301" s="63">
        <f>'A) Base RI'!AM301</f>
        <v>81</v>
      </c>
      <c r="T301" s="4">
        <f t="shared" si="27"/>
        <v>707722.85</v>
      </c>
      <c r="U301" s="4">
        <f t="shared" si="28"/>
        <v>9292.7018518518507</v>
      </c>
      <c r="V301" s="18">
        <f>'A) Base RI'!O301</f>
        <v>6325.8</v>
      </c>
      <c r="W301" s="18">
        <f>'A) Base RI'!P301</f>
        <v>12877.3</v>
      </c>
      <c r="X301" s="18">
        <f>'A) Base RI'!R301</f>
        <v>24406.799999999999</v>
      </c>
      <c r="Y301" s="4">
        <f t="shared" si="29"/>
        <v>43609.899999999994</v>
      </c>
      <c r="Z301" s="18">
        <f>'A) Base RI'!N301</f>
        <v>0</v>
      </c>
      <c r="AA301" s="18">
        <f>'A) Base RI'!S301+'A) Base RI'!T301</f>
        <v>410</v>
      </c>
      <c r="AB301" s="18">
        <f>'A) Base RI'!U301</f>
        <v>3681</v>
      </c>
      <c r="AC301" s="18">
        <f>'A) Base RI'!V301</f>
        <v>0</v>
      </c>
      <c r="AD301" s="18">
        <f>'A) Base RI'!W301</f>
        <v>0</v>
      </c>
      <c r="AE301" s="18">
        <f>'A) Base RI'!Y301</f>
        <v>0</v>
      </c>
      <c r="AF301" s="18">
        <f>'A) Base RI'!Z301</f>
        <v>0</v>
      </c>
      <c r="AG301" s="18">
        <f>'A) Base RI'!AA301</f>
        <v>23174</v>
      </c>
      <c r="AH301" s="18">
        <f>'A) Base RI'!AB301</f>
        <v>0</v>
      </c>
      <c r="AI301" s="18">
        <f>'A) Base RI'!AC301</f>
        <v>20520</v>
      </c>
      <c r="AJ301" s="18">
        <f>'A) Base RI'!AD301</f>
        <v>0</v>
      </c>
      <c r="AK301" s="18">
        <f>'A) Base RI'!AE301</f>
        <v>0</v>
      </c>
      <c r="AL301" s="18">
        <f>'A) Base RI'!AF301</f>
        <v>0</v>
      </c>
      <c r="AM301" s="18">
        <f>'A) Base RI'!AG301</f>
        <v>0</v>
      </c>
      <c r="AN301" s="18">
        <f>'A) Base RI'!AH301</f>
        <v>0</v>
      </c>
      <c r="AO301" s="18">
        <f>'A) Base RI'!AI301</f>
        <v>0</v>
      </c>
      <c r="AP301" s="18">
        <f>'A) Base RI'!AJ301</f>
        <v>0</v>
      </c>
      <c r="AQ301" s="18">
        <f>'A) Base RI'!AK301</f>
        <v>0</v>
      </c>
      <c r="AR301" s="18">
        <f>'A) Base RI'!AN301</f>
        <v>352</v>
      </c>
    </row>
    <row r="302" spans="1:44" x14ac:dyDescent="0.25">
      <c r="A302" s="13">
        <f>'A) Base RI'!A302</f>
        <v>5911</v>
      </c>
      <c r="B302" s="62" t="str">
        <f>'A) Base RI'!B302</f>
        <v>Cuarny</v>
      </c>
      <c r="C302" s="18">
        <f>'A) Base RI'!C302+'A) Base RI'!D302</f>
        <v>527695.84</v>
      </c>
      <c r="D302" s="18">
        <f>'A) Base RI'!AO302</f>
        <v>-83.66</v>
      </c>
      <c r="E302" s="61">
        <f>'A) Base RI'!AP302</f>
        <v>0</v>
      </c>
      <c r="F302" s="61">
        <f>'A) Base RI'!AQ302</f>
        <v>0</v>
      </c>
      <c r="G302" s="4">
        <f t="shared" si="24"/>
        <v>527612.17999999993</v>
      </c>
      <c r="H302" s="18">
        <f>'A) Base RI'!E302</f>
        <v>0</v>
      </c>
      <c r="I302" s="18">
        <f>'A) Base RI'!F302</f>
        <v>1260</v>
      </c>
      <c r="J302" s="18">
        <f>'A) Base RI'!G302+'A) Base RI'!H302</f>
        <v>796.85</v>
      </c>
      <c r="K302" s="18">
        <f>'A) Base RI'!I302</f>
        <v>0</v>
      </c>
      <c r="L302" s="18">
        <f>'A) Base RI'!J302</f>
        <v>705.24</v>
      </c>
      <c r="M302" s="18">
        <f>'A) Base RI'!K302</f>
        <v>348</v>
      </c>
      <c r="N302" s="18">
        <f>'A) Base RI'!Q302</f>
        <v>0</v>
      </c>
      <c r="O302" s="18">
        <f t="shared" si="25"/>
        <v>21322</v>
      </c>
      <c r="P302" s="18">
        <f>'A) Base RI'!L302</f>
        <v>21322</v>
      </c>
      <c r="Q302" s="64">
        <f>'A) Base RI'!AR302</f>
        <v>1</v>
      </c>
      <c r="R302" s="4">
        <f t="shared" si="26"/>
        <v>552044.2699999999</v>
      </c>
      <c r="S302" s="63">
        <f>'A) Base RI'!AM302</f>
        <v>81</v>
      </c>
      <c r="T302" s="4">
        <f t="shared" si="27"/>
        <v>529114.2699999999</v>
      </c>
      <c r="U302" s="4">
        <f t="shared" si="28"/>
        <v>6815.3613580246902</v>
      </c>
      <c r="V302" s="18">
        <v>0</v>
      </c>
      <c r="W302" s="18">
        <f>'A) Base RI'!P302</f>
        <v>7950.45</v>
      </c>
      <c r="X302" s="18">
        <f>'A) Base RI'!R302</f>
        <v>14223.05</v>
      </c>
      <c r="Y302" s="4">
        <f t="shared" si="29"/>
        <v>22173.5</v>
      </c>
      <c r="Z302" s="18">
        <f>'A) Base RI'!N302</f>
        <v>0</v>
      </c>
      <c r="AA302" s="18">
        <f>'A) Base RI'!S302+'A) Base RI'!T302</f>
        <v>0</v>
      </c>
      <c r="AB302" s="18">
        <f>'A) Base RI'!U302</f>
        <v>800</v>
      </c>
      <c r="AC302" s="18">
        <f>'A) Base RI'!V302</f>
        <v>0</v>
      </c>
      <c r="AD302" s="18">
        <f>'A) Base RI'!W302</f>
        <v>0</v>
      </c>
      <c r="AE302" s="18">
        <f>'A) Base RI'!Y302</f>
        <v>14173</v>
      </c>
      <c r="AF302" s="18">
        <f>'A) Base RI'!Z302</f>
        <v>0</v>
      </c>
      <c r="AG302" s="18">
        <f>'A) Base RI'!AA302</f>
        <v>30861</v>
      </c>
      <c r="AH302" s="18">
        <f>'A) Base RI'!AB302</f>
        <v>0</v>
      </c>
      <c r="AI302" s="18">
        <f>'A) Base RI'!AC302</f>
        <v>13234</v>
      </c>
      <c r="AJ302" s="18">
        <f>'A) Base RI'!AD302</f>
        <v>0</v>
      </c>
      <c r="AK302" s="18">
        <f>'A) Base RI'!AE302</f>
        <v>0</v>
      </c>
      <c r="AL302" s="18">
        <f>'A) Base RI'!AF302</f>
        <v>0</v>
      </c>
      <c r="AM302" s="18">
        <f>'A) Base RI'!AG302</f>
        <v>0</v>
      </c>
      <c r="AN302" s="18">
        <f>'A) Base RI'!AH302</f>
        <v>0</v>
      </c>
      <c r="AO302" s="18">
        <f>'A) Base RI'!AI302</f>
        <v>0</v>
      </c>
      <c r="AP302" s="18">
        <f>'A) Base RI'!AJ302</f>
        <v>0</v>
      </c>
      <c r="AQ302" s="18">
        <f>'A) Base RI'!AK302</f>
        <v>0</v>
      </c>
      <c r="AR302" s="18">
        <f>'A) Base RI'!AN302</f>
        <v>204</v>
      </c>
    </row>
    <row r="303" spans="1:44" x14ac:dyDescent="0.25">
      <c r="A303" s="13">
        <f>'A) Base RI'!A303</f>
        <v>5912</v>
      </c>
      <c r="B303" s="62" t="str">
        <f>'A) Base RI'!B303</f>
        <v>Démoret</v>
      </c>
      <c r="C303" s="18">
        <f>'A) Base RI'!C303+'A) Base RI'!D303</f>
        <v>240035.00999999998</v>
      </c>
      <c r="D303" s="18">
        <f>'A) Base RI'!AO303</f>
        <v>-2503.06</v>
      </c>
      <c r="E303" s="61">
        <f>'A) Base RI'!AP303</f>
        <v>0</v>
      </c>
      <c r="F303" s="61">
        <f>'A) Base RI'!AQ303</f>
        <v>0</v>
      </c>
      <c r="G303" s="4">
        <f t="shared" si="24"/>
        <v>237531.94999999998</v>
      </c>
      <c r="H303" s="18">
        <f>'A) Base RI'!E303</f>
        <v>0</v>
      </c>
      <c r="I303" s="18">
        <f>'A) Base RI'!F303</f>
        <v>810</v>
      </c>
      <c r="J303" s="18">
        <f>'A) Base RI'!G303+'A) Base RI'!H303</f>
        <v>1965.1499999999999</v>
      </c>
      <c r="K303" s="18">
        <f>'A) Base RI'!I303</f>
        <v>0</v>
      </c>
      <c r="L303" s="18">
        <f>'A) Base RI'!J303</f>
        <v>765.15</v>
      </c>
      <c r="M303" s="18">
        <f>'A) Base RI'!K303</f>
        <v>0</v>
      </c>
      <c r="N303" s="18">
        <f>'A) Base RI'!Q303</f>
        <v>0</v>
      </c>
      <c r="O303" s="18">
        <f t="shared" si="25"/>
        <v>14015.6</v>
      </c>
      <c r="P303" s="18">
        <f>'A) Base RI'!L303</f>
        <v>14015.6</v>
      </c>
      <c r="Q303" s="64">
        <f>'A) Base RI'!AR303</f>
        <v>1</v>
      </c>
      <c r="R303" s="4">
        <f t="shared" si="26"/>
        <v>255087.84999999998</v>
      </c>
      <c r="S303" s="63">
        <f>'A) Base RI'!AM303</f>
        <v>81</v>
      </c>
      <c r="T303" s="4">
        <f t="shared" si="27"/>
        <v>240262.24999999997</v>
      </c>
      <c r="U303" s="4">
        <f t="shared" si="28"/>
        <v>3149.2327160493824</v>
      </c>
      <c r="V303" s="18">
        <v>0</v>
      </c>
      <c r="W303" s="18">
        <v>0</v>
      </c>
      <c r="X303" s="18">
        <f>'A) Base RI'!R303</f>
        <v>-514.6</v>
      </c>
      <c r="Y303" s="4">
        <f t="shared" si="29"/>
        <v>-514.6</v>
      </c>
      <c r="Z303" s="18">
        <f>'A) Base RI'!N303</f>
        <v>0</v>
      </c>
      <c r="AA303" s="18">
        <f>'A) Base RI'!S303+'A) Base RI'!T303</f>
        <v>0</v>
      </c>
      <c r="AB303" s="18">
        <f>'A) Base RI'!U303</f>
        <v>1100</v>
      </c>
      <c r="AC303" s="18">
        <f>'A) Base RI'!V303</f>
        <v>0</v>
      </c>
      <c r="AD303" s="18">
        <f>'A) Base RI'!W303</f>
        <v>0</v>
      </c>
      <c r="AE303" s="18">
        <f>'A) Base RI'!Y303</f>
        <v>18724</v>
      </c>
      <c r="AF303" s="18">
        <f>'A) Base RI'!Z303</f>
        <v>0</v>
      </c>
      <c r="AG303" s="18">
        <f>'A) Base RI'!AA303</f>
        <v>14031.2</v>
      </c>
      <c r="AH303" s="18">
        <f>'A) Base RI'!AB303</f>
        <v>0</v>
      </c>
      <c r="AI303" s="18">
        <f>'A) Base RI'!AC303</f>
        <v>6995.75</v>
      </c>
      <c r="AJ303" s="18">
        <f>'A) Base RI'!AD303</f>
        <v>4325</v>
      </c>
      <c r="AK303" s="18">
        <f>'A) Base RI'!AE303</f>
        <v>0</v>
      </c>
      <c r="AL303" s="18">
        <f>'A) Base RI'!AF303</f>
        <v>0</v>
      </c>
      <c r="AM303" s="18">
        <f>'A) Base RI'!AG303</f>
        <v>0</v>
      </c>
      <c r="AN303" s="18">
        <f>'A) Base RI'!AH303</f>
        <v>0</v>
      </c>
      <c r="AO303" s="18">
        <f>'A) Base RI'!AI303</f>
        <v>0</v>
      </c>
      <c r="AP303" s="18">
        <f>'A) Base RI'!AJ303</f>
        <v>0</v>
      </c>
      <c r="AQ303" s="18">
        <f>'A) Base RI'!AK303</f>
        <v>0</v>
      </c>
      <c r="AR303" s="18">
        <f>'A) Base RI'!AN303</f>
        <v>126</v>
      </c>
    </row>
    <row r="304" spans="1:44" x14ac:dyDescent="0.25">
      <c r="A304" s="13">
        <f>'A) Base RI'!A304</f>
        <v>5913</v>
      </c>
      <c r="B304" s="62" t="str">
        <f>'A) Base RI'!B304</f>
        <v>Donneloye</v>
      </c>
      <c r="C304" s="18">
        <f>'A) Base RI'!C304+'A) Base RI'!D304</f>
        <v>1579751.17</v>
      </c>
      <c r="D304" s="18">
        <f>'A) Base RI'!AO304</f>
        <v>-19564.72</v>
      </c>
      <c r="E304" s="61">
        <f>'A) Base RI'!AP304</f>
        <v>-2762.1</v>
      </c>
      <c r="F304" s="61">
        <f>'A) Base RI'!AQ304</f>
        <v>-0.36</v>
      </c>
      <c r="G304" s="4">
        <f t="shared" si="24"/>
        <v>1557423.9899999998</v>
      </c>
      <c r="H304" s="18">
        <f>'A) Base RI'!E304</f>
        <v>0</v>
      </c>
      <c r="I304" s="18">
        <f>'A) Base RI'!F304</f>
        <v>0</v>
      </c>
      <c r="J304" s="18">
        <f>'A) Base RI'!G304+'A) Base RI'!H304</f>
        <v>19631.7</v>
      </c>
      <c r="K304" s="18">
        <f>'A) Base RI'!I304</f>
        <v>0</v>
      </c>
      <c r="L304" s="18">
        <f>'A) Base RI'!J304</f>
        <v>15433.28</v>
      </c>
      <c r="M304" s="18">
        <f>'A) Base RI'!K304</f>
        <v>-844</v>
      </c>
      <c r="N304" s="18">
        <f>'A) Base RI'!Q304</f>
        <v>7592.69</v>
      </c>
      <c r="O304" s="18">
        <f t="shared" si="25"/>
        <v>90552.1</v>
      </c>
      <c r="P304" s="18">
        <f>'A) Base RI'!L304</f>
        <v>90552.1</v>
      </c>
      <c r="Q304" s="64">
        <f>'A) Base RI'!AR304</f>
        <v>1</v>
      </c>
      <c r="R304" s="4">
        <f t="shared" si="26"/>
        <v>1689789.7599999998</v>
      </c>
      <c r="S304" s="63">
        <f>'A) Base RI'!AM304</f>
        <v>73</v>
      </c>
      <c r="T304" s="4">
        <f t="shared" si="27"/>
        <v>1600081.6599999997</v>
      </c>
      <c r="U304" s="4">
        <f t="shared" si="28"/>
        <v>23147.804931506846</v>
      </c>
      <c r="V304" s="18">
        <f>'A) Base RI'!O304</f>
        <v>1740.2</v>
      </c>
      <c r="W304" s="18">
        <f>'A) Base RI'!P304</f>
        <v>51348</v>
      </c>
      <c r="X304" s="18">
        <f>'A) Base RI'!R304</f>
        <v>28204.75</v>
      </c>
      <c r="Y304" s="4">
        <f t="shared" si="29"/>
        <v>81292.95</v>
      </c>
      <c r="Z304" s="18">
        <f>'A) Base RI'!N304</f>
        <v>7966.35</v>
      </c>
      <c r="AA304" s="18">
        <f>'A) Base RI'!S304+'A) Base RI'!T304</f>
        <v>350</v>
      </c>
      <c r="AB304" s="18">
        <f>'A) Base RI'!U304</f>
        <v>5106.8</v>
      </c>
      <c r="AC304" s="18">
        <f>'A) Base RI'!V304</f>
        <v>596</v>
      </c>
      <c r="AD304" s="18">
        <f>'A) Base RI'!W304</f>
        <v>0</v>
      </c>
      <c r="AE304" s="18">
        <f>'A) Base RI'!Y304</f>
        <v>1827</v>
      </c>
      <c r="AF304" s="18">
        <f>'A) Base RI'!Z304</f>
        <v>0</v>
      </c>
      <c r="AG304" s="18">
        <f>'A) Base RI'!AA304</f>
        <v>68248</v>
      </c>
      <c r="AH304" s="18">
        <f>'A) Base RI'!AB304</f>
        <v>0</v>
      </c>
      <c r="AI304" s="18">
        <f>'A) Base RI'!AC304</f>
        <v>33651</v>
      </c>
      <c r="AJ304" s="18">
        <f>'A) Base RI'!AD304</f>
        <v>0</v>
      </c>
      <c r="AK304" s="18">
        <f>'A) Base RI'!AE304</f>
        <v>38678</v>
      </c>
      <c r="AL304" s="18">
        <f>'A) Base RI'!AF304</f>
        <v>0</v>
      </c>
      <c r="AM304" s="18">
        <f>'A) Base RI'!AG304</f>
        <v>0</v>
      </c>
      <c r="AN304" s="18">
        <f>'A) Base RI'!AH304</f>
        <v>21088.7</v>
      </c>
      <c r="AO304" s="18">
        <f>'A) Base RI'!AI304</f>
        <v>0</v>
      </c>
      <c r="AP304" s="18">
        <f>'A) Base RI'!AJ304</f>
        <v>0</v>
      </c>
      <c r="AQ304" s="18">
        <f>'A) Base RI'!AK304</f>
        <v>0</v>
      </c>
      <c r="AR304" s="18">
        <f>'A) Base RI'!AN304</f>
        <v>728</v>
      </c>
    </row>
    <row r="305" spans="1:44" x14ac:dyDescent="0.25">
      <c r="A305" s="13">
        <f>'A) Base RI'!A305</f>
        <v>5914</v>
      </c>
      <c r="B305" s="62" t="str">
        <f>'A) Base RI'!B305</f>
        <v>Ependes</v>
      </c>
      <c r="C305" s="18">
        <f>'A) Base RI'!C305+'A) Base RI'!D305</f>
        <v>614524.21</v>
      </c>
      <c r="D305" s="18">
        <f>'A) Base RI'!AO305</f>
        <v>-14265.24</v>
      </c>
      <c r="E305" s="61">
        <f>'A) Base RI'!AP305</f>
        <v>0</v>
      </c>
      <c r="F305" s="61">
        <f>'A) Base RI'!AQ305</f>
        <v>0</v>
      </c>
      <c r="G305" s="4">
        <f t="shared" si="24"/>
        <v>600258.97</v>
      </c>
      <c r="H305" s="18">
        <f>'A) Base RI'!E305</f>
        <v>0</v>
      </c>
      <c r="I305" s="18">
        <f>'A) Base RI'!F305</f>
        <v>2000</v>
      </c>
      <c r="J305" s="18">
        <f>'A) Base RI'!G305+'A) Base RI'!H305</f>
        <v>4645.7999999999993</v>
      </c>
      <c r="K305" s="18">
        <f>'A) Base RI'!I305</f>
        <v>0</v>
      </c>
      <c r="L305" s="18">
        <f>'A) Base RI'!J305</f>
        <v>619.82000000000005</v>
      </c>
      <c r="M305" s="18">
        <f>'A) Base RI'!K305</f>
        <v>4155.5</v>
      </c>
      <c r="N305" s="18">
        <f>'A) Base RI'!Q305</f>
        <v>0</v>
      </c>
      <c r="O305" s="18">
        <f t="shared" si="25"/>
        <v>42176.95</v>
      </c>
      <c r="P305" s="18">
        <f>'A) Base RI'!L305</f>
        <v>42176.95</v>
      </c>
      <c r="Q305" s="64">
        <f>'A) Base RI'!AR305</f>
        <v>1</v>
      </c>
      <c r="R305" s="4">
        <f t="shared" si="26"/>
        <v>653857.03999999992</v>
      </c>
      <c r="S305" s="63">
        <f>'A) Base RI'!AM305</f>
        <v>75</v>
      </c>
      <c r="T305" s="4">
        <f t="shared" si="27"/>
        <v>605524.59</v>
      </c>
      <c r="U305" s="4">
        <f t="shared" si="28"/>
        <v>8718.0938666666661</v>
      </c>
      <c r="V305" s="18">
        <v>0</v>
      </c>
      <c r="W305" s="18">
        <f>'A) Base RI'!P305</f>
        <v>6176.5</v>
      </c>
      <c r="X305" s="18">
        <f>'A) Base RI'!R305</f>
        <v>3430</v>
      </c>
      <c r="Y305" s="4">
        <f t="shared" si="29"/>
        <v>9606.5</v>
      </c>
      <c r="Z305" s="18">
        <f>'A) Base RI'!N305</f>
        <v>0</v>
      </c>
      <c r="AA305" s="18">
        <f>'A) Base RI'!S305+'A) Base RI'!T305</f>
        <v>1756</v>
      </c>
      <c r="AB305" s="18">
        <f>'A) Base RI'!U305</f>
        <v>1320</v>
      </c>
      <c r="AC305" s="18">
        <f>'A) Base RI'!V305</f>
        <v>0</v>
      </c>
      <c r="AD305" s="18">
        <f>'A) Base RI'!W305</f>
        <v>0</v>
      </c>
      <c r="AE305" s="18">
        <f>'A) Base RI'!Y305</f>
        <v>2111.1</v>
      </c>
      <c r="AF305" s="18">
        <f>'A) Base RI'!Z305</f>
        <v>0</v>
      </c>
      <c r="AG305" s="18">
        <f>'A) Base RI'!AA305</f>
        <v>79243.850000000006</v>
      </c>
      <c r="AH305" s="18">
        <f>'A) Base RI'!AB305</f>
        <v>0</v>
      </c>
      <c r="AI305" s="18">
        <f>'A) Base RI'!AC305</f>
        <v>31325.15</v>
      </c>
      <c r="AJ305" s="18">
        <f>'A) Base RI'!AD305</f>
        <v>2125</v>
      </c>
      <c r="AK305" s="18">
        <f>'A) Base RI'!AE305</f>
        <v>0</v>
      </c>
      <c r="AL305" s="18">
        <f>'A) Base RI'!AF305</f>
        <v>0</v>
      </c>
      <c r="AM305" s="18">
        <f>'A) Base RI'!AG305</f>
        <v>0</v>
      </c>
      <c r="AN305" s="18">
        <f>'A) Base RI'!AH305</f>
        <v>0</v>
      </c>
      <c r="AO305" s="18">
        <f>'A) Base RI'!AI305</f>
        <v>0</v>
      </c>
      <c r="AP305" s="18">
        <f>'A) Base RI'!AJ305</f>
        <v>0</v>
      </c>
      <c r="AQ305" s="18">
        <f>'A) Base RI'!AK305</f>
        <v>0</v>
      </c>
      <c r="AR305" s="18">
        <f>'A) Base RI'!AN305</f>
        <v>344</v>
      </c>
    </row>
    <row r="306" spans="1:44" x14ac:dyDescent="0.25">
      <c r="A306" s="13">
        <f>'A) Base RI'!A306</f>
        <v>5915</v>
      </c>
      <c r="B306" s="62" t="str">
        <f>'A) Base RI'!B306</f>
        <v>Essert-Pittet</v>
      </c>
      <c r="C306" s="18">
        <f>'A) Base RI'!C306+'A) Base RI'!D306</f>
        <v>251984.95</v>
      </c>
      <c r="D306" s="18">
        <f>'A) Base RI'!AO306</f>
        <v>-17142.52</v>
      </c>
      <c r="E306" s="61">
        <f>'A) Base RI'!AP306</f>
        <v>0</v>
      </c>
      <c r="F306" s="61">
        <f>'A) Base RI'!AQ306</f>
        <v>-11.64</v>
      </c>
      <c r="G306" s="4">
        <f t="shared" si="24"/>
        <v>234830.79</v>
      </c>
      <c r="H306" s="18">
        <f>'A) Base RI'!E306</f>
        <v>0</v>
      </c>
      <c r="I306" s="18">
        <f>'A) Base RI'!F306</f>
        <v>0</v>
      </c>
      <c r="J306" s="18">
        <f>'A) Base RI'!G306+'A) Base RI'!H306</f>
        <v>4747.45</v>
      </c>
      <c r="K306" s="18">
        <f>'A) Base RI'!I306</f>
        <v>0</v>
      </c>
      <c r="L306" s="18">
        <f>'A) Base RI'!J306</f>
        <v>764.8</v>
      </c>
      <c r="M306" s="18">
        <f>'A) Base RI'!K306</f>
        <v>0</v>
      </c>
      <c r="N306" s="18">
        <f>'A) Base RI'!Q306</f>
        <v>0</v>
      </c>
      <c r="O306" s="18">
        <f t="shared" si="25"/>
        <v>19839.588235294119</v>
      </c>
      <c r="P306" s="18">
        <f>'A) Base RI'!L306</f>
        <v>16863.650000000001</v>
      </c>
      <c r="Q306" s="64">
        <f>'A) Base RI'!AR306</f>
        <v>0.85</v>
      </c>
      <c r="R306" s="4">
        <f t="shared" si="26"/>
        <v>260182.62823529413</v>
      </c>
      <c r="S306" s="63">
        <f>'A) Base RI'!AM306</f>
        <v>75</v>
      </c>
      <c r="T306" s="4">
        <f t="shared" si="27"/>
        <v>240343.04000000001</v>
      </c>
      <c r="U306" s="4">
        <f t="shared" si="28"/>
        <v>3469.1017098039219</v>
      </c>
      <c r="V306" s="18">
        <f>'A) Base RI'!O306</f>
        <v>6463.2</v>
      </c>
      <c r="W306" s="18">
        <f>'A) Base RI'!P306</f>
        <v>9614</v>
      </c>
      <c r="X306" s="18">
        <f>'A) Base RI'!R306</f>
        <v>10957.05</v>
      </c>
      <c r="Y306" s="4">
        <f t="shared" si="29"/>
        <v>27034.25</v>
      </c>
      <c r="Z306" s="18">
        <f>'A) Base RI'!N306</f>
        <v>0</v>
      </c>
      <c r="AA306" s="18">
        <f>'A) Base RI'!S306+'A) Base RI'!T306</f>
        <v>0</v>
      </c>
      <c r="AB306" s="18">
        <f>'A) Base RI'!U306</f>
        <v>2150</v>
      </c>
      <c r="AC306" s="18">
        <f>'A) Base RI'!V306</f>
        <v>0</v>
      </c>
      <c r="AD306" s="18">
        <f>'A) Base RI'!W306</f>
        <v>0</v>
      </c>
      <c r="AE306" s="18">
        <f>'A) Base RI'!Y306</f>
        <v>0</v>
      </c>
      <c r="AF306" s="18">
        <f>'A) Base RI'!Z306</f>
        <v>0</v>
      </c>
      <c r="AG306" s="18">
        <f>'A) Base RI'!AA306</f>
        <v>33718.5</v>
      </c>
      <c r="AH306" s="18">
        <f>'A) Base RI'!AB306</f>
        <v>0</v>
      </c>
      <c r="AI306" s="18">
        <f>'A) Base RI'!AC306</f>
        <v>3200.5</v>
      </c>
      <c r="AJ306" s="18">
        <f>'A) Base RI'!AD306</f>
        <v>0</v>
      </c>
      <c r="AK306" s="18">
        <f>'A) Base RI'!AE306</f>
        <v>0</v>
      </c>
      <c r="AL306" s="18">
        <f>'A) Base RI'!AF306</f>
        <v>0</v>
      </c>
      <c r="AM306" s="18">
        <f>'A) Base RI'!AG306</f>
        <v>0</v>
      </c>
      <c r="AN306" s="18">
        <f>'A) Base RI'!AH306</f>
        <v>0</v>
      </c>
      <c r="AO306" s="18">
        <f>'A) Base RI'!AI306</f>
        <v>0</v>
      </c>
      <c r="AP306" s="18">
        <f>'A) Base RI'!AJ306</f>
        <v>0</v>
      </c>
      <c r="AQ306" s="18">
        <f>'A) Base RI'!AK306</f>
        <v>0</v>
      </c>
      <c r="AR306" s="18">
        <f>'A) Base RI'!AN306</f>
        <v>151</v>
      </c>
    </row>
    <row r="307" spans="1:44" x14ac:dyDescent="0.25">
      <c r="A307" s="13">
        <f>'A) Base RI'!A307</f>
        <v>5919</v>
      </c>
      <c r="B307" s="62" t="str">
        <f>'A) Base RI'!B307</f>
        <v>Mathod</v>
      </c>
      <c r="C307" s="18">
        <f>'A) Base RI'!C307+'A) Base RI'!D307</f>
        <v>912439.08</v>
      </c>
      <c r="D307" s="18">
        <f>'A) Base RI'!AO307</f>
        <v>-4576.8500000000004</v>
      </c>
      <c r="E307" s="61">
        <f>'A) Base RI'!AP307</f>
        <v>0</v>
      </c>
      <c r="F307" s="61">
        <f>'A) Base RI'!AQ307</f>
        <v>-98.44</v>
      </c>
      <c r="G307" s="4">
        <f t="shared" si="24"/>
        <v>907763.79</v>
      </c>
      <c r="H307" s="18">
        <f>'A) Base RI'!E307</f>
        <v>0</v>
      </c>
      <c r="I307" s="18">
        <f>'A) Base RI'!F307</f>
        <v>3100</v>
      </c>
      <c r="J307" s="18">
        <f>'A) Base RI'!G307+'A) Base RI'!H307</f>
        <v>70487.549999999988</v>
      </c>
      <c r="K307" s="18">
        <f>'A) Base RI'!I307</f>
        <v>0</v>
      </c>
      <c r="L307" s="18">
        <f>'A) Base RI'!J307</f>
        <v>21843.49</v>
      </c>
      <c r="M307" s="18">
        <f>'A) Base RI'!K307</f>
        <v>1542</v>
      </c>
      <c r="N307" s="18">
        <f>'A) Base RI'!Q307</f>
        <v>0</v>
      </c>
      <c r="O307" s="18">
        <f t="shared" si="25"/>
        <v>82429.375</v>
      </c>
      <c r="P307" s="18">
        <f>'A) Base RI'!L307</f>
        <v>98915.25</v>
      </c>
      <c r="Q307" s="64">
        <f>'A) Base RI'!AR307</f>
        <v>1.2</v>
      </c>
      <c r="R307" s="4">
        <f t="shared" si="26"/>
        <v>1087166.2050000001</v>
      </c>
      <c r="S307" s="63">
        <f>'A) Base RI'!AM307</f>
        <v>74</v>
      </c>
      <c r="T307" s="4">
        <f t="shared" si="27"/>
        <v>1000094.8300000001</v>
      </c>
      <c r="U307" s="4">
        <f t="shared" si="28"/>
        <v>14691.435202702703</v>
      </c>
      <c r="V307" s="18">
        <f>'A) Base RI'!O307</f>
        <v>86072.9</v>
      </c>
      <c r="W307" s="18">
        <f>'A) Base RI'!P307</f>
        <v>11204.9</v>
      </c>
      <c r="X307" s="18">
        <f>'A) Base RI'!R307</f>
        <v>11415.85</v>
      </c>
      <c r="Y307" s="4">
        <f t="shared" si="29"/>
        <v>108693.65</v>
      </c>
      <c r="Z307" s="18">
        <f>'A) Base RI'!N307</f>
        <v>10074.6</v>
      </c>
      <c r="AA307" s="18">
        <f>'A) Base RI'!S307+'A) Base RI'!T307</f>
        <v>1642.5</v>
      </c>
      <c r="AB307" s="18">
        <f>'A) Base RI'!U307</f>
        <v>3850</v>
      </c>
      <c r="AC307" s="18">
        <f>'A) Base RI'!V307</f>
        <v>0</v>
      </c>
      <c r="AD307" s="18">
        <f>'A) Base RI'!W307</f>
        <v>0</v>
      </c>
      <c r="AE307" s="18">
        <f>'A) Base RI'!Y307</f>
        <v>32200</v>
      </c>
      <c r="AF307" s="18">
        <f>'A) Base RI'!Z307</f>
        <v>0</v>
      </c>
      <c r="AG307" s="18">
        <f>'A) Base RI'!AA307</f>
        <v>92231.9</v>
      </c>
      <c r="AH307" s="18">
        <f>'A) Base RI'!AB307</f>
        <v>0</v>
      </c>
      <c r="AI307" s="18">
        <f>'A) Base RI'!AC307</f>
        <v>42058.35</v>
      </c>
      <c r="AJ307" s="18">
        <f>'A) Base RI'!AD307</f>
        <v>8085</v>
      </c>
      <c r="AK307" s="18">
        <f>'A) Base RI'!AE307</f>
        <v>0</v>
      </c>
      <c r="AL307" s="18">
        <f>'A) Base RI'!AF307</f>
        <v>0</v>
      </c>
      <c r="AM307" s="18">
        <f>'A) Base RI'!AG307</f>
        <v>0</v>
      </c>
      <c r="AN307" s="18">
        <f>'A) Base RI'!AH307</f>
        <v>0</v>
      </c>
      <c r="AO307" s="18">
        <f>'A) Base RI'!AI307</f>
        <v>0</v>
      </c>
      <c r="AP307" s="18">
        <f>'A) Base RI'!AJ307</f>
        <v>0</v>
      </c>
      <c r="AQ307" s="18">
        <f>'A) Base RI'!AK307</f>
        <v>0</v>
      </c>
      <c r="AR307" s="18">
        <f>'A) Base RI'!AN307</f>
        <v>552</v>
      </c>
    </row>
    <row r="308" spans="1:44" x14ac:dyDescent="0.25">
      <c r="A308" s="13">
        <f>'A) Base RI'!A308</f>
        <v>5921</v>
      </c>
      <c r="B308" s="62" t="str">
        <f>'A) Base RI'!B308</f>
        <v>Molondin</v>
      </c>
      <c r="C308" s="18">
        <f>'A) Base RI'!C308+'A) Base RI'!D308</f>
        <v>307975.3</v>
      </c>
      <c r="D308" s="18">
        <f>'A) Base RI'!AO308</f>
        <v>-12745.59</v>
      </c>
      <c r="E308" s="61">
        <f>'A) Base RI'!AP308</f>
        <v>0</v>
      </c>
      <c r="F308" s="61">
        <f>'A) Base RI'!AQ308</f>
        <v>0</v>
      </c>
      <c r="G308" s="4">
        <f t="shared" si="24"/>
        <v>295229.70999999996</v>
      </c>
      <c r="H308" s="18">
        <f>'A) Base RI'!E308</f>
        <v>0</v>
      </c>
      <c r="I308" s="18">
        <f>'A) Base RI'!F308</f>
        <v>1340</v>
      </c>
      <c r="J308" s="18">
        <f>'A) Base RI'!G308+'A) Base RI'!H308</f>
        <v>26920.25</v>
      </c>
      <c r="K308" s="18">
        <f>'A) Base RI'!I308</f>
        <v>0</v>
      </c>
      <c r="L308" s="18">
        <f>'A) Base RI'!J308</f>
        <v>28918.53</v>
      </c>
      <c r="M308" s="18">
        <f>'A) Base RI'!K308</f>
        <v>0</v>
      </c>
      <c r="N308" s="18">
        <f>'A) Base RI'!Q308</f>
        <v>273.88</v>
      </c>
      <c r="O308" s="18">
        <f t="shared" si="25"/>
        <v>24950.55</v>
      </c>
      <c r="P308" s="18">
        <f>'A) Base RI'!L308</f>
        <v>24950.55</v>
      </c>
      <c r="Q308" s="64">
        <f>'A) Base RI'!AR308</f>
        <v>1</v>
      </c>
      <c r="R308" s="4">
        <f t="shared" si="26"/>
        <v>377632.92</v>
      </c>
      <c r="S308" s="63">
        <f>'A) Base RI'!AM308</f>
        <v>81</v>
      </c>
      <c r="T308" s="4">
        <f t="shared" si="27"/>
        <v>351342.37</v>
      </c>
      <c r="U308" s="4">
        <f t="shared" si="28"/>
        <v>4662.1348148148145</v>
      </c>
      <c r="V308" s="18">
        <v>0</v>
      </c>
      <c r="W308" s="18">
        <v>0</v>
      </c>
      <c r="X308" s="18">
        <v>0</v>
      </c>
      <c r="Y308" s="4">
        <f t="shared" si="29"/>
        <v>0</v>
      </c>
      <c r="Z308" s="18">
        <f>'A) Base RI'!N308</f>
        <v>3436.8</v>
      </c>
      <c r="AA308" s="18">
        <f>'A) Base RI'!S308+'A) Base RI'!T308</f>
        <v>450</v>
      </c>
      <c r="AB308" s="18">
        <f>'A) Base RI'!U308</f>
        <v>1440</v>
      </c>
      <c r="AC308" s="18">
        <f>'A) Base RI'!V308</f>
        <v>336</v>
      </c>
      <c r="AD308" s="18">
        <f>'A) Base RI'!W308</f>
        <v>0</v>
      </c>
      <c r="AE308" s="18">
        <f>'A) Base RI'!Y308</f>
        <v>1760</v>
      </c>
      <c r="AF308" s="18">
        <f>'A) Base RI'!Z308</f>
        <v>0</v>
      </c>
      <c r="AG308" s="18">
        <f>'A) Base RI'!AA308</f>
        <v>37580</v>
      </c>
      <c r="AH308" s="18">
        <f>'A) Base RI'!AB308</f>
        <v>0</v>
      </c>
      <c r="AI308" s="18">
        <f>'A) Base RI'!AC308</f>
        <v>8840</v>
      </c>
      <c r="AJ308" s="18">
        <f>'A) Base RI'!AD308</f>
        <v>0</v>
      </c>
      <c r="AK308" s="18">
        <f>'A) Base RI'!AE308</f>
        <v>0</v>
      </c>
      <c r="AL308" s="18">
        <f>'A) Base RI'!AF308</f>
        <v>0</v>
      </c>
      <c r="AM308" s="18">
        <f>'A) Base RI'!AG308</f>
        <v>0</v>
      </c>
      <c r="AN308" s="18">
        <f>'A) Base RI'!AH308</f>
        <v>0</v>
      </c>
      <c r="AO308" s="18">
        <f>'A) Base RI'!AI308</f>
        <v>0</v>
      </c>
      <c r="AP308" s="18">
        <f>'A) Base RI'!AJ308</f>
        <v>0</v>
      </c>
      <c r="AQ308" s="18">
        <f>'A) Base RI'!AK308</f>
        <v>0</v>
      </c>
      <c r="AR308" s="18">
        <f>'A) Base RI'!AN308</f>
        <v>228</v>
      </c>
    </row>
    <row r="309" spans="1:44" x14ac:dyDescent="0.25">
      <c r="A309" s="13">
        <f>'A) Base RI'!A309</f>
        <v>5922</v>
      </c>
      <c r="B309" s="62" t="str">
        <f>'A) Base RI'!B309</f>
        <v>Montagny-près-Yverdon</v>
      </c>
      <c r="C309" s="18">
        <f>'A) Base RI'!C309+'A) Base RI'!D309</f>
        <v>1562454.18</v>
      </c>
      <c r="D309" s="18">
        <f>'A) Base RI'!AO309</f>
        <v>-11984.35</v>
      </c>
      <c r="E309" s="61">
        <f>'A) Base RI'!AP309</f>
        <v>0</v>
      </c>
      <c r="F309" s="61">
        <f>'A) Base RI'!AQ309</f>
        <v>-44.41</v>
      </c>
      <c r="G309" s="4">
        <f t="shared" si="24"/>
        <v>1550425.42</v>
      </c>
      <c r="H309" s="18">
        <f>'A) Base RI'!E309</f>
        <v>0</v>
      </c>
      <c r="I309" s="18">
        <f>'A) Base RI'!F309</f>
        <v>0</v>
      </c>
      <c r="J309" s="18">
        <f>'A) Base RI'!G309+'A) Base RI'!H309</f>
        <v>815397.1</v>
      </c>
      <c r="K309" s="18">
        <f>'A) Base RI'!I309</f>
        <v>37872.15</v>
      </c>
      <c r="L309" s="18">
        <f>'A) Base RI'!J309</f>
        <v>57666.879999999997</v>
      </c>
      <c r="M309" s="18">
        <f>'A) Base RI'!K309</f>
        <v>34929</v>
      </c>
      <c r="N309" s="18">
        <f>'A) Base RI'!Q309</f>
        <v>1121.44</v>
      </c>
      <c r="O309" s="18">
        <f t="shared" si="25"/>
        <v>292788</v>
      </c>
      <c r="P309" s="18">
        <f>'A) Base RI'!L309</f>
        <v>234230.39999999999</v>
      </c>
      <c r="Q309" s="64">
        <f>'A) Base RI'!AR309</f>
        <v>0.8</v>
      </c>
      <c r="R309" s="4">
        <f t="shared" si="26"/>
        <v>2790199.9899999998</v>
      </c>
      <c r="S309" s="63">
        <f>'A) Base RI'!AM309</f>
        <v>61</v>
      </c>
      <c r="T309" s="4">
        <f t="shared" si="27"/>
        <v>2462482.9899999998</v>
      </c>
      <c r="U309" s="4">
        <f t="shared" si="28"/>
        <v>45740.98344262295</v>
      </c>
      <c r="V309" s="18">
        <f>'A) Base RI'!O309</f>
        <v>58899.7</v>
      </c>
      <c r="W309" s="18">
        <f>'A) Base RI'!P309</f>
        <v>30094.5</v>
      </c>
      <c r="X309" s="18">
        <f>'A) Base RI'!R309</f>
        <v>39410.050000000003</v>
      </c>
      <c r="Y309" s="4">
        <f t="shared" si="29"/>
        <v>128404.25</v>
      </c>
      <c r="Z309" s="18">
        <f>'A) Base RI'!N309</f>
        <v>174125.75</v>
      </c>
      <c r="AA309" s="18">
        <f>'A) Base RI'!S309+'A) Base RI'!T309</f>
        <v>64794.6</v>
      </c>
      <c r="AB309" s="18">
        <f>'A) Base RI'!U309</f>
        <v>1520</v>
      </c>
      <c r="AC309" s="18">
        <f>'A) Base RI'!V309</f>
        <v>68.25</v>
      </c>
      <c r="AD309" s="18">
        <f>'A) Base RI'!W309</f>
        <v>1121</v>
      </c>
      <c r="AE309" s="18">
        <f>'A) Base RI'!Y309</f>
        <v>16376</v>
      </c>
      <c r="AF309" s="18">
        <f>'A) Base RI'!Z309</f>
        <v>0</v>
      </c>
      <c r="AG309" s="18">
        <f>'A) Base RI'!AA309</f>
        <v>115592.2</v>
      </c>
      <c r="AH309" s="18">
        <f>'A) Base RI'!AB309</f>
        <v>0</v>
      </c>
      <c r="AI309" s="18">
        <f>'A) Base RI'!AC309</f>
        <v>117567.95</v>
      </c>
      <c r="AJ309" s="18">
        <f>'A) Base RI'!AD309</f>
        <v>15019.75</v>
      </c>
      <c r="AK309" s="18">
        <f>'A) Base RI'!AE309</f>
        <v>0</v>
      </c>
      <c r="AL309" s="18">
        <f>'A) Base RI'!AF309</f>
        <v>0</v>
      </c>
      <c r="AM309" s="18">
        <f>'A) Base RI'!AG309</f>
        <v>3778.7</v>
      </c>
      <c r="AN309" s="18">
        <f>'A) Base RI'!AH309</f>
        <v>102585.35</v>
      </c>
      <c r="AO309" s="18">
        <f>'A) Base RI'!AI309</f>
        <v>0</v>
      </c>
      <c r="AP309" s="18">
        <f>'A) Base RI'!AJ309</f>
        <v>0</v>
      </c>
      <c r="AQ309" s="18">
        <f>'A) Base RI'!AK309</f>
        <v>0</v>
      </c>
      <c r="AR309" s="18">
        <f>'A) Base RI'!AN309</f>
        <v>725</v>
      </c>
    </row>
    <row r="310" spans="1:44" x14ac:dyDescent="0.25">
      <c r="A310" s="13">
        <f>'A) Base RI'!A310</f>
        <v>5923</v>
      </c>
      <c r="B310" s="62" t="str">
        <f>'A) Base RI'!B310</f>
        <v>Oppens</v>
      </c>
      <c r="C310" s="18">
        <f>'A) Base RI'!C310+'A) Base RI'!D310</f>
        <v>311171.82999999996</v>
      </c>
      <c r="D310" s="18">
        <f>'A) Base RI'!AO310</f>
        <v>-35.58</v>
      </c>
      <c r="E310" s="61">
        <f>'A) Base RI'!AP310</f>
        <v>0</v>
      </c>
      <c r="F310" s="61">
        <f>'A) Base RI'!AQ310</f>
        <v>-21.76</v>
      </c>
      <c r="G310" s="4">
        <f t="shared" si="24"/>
        <v>311114.48999999993</v>
      </c>
      <c r="H310" s="18">
        <f>'A) Base RI'!E310</f>
        <v>0</v>
      </c>
      <c r="I310" s="18">
        <f>'A) Base RI'!F310</f>
        <v>0</v>
      </c>
      <c r="J310" s="18">
        <f>'A) Base RI'!G310+'A) Base RI'!H310</f>
        <v>12054.949999999999</v>
      </c>
      <c r="K310" s="18">
        <f>'A) Base RI'!I310</f>
        <v>0</v>
      </c>
      <c r="L310" s="18">
        <f>'A) Base RI'!J310</f>
        <v>17260.87</v>
      </c>
      <c r="M310" s="18">
        <f>'A) Base RI'!K310</f>
        <v>0</v>
      </c>
      <c r="N310" s="18">
        <f>'A) Base RI'!Q310</f>
        <v>0</v>
      </c>
      <c r="O310" s="18">
        <f t="shared" si="25"/>
        <v>21709.4</v>
      </c>
      <c r="P310" s="18">
        <f>'A) Base RI'!L310</f>
        <v>21709.4</v>
      </c>
      <c r="Q310" s="64">
        <f>'A) Base RI'!AR310</f>
        <v>1</v>
      </c>
      <c r="R310" s="4">
        <f t="shared" si="26"/>
        <v>362139.70999999996</v>
      </c>
      <c r="S310" s="63">
        <f>'A) Base RI'!AM310</f>
        <v>81</v>
      </c>
      <c r="T310" s="4">
        <f t="shared" si="27"/>
        <v>340430.30999999994</v>
      </c>
      <c r="U310" s="4">
        <f t="shared" si="28"/>
        <v>4470.86061728395</v>
      </c>
      <c r="V310" s="18">
        <f>'A) Base RI'!O310</f>
        <v>2513.1999999999998</v>
      </c>
      <c r="W310" s="18">
        <f>'A) Base RI'!P310</f>
        <v>2696.65</v>
      </c>
      <c r="X310" s="18">
        <f>'A) Base RI'!R310</f>
        <v>6032.2</v>
      </c>
      <c r="Y310" s="4">
        <f t="shared" si="29"/>
        <v>11242.05</v>
      </c>
      <c r="Z310" s="18">
        <f>'A) Base RI'!N310</f>
        <v>10209.25</v>
      </c>
      <c r="AA310" s="18">
        <f>'A) Base RI'!S310+'A) Base RI'!T310</f>
        <v>0</v>
      </c>
      <c r="AB310" s="18">
        <f>'A) Base RI'!U310</f>
        <v>1530</v>
      </c>
      <c r="AC310" s="18">
        <f>'A) Base RI'!V310</f>
        <v>0</v>
      </c>
      <c r="AD310" s="18">
        <f>'A) Base RI'!W310</f>
        <v>0</v>
      </c>
      <c r="AE310" s="18">
        <f>'A) Base RI'!Y310</f>
        <v>0</v>
      </c>
      <c r="AF310" s="18">
        <f>'A) Base RI'!Z310</f>
        <v>0</v>
      </c>
      <c r="AG310" s="18">
        <f>'A) Base RI'!AA310</f>
        <v>44017.5</v>
      </c>
      <c r="AH310" s="18">
        <f>'A) Base RI'!AB310</f>
        <v>0</v>
      </c>
      <c r="AI310" s="18">
        <f>'A) Base RI'!AC310</f>
        <v>11686.7</v>
      </c>
      <c r="AJ310" s="18">
        <f>'A) Base RI'!AD310</f>
        <v>0</v>
      </c>
      <c r="AK310" s="18">
        <f>'A) Base RI'!AE310</f>
        <v>0</v>
      </c>
      <c r="AL310" s="18">
        <f>'A) Base RI'!AF310</f>
        <v>0</v>
      </c>
      <c r="AM310" s="18">
        <f>'A) Base RI'!AG310</f>
        <v>0</v>
      </c>
      <c r="AN310" s="18">
        <f>'A) Base RI'!AH310</f>
        <v>0</v>
      </c>
      <c r="AO310" s="18">
        <f>'A) Base RI'!AI310</f>
        <v>0</v>
      </c>
      <c r="AP310" s="18">
        <f>'A) Base RI'!AJ310</f>
        <v>0</v>
      </c>
      <c r="AQ310" s="18">
        <f>'A) Base RI'!AK310</f>
        <v>0</v>
      </c>
      <c r="AR310" s="18">
        <f>'A) Base RI'!AN310</f>
        <v>176</v>
      </c>
    </row>
    <row r="311" spans="1:44" x14ac:dyDescent="0.25">
      <c r="A311" s="13">
        <f>'A) Base RI'!A311</f>
        <v>5924</v>
      </c>
      <c r="B311" s="62" t="str">
        <f>'A) Base RI'!B311</f>
        <v>Orges</v>
      </c>
      <c r="C311" s="18">
        <f>'A) Base RI'!C311+'A) Base RI'!D311</f>
        <v>512015.18000000005</v>
      </c>
      <c r="D311" s="18">
        <f>'A) Base RI'!AO311</f>
        <v>-6613.52</v>
      </c>
      <c r="E311" s="61">
        <f>'A) Base RI'!AP311</f>
        <v>0</v>
      </c>
      <c r="F311" s="61">
        <f>'A) Base RI'!AQ311</f>
        <v>0</v>
      </c>
      <c r="G311" s="4">
        <f t="shared" si="24"/>
        <v>505401.66000000003</v>
      </c>
      <c r="H311" s="18">
        <f>'A) Base RI'!E311</f>
        <v>0</v>
      </c>
      <c r="I311" s="18">
        <f>'A) Base RI'!F311</f>
        <v>0</v>
      </c>
      <c r="J311" s="18">
        <f>'A) Base RI'!G311+'A) Base RI'!H311</f>
        <v>16128.6</v>
      </c>
      <c r="K311" s="18">
        <f>'A) Base RI'!I311</f>
        <v>0</v>
      </c>
      <c r="L311" s="18">
        <f>'A) Base RI'!J311</f>
        <v>14784.69</v>
      </c>
      <c r="M311" s="18">
        <f>'A) Base RI'!K311</f>
        <v>0</v>
      </c>
      <c r="N311" s="18">
        <f>'A) Base RI'!Q311</f>
        <v>156.94999999999999</v>
      </c>
      <c r="O311" s="18">
        <f t="shared" si="25"/>
        <v>39724</v>
      </c>
      <c r="P311" s="18">
        <f>'A) Base RI'!L311</f>
        <v>39724</v>
      </c>
      <c r="Q311" s="64">
        <f>'A) Base RI'!AR311</f>
        <v>1</v>
      </c>
      <c r="R311" s="4">
        <f t="shared" si="26"/>
        <v>576195.89999999991</v>
      </c>
      <c r="S311" s="63">
        <f>'A) Base RI'!AM311</f>
        <v>74</v>
      </c>
      <c r="T311" s="4">
        <f t="shared" si="27"/>
        <v>536471.89999999991</v>
      </c>
      <c r="U311" s="4">
        <f t="shared" si="28"/>
        <v>7786.4310810810803</v>
      </c>
      <c r="V311" s="18">
        <v>0</v>
      </c>
      <c r="W311" s="18">
        <f>'A) Base RI'!P311</f>
        <v>15994</v>
      </c>
      <c r="X311" s="18">
        <f>'A) Base RI'!R311</f>
        <v>12563.85</v>
      </c>
      <c r="Y311" s="4">
        <f t="shared" si="29"/>
        <v>28557.85</v>
      </c>
      <c r="Z311" s="18">
        <f>'A) Base RI'!N311</f>
        <v>15308.95</v>
      </c>
      <c r="AA311" s="18">
        <f>'A) Base RI'!S311+'A) Base RI'!T311</f>
        <v>1190</v>
      </c>
      <c r="AB311" s="18">
        <f>'A) Base RI'!U311</f>
        <v>2700</v>
      </c>
      <c r="AC311" s="18">
        <f>'A) Base RI'!V311</f>
        <v>0</v>
      </c>
      <c r="AD311" s="18">
        <f>'A) Base RI'!W311</f>
        <v>0</v>
      </c>
      <c r="AE311" s="18">
        <f>'A) Base RI'!Y311</f>
        <v>18324</v>
      </c>
      <c r="AF311" s="18">
        <f>'A) Base RI'!Z311</f>
        <v>16165.4</v>
      </c>
      <c r="AG311" s="18">
        <f>'A) Base RI'!AA311</f>
        <v>12386</v>
      </c>
      <c r="AH311" s="18">
        <f>'A) Base RI'!AB311</f>
        <v>9162</v>
      </c>
      <c r="AI311" s="18">
        <f>'A) Base RI'!AC311</f>
        <v>0</v>
      </c>
      <c r="AJ311" s="18">
        <f>'A) Base RI'!AD311</f>
        <v>0</v>
      </c>
      <c r="AK311" s="18">
        <f>'A) Base RI'!AE311</f>
        <v>0</v>
      </c>
      <c r="AL311" s="18">
        <f>'A) Base RI'!AF311</f>
        <v>0</v>
      </c>
      <c r="AM311" s="18">
        <f>'A) Base RI'!AG311</f>
        <v>1988.4</v>
      </c>
      <c r="AN311" s="18">
        <f>'A) Base RI'!AH311</f>
        <v>0</v>
      </c>
      <c r="AO311" s="18">
        <f>'A) Base RI'!AI311</f>
        <v>0</v>
      </c>
      <c r="AP311" s="18">
        <f>'A) Base RI'!AJ311</f>
        <v>0</v>
      </c>
      <c r="AQ311" s="18">
        <f>'A) Base RI'!AK311</f>
        <v>0</v>
      </c>
      <c r="AR311" s="18">
        <f>'A) Base RI'!AN311</f>
        <v>274</v>
      </c>
    </row>
    <row r="312" spans="1:44" x14ac:dyDescent="0.25">
      <c r="A312" s="13">
        <f>'A) Base RI'!A312</f>
        <v>5925</v>
      </c>
      <c r="B312" s="62" t="str">
        <f>'A) Base RI'!B312</f>
        <v>Orzens</v>
      </c>
      <c r="C312" s="18">
        <f>'A) Base RI'!C312+'A) Base RI'!D312</f>
        <v>363752.69</v>
      </c>
      <c r="D312" s="18">
        <f>'A) Base RI'!AO312</f>
        <v>-2456.9299999999998</v>
      </c>
      <c r="E312" s="61">
        <f>'A) Base RI'!AP312</f>
        <v>0</v>
      </c>
      <c r="F312" s="61">
        <f>'A) Base RI'!AQ312</f>
        <v>0</v>
      </c>
      <c r="G312" s="4">
        <f t="shared" si="24"/>
        <v>361295.76</v>
      </c>
      <c r="H312" s="18">
        <f>'A) Base RI'!E312</f>
        <v>0</v>
      </c>
      <c r="I312" s="18">
        <f>'A) Base RI'!F312</f>
        <v>1150</v>
      </c>
      <c r="J312" s="18">
        <f>'A) Base RI'!G312+'A) Base RI'!H312</f>
        <v>9745.6</v>
      </c>
      <c r="K312" s="18">
        <f>'A) Base RI'!I312</f>
        <v>0</v>
      </c>
      <c r="L312" s="18">
        <f>'A) Base RI'!J312</f>
        <v>2666.63</v>
      </c>
      <c r="M312" s="18">
        <f>'A) Base RI'!K312</f>
        <v>0</v>
      </c>
      <c r="N312" s="18">
        <f>'A) Base RI'!Q312</f>
        <v>0</v>
      </c>
      <c r="O312" s="18">
        <f t="shared" si="25"/>
        <v>25671.8</v>
      </c>
      <c r="P312" s="18">
        <f>'A) Base RI'!L312</f>
        <v>25671.8</v>
      </c>
      <c r="Q312" s="64">
        <f>'A) Base RI'!AR312</f>
        <v>1</v>
      </c>
      <c r="R312" s="4">
        <f t="shared" si="26"/>
        <v>400529.79</v>
      </c>
      <c r="S312" s="63">
        <f>'A) Base RI'!AM312</f>
        <v>79</v>
      </c>
      <c r="T312" s="4">
        <f t="shared" si="27"/>
        <v>373707.99</v>
      </c>
      <c r="U312" s="4">
        <f t="shared" si="28"/>
        <v>5069.9973417721512</v>
      </c>
      <c r="V312" s="18">
        <f>'A) Base RI'!O312</f>
        <v>0</v>
      </c>
      <c r="W312" s="18">
        <f>'A) Base RI'!P312</f>
        <v>0</v>
      </c>
      <c r="X312" s="18">
        <f>'A) Base RI'!R312</f>
        <v>0</v>
      </c>
      <c r="Y312" s="4">
        <f t="shared" si="29"/>
        <v>0</v>
      </c>
      <c r="Z312" s="18">
        <f>'A) Base RI'!N312</f>
        <v>0</v>
      </c>
      <c r="AA312" s="18">
        <f>'A) Base RI'!S312+'A) Base RI'!T312</f>
        <v>60</v>
      </c>
      <c r="AB312" s="18">
        <f>'A) Base RI'!U312</f>
        <v>1720</v>
      </c>
      <c r="AC312" s="18">
        <f>'A) Base RI'!V312</f>
        <v>0</v>
      </c>
      <c r="AD312" s="18">
        <f>'A) Base RI'!W312</f>
        <v>0</v>
      </c>
      <c r="AE312" s="18">
        <f>'A) Base RI'!Y312</f>
        <v>6300</v>
      </c>
      <c r="AF312" s="18">
        <f>'A) Base RI'!Z312</f>
        <v>0</v>
      </c>
      <c r="AG312" s="18">
        <f>'A) Base RI'!AA312</f>
        <v>37414</v>
      </c>
      <c r="AH312" s="18">
        <f>'A) Base RI'!AB312</f>
        <v>0</v>
      </c>
      <c r="AI312" s="18">
        <f>'A) Base RI'!AC312</f>
        <v>13180.8</v>
      </c>
      <c r="AJ312" s="18">
        <f>'A) Base RI'!AD312</f>
        <v>3700</v>
      </c>
      <c r="AK312" s="18">
        <f>'A) Base RI'!AE312</f>
        <v>0</v>
      </c>
      <c r="AL312" s="18">
        <f>'A) Base RI'!AF312</f>
        <v>0</v>
      </c>
      <c r="AM312" s="18">
        <f>'A) Base RI'!AG312</f>
        <v>0</v>
      </c>
      <c r="AN312" s="18">
        <f>'A) Base RI'!AH312</f>
        <v>0</v>
      </c>
      <c r="AO312" s="18">
        <f>'A) Base RI'!AI312</f>
        <v>0</v>
      </c>
      <c r="AP312" s="18">
        <f>'A) Base RI'!AJ312</f>
        <v>0</v>
      </c>
      <c r="AQ312" s="18">
        <f>'A) Base RI'!AK312</f>
        <v>0</v>
      </c>
      <c r="AR312" s="18">
        <f>'A) Base RI'!AN312</f>
        <v>197</v>
      </c>
    </row>
    <row r="313" spans="1:44" x14ac:dyDescent="0.25">
      <c r="A313" s="13">
        <f>'A) Base RI'!A313</f>
        <v>5926</v>
      </c>
      <c r="B313" s="62" t="str">
        <f>'A) Base RI'!B313</f>
        <v>Pomy</v>
      </c>
      <c r="C313" s="18">
        <f>'A) Base RI'!C313+'A) Base RI'!D313</f>
        <v>1399084.97</v>
      </c>
      <c r="D313" s="18">
        <f>'A) Base RI'!AO313</f>
        <v>-5612.53</v>
      </c>
      <c r="E313" s="61">
        <f>'A) Base RI'!AP313</f>
        <v>0</v>
      </c>
      <c r="F313" s="61">
        <f>'A) Base RI'!AQ313</f>
        <v>-12.81</v>
      </c>
      <c r="G313" s="4">
        <f t="shared" si="24"/>
        <v>1393459.63</v>
      </c>
      <c r="H313" s="18">
        <f>'A) Base RI'!E313</f>
        <v>0</v>
      </c>
      <c r="I313" s="18">
        <f>'A) Base RI'!F313</f>
        <v>0</v>
      </c>
      <c r="J313" s="18">
        <f>'A) Base RI'!G313+'A) Base RI'!H313</f>
        <v>61159.95</v>
      </c>
      <c r="K313" s="18">
        <f>'A) Base RI'!I313</f>
        <v>0</v>
      </c>
      <c r="L313" s="18">
        <f>'A) Base RI'!J313</f>
        <v>14589.68</v>
      </c>
      <c r="M313" s="18">
        <f>'A) Base RI'!K313</f>
        <v>0</v>
      </c>
      <c r="N313" s="18">
        <f>'A) Base RI'!Q313</f>
        <v>3441.55</v>
      </c>
      <c r="O313" s="18">
        <f t="shared" si="25"/>
        <v>97650</v>
      </c>
      <c r="P313" s="18">
        <f>'A) Base RI'!L313</f>
        <v>97650</v>
      </c>
      <c r="Q313" s="64">
        <f>'A) Base RI'!AR313</f>
        <v>1</v>
      </c>
      <c r="R313" s="4">
        <f t="shared" si="26"/>
        <v>1570300.8099999998</v>
      </c>
      <c r="S313" s="63">
        <f>'A) Base RI'!AM313</f>
        <v>71</v>
      </c>
      <c r="T313" s="4">
        <f t="shared" si="27"/>
        <v>1472650.8099999998</v>
      </c>
      <c r="U313" s="4">
        <f t="shared" si="28"/>
        <v>22116.912816901407</v>
      </c>
      <c r="V313" s="18">
        <f>'A) Base RI'!O313</f>
        <v>22523.8</v>
      </c>
      <c r="W313" s="18">
        <f>'A) Base RI'!P313</f>
        <v>36850.35</v>
      </c>
      <c r="X313" s="18">
        <f>'A) Base RI'!R313</f>
        <v>30689.35</v>
      </c>
      <c r="Y313" s="4">
        <f t="shared" si="29"/>
        <v>90063.5</v>
      </c>
      <c r="Z313" s="18">
        <f>'A) Base RI'!N313</f>
        <v>6559.65</v>
      </c>
      <c r="AA313" s="18">
        <f>'A) Base RI'!S313+'A) Base RI'!T313</f>
        <v>1257.5</v>
      </c>
      <c r="AB313" s="18">
        <f>'A) Base RI'!U313</f>
        <v>5450</v>
      </c>
      <c r="AC313" s="18">
        <f>'A) Base RI'!V313</f>
        <v>120</v>
      </c>
      <c r="AD313" s="18">
        <f>'A) Base RI'!W313</f>
        <v>0</v>
      </c>
      <c r="AE313" s="18">
        <f>'A) Base RI'!Y313</f>
        <v>66616</v>
      </c>
      <c r="AF313" s="18">
        <f>'A) Base RI'!Z313</f>
        <v>0</v>
      </c>
      <c r="AG313" s="18">
        <f>'A) Base RI'!AA313</f>
        <v>0</v>
      </c>
      <c r="AH313" s="18">
        <f>'A) Base RI'!AB313</f>
        <v>0</v>
      </c>
      <c r="AI313" s="18">
        <f>'A) Base RI'!AC313</f>
        <v>25979.9</v>
      </c>
      <c r="AJ313" s="18">
        <f>'A) Base RI'!AD313</f>
        <v>66516</v>
      </c>
      <c r="AK313" s="18">
        <f>'A) Base RI'!AE313</f>
        <v>5325</v>
      </c>
      <c r="AL313" s="18">
        <f>'A) Base RI'!AF313</f>
        <v>0</v>
      </c>
      <c r="AM313" s="18">
        <f>'A) Base RI'!AG313</f>
        <v>0</v>
      </c>
      <c r="AN313" s="18">
        <f>'A) Base RI'!AH313</f>
        <v>0</v>
      </c>
      <c r="AO313" s="18">
        <f>'A) Base RI'!AI313</f>
        <v>0</v>
      </c>
      <c r="AP313" s="18">
        <f>'A) Base RI'!AJ313</f>
        <v>0</v>
      </c>
      <c r="AQ313" s="18">
        <f>'A) Base RI'!AK313</f>
        <v>0</v>
      </c>
      <c r="AR313" s="18">
        <f>'A) Base RI'!AN313</f>
        <v>735</v>
      </c>
    </row>
    <row r="314" spans="1:44" x14ac:dyDescent="0.25">
      <c r="A314" s="13">
        <f>'A) Base RI'!A314</f>
        <v>5928</v>
      </c>
      <c r="B314" s="62" t="str">
        <f>'A) Base RI'!B314</f>
        <v>Rovray</v>
      </c>
      <c r="C314" s="18">
        <f>'A) Base RI'!C314+'A) Base RI'!D314</f>
        <v>288355.25</v>
      </c>
      <c r="D314" s="18">
        <f>'A) Base RI'!AO314</f>
        <v>-5375.05</v>
      </c>
      <c r="E314" s="61">
        <f>'A) Base RI'!AP314</f>
        <v>0</v>
      </c>
      <c r="F314" s="61">
        <f>'A) Base RI'!AQ314</f>
        <v>0</v>
      </c>
      <c r="G314" s="4">
        <f t="shared" si="24"/>
        <v>282980.2</v>
      </c>
      <c r="H314" s="18">
        <f>'A) Base RI'!E314</f>
        <v>0</v>
      </c>
      <c r="I314" s="18">
        <f>'A) Base RI'!F314</f>
        <v>0</v>
      </c>
      <c r="J314" s="18">
        <f>'A) Base RI'!G314+'A) Base RI'!H314</f>
        <v>1583.75</v>
      </c>
      <c r="K314" s="18">
        <f>'A) Base RI'!I314</f>
        <v>0</v>
      </c>
      <c r="L314" s="18">
        <f>'A) Base RI'!J314</f>
        <v>6741</v>
      </c>
      <c r="M314" s="18">
        <f>'A) Base RI'!K314</f>
        <v>0</v>
      </c>
      <c r="N314" s="18">
        <f>'A) Base RI'!Q314</f>
        <v>0</v>
      </c>
      <c r="O314" s="18">
        <f t="shared" si="25"/>
        <v>16812.8</v>
      </c>
      <c r="P314" s="18">
        <f>'A) Base RI'!L314</f>
        <v>16812.8</v>
      </c>
      <c r="Q314" s="64">
        <f>'A) Base RI'!AR314</f>
        <v>1</v>
      </c>
      <c r="R314" s="4">
        <f t="shared" si="26"/>
        <v>308117.75</v>
      </c>
      <c r="S314" s="63">
        <f>'A) Base RI'!AM314</f>
        <v>75</v>
      </c>
      <c r="T314" s="4">
        <f t="shared" si="27"/>
        <v>291304.95</v>
      </c>
      <c r="U314" s="4">
        <f t="shared" si="28"/>
        <v>4108.2366666666667</v>
      </c>
      <c r="V314" s="18">
        <v>0</v>
      </c>
      <c r="W314" s="18">
        <f>'A) Base RI'!P314</f>
        <v>1897.5</v>
      </c>
      <c r="X314" s="18">
        <f>'A) Base RI'!R314</f>
        <v>16123.15</v>
      </c>
      <c r="Y314" s="4">
        <f t="shared" si="29"/>
        <v>18020.650000000001</v>
      </c>
      <c r="Z314" s="18">
        <f>'A) Base RI'!N314</f>
        <v>0</v>
      </c>
      <c r="AA314" s="18">
        <f>'A) Base RI'!S314+'A) Base RI'!T314</f>
        <v>0</v>
      </c>
      <c r="AB314" s="18">
        <f>'A) Base RI'!U314</f>
        <v>1020</v>
      </c>
      <c r="AC314" s="18">
        <f>'A) Base RI'!V314</f>
        <v>0</v>
      </c>
      <c r="AD314" s="18">
        <f>'A) Base RI'!W314</f>
        <v>0</v>
      </c>
      <c r="AE314" s="18">
        <f>'A) Base RI'!Y314</f>
        <v>1369.2</v>
      </c>
      <c r="AF314" s="18">
        <f>'A) Base RI'!Z314</f>
        <v>0</v>
      </c>
      <c r="AG314" s="18">
        <f>'A) Base RI'!AA314</f>
        <v>27941.7</v>
      </c>
      <c r="AH314" s="18">
        <f>'A) Base RI'!AB314</f>
        <v>0</v>
      </c>
      <c r="AI314" s="18">
        <f>'A) Base RI'!AC314</f>
        <v>7686.3</v>
      </c>
      <c r="AJ314" s="18">
        <f>'A) Base RI'!AD314</f>
        <v>0</v>
      </c>
      <c r="AK314" s="18">
        <f>'A) Base RI'!AE314</f>
        <v>0</v>
      </c>
      <c r="AL314" s="18">
        <f>'A) Base RI'!AF314</f>
        <v>0</v>
      </c>
      <c r="AM314" s="18">
        <f>'A) Base RI'!AG314</f>
        <v>0</v>
      </c>
      <c r="AN314" s="18">
        <f>'A) Base RI'!AH314</f>
        <v>0</v>
      </c>
      <c r="AO314" s="18">
        <f>'A) Base RI'!AI314</f>
        <v>0</v>
      </c>
      <c r="AP314" s="18">
        <f>'A) Base RI'!AJ314</f>
        <v>0</v>
      </c>
      <c r="AQ314" s="18">
        <f>'A) Base RI'!AK314</f>
        <v>0</v>
      </c>
      <c r="AR314" s="18">
        <f>'A) Base RI'!AN314</f>
        <v>165</v>
      </c>
    </row>
    <row r="315" spans="1:44" x14ac:dyDescent="0.25">
      <c r="A315" s="13">
        <f>'A) Base RI'!A315</f>
        <v>5929</v>
      </c>
      <c r="B315" s="62" t="str">
        <f>'A) Base RI'!B315</f>
        <v>Suchy</v>
      </c>
      <c r="C315" s="18">
        <f>'A) Base RI'!C315+'A) Base RI'!D315</f>
        <v>885241.44</v>
      </c>
      <c r="D315" s="18">
        <f>'A) Base RI'!AO315</f>
        <v>-822.45</v>
      </c>
      <c r="E315" s="61">
        <f>'A) Base RI'!AP315</f>
        <v>0</v>
      </c>
      <c r="F315" s="61">
        <f>'A) Base RI'!AQ315</f>
        <v>-0.05</v>
      </c>
      <c r="G315" s="4">
        <f t="shared" si="24"/>
        <v>884418.94</v>
      </c>
      <c r="H315" s="18">
        <f>'A) Base RI'!E315</f>
        <v>0</v>
      </c>
      <c r="I315" s="18">
        <f>'A) Base RI'!F315</f>
        <v>0</v>
      </c>
      <c r="J315" s="18">
        <f>'A) Base RI'!G315+'A) Base RI'!H315</f>
        <v>65043.350000000006</v>
      </c>
      <c r="K315" s="18">
        <f>'A) Base RI'!I315</f>
        <v>48987.9</v>
      </c>
      <c r="L315" s="18">
        <f>'A) Base RI'!J315</f>
        <v>24065.15</v>
      </c>
      <c r="M315" s="18">
        <f>'A) Base RI'!K315</f>
        <v>0</v>
      </c>
      <c r="N315" s="18">
        <f>'A) Base RI'!Q315</f>
        <v>0</v>
      </c>
      <c r="O315" s="18">
        <f t="shared" si="25"/>
        <v>77116.583333333328</v>
      </c>
      <c r="P315" s="18">
        <f>'A) Base RI'!L315</f>
        <v>46269.95</v>
      </c>
      <c r="Q315" s="64">
        <f>'A) Base RI'!AR315</f>
        <v>0.6</v>
      </c>
      <c r="R315" s="4">
        <f t="shared" si="26"/>
        <v>1099631.9233333333</v>
      </c>
      <c r="S315" s="63">
        <f>'A) Base RI'!AM315</f>
        <v>68</v>
      </c>
      <c r="T315" s="4">
        <f t="shared" si="27"/>
        <v>1022515.34</v>
      </c>
      <c r="U315" s="4">
        <f t="shared" si="28"/>
        <v>16171.057696078431</v>
      </c>
      <c r="V315" s="18">
        <v>0</v>
      </c>
      <c r="W315" s="18">
        <f>'A) Base RI'!P315</f>
        <v>27675.599999999999</v>
      </c>
      <c r="X315" s="18">
        <f>'A) Base RI'!R315</f>
        <v>-13108.35</v>
      </c>
      <c r="Y315" s="4">
        <f t="shared" si="29"/>
        <v>14567.249999999998</v>
      </c>
      <c r="Z315" s="18">
        <f>'A) Base RI'!N315</f>
        <v>13489.85</v>
      </c>
      <c r="AA315" s="18">
        <f>'A) Base RI'!S315+'A) Base RI'!T315</f>
        <v>62.5</v>
      </c>
      <c r="AB315" s="18">
        <f>'A) Base RI'!U315</f>
        <v>1680</v>
      </c>
      <c r="AC315" s="18">
        <f>'A) Base RI'!V315</f>
        <v>0</v>
      </c>
      <c r="AD315" s="18">
        <f>'A) Base RI'!W315</f>
        <v>0</v>
      </c>
      <c r="AE315" s="18">
        <f>'A) Base RI'!Y315</f>
        <v>34209.65</v>
      </c>
      <c r="AF315" s="18">
        <f>'A) Base RI'!Z315</f>
        <v>0</v>
      </c>
      <c r="AG315" s="18">
        <f>'A) Base RI'!AA315</f>
        <v>165309.1</v>
      </c>
      <c r="AH315" s="18">
        <f>'A) Base RI'!AB315</f>
        <v>0</v>
      </c>
      <c r="AI315" s="18">
        <f>'A) Base RI'!AC315</f>
        <v>38644.699999999997</v>
      </c>
      <c r="AJ315" s="18">
        <f>'A) Base RI'!AD315</f>
        <v>0</v>
      </c>
      <c r="AK315" s="18">
        <f>'A) Base RI'!AE315</f>
        <v>0</v>
      </c>
      <c r="AL315" s="18">
        <f>'A) Base RI'!AF315</f>
        <v>0</v>
      </c>
      <c r="AM315" s="18">
        <f>'A) Base RI'!AG315</f>
        <v>0</v>
      </c>
      <c r="AN315" s="18">
        <f>'A) Base RI'!AH315</f>
        <v>10239.1</v>
      </c>
      <c r="AO315" s="18">
        <f>'A) Base RI'!AI315</f>
        <v>0</v>
      </c>
      <c r="AP315" s="18">
        <f>'A) Base RI'!AJ315</f>
        <v>0</v>
      </c>
      <c r="AQ315" s="18">
        <f>'A) Base RI'!AK315</f>
        <v>0</v>
      </c>
      <c r="AR315" s="18">
        <f>'A) Base RI'!AN315</f>
        <v>525</v>
      </c>
    </row>
    <row r="316" spans="1:44" x14ac:dyDescent="0.25">
      <c r="A316" s="13">
        <f>'A) Base RI'!A316</f>
        <v>5930</v>
      </c>
      <c r="B316" s="62" t="str">
        <f>'A) Base RI'!B316</f>
        <v>Suscévaz</v>
      </c>
      <c r="C316" s="18">
        <f>'A) Base RI'!C316+'A) Base RI'!D316</f>
        <v>298343.3</v>
      </c>
      <c r="D316" s="18">
        <f>'A) Base RI'!AO316</f>
        <v>-79</v>
      </c>
      <c r="E316" s="61">
        <f>'A) Base RI'!AP316</f>
        <v>0</v>
      </c>
      <c r="F316" s="61">
        <f>'A) Base RI'!AQ316</f>
        <v>-584.83000000000004</v>
      </c>
      <c r="G316" s="4">
        <f t="shared" si="24"/>
        <v>297679.46999999997</v>
      </c>
      <c r="H316" s="18">
        <f>'A) Base RI'!E316</f>
        <v>0</v>
      </c>
      <c r="I316" s="18">
        <f>'A) Base RI'!F316</f>
        <v>0</v>
      </c>
      <c r="J316" s="18">
        <f>'A) Base RI'!G316+'A) Base RI'!H316</f>
        <v>953.8</v>
      </c>
      <c r="K316" s="18">
        <f>'A) Base RI'!I316</f>
        <v>0</v>
      </c>
      <c r="L316" s="18">
        <f>'A) Base RI'!J316</f>
        <v>2467.7399999999998</v>
      </c>
      <c r="M316" s="18">
        <f>'A) Base RI'!K316</f>
        <v>0</v>
      </c>
      <c r="N316" s="18">
        <f>'A) Base RI'!Q316</f>
        <v>1314.95</v>
      </c>
      <c r="O316" s="18">
        <f t="shared" si="25"/>
        <v>25833.55</v>
      </c>
      <c r="P316" s="18">
        <f>'A) Base RI'!L316</f>
        <v>25833.55</v>
      </c>
      <c r="Q316" s="64">
        <f>'A) Base RI'!AR316</f>
        <v>1</v>
      </c>
      <c r="R316" s="4">
        <f t="shared" si="26"/>
        <v>328249.50999999995</v>
      </c>
      <c r="S316" s="63">
        <f>'A) Base RI'!AM316</f>
        <v>66</v>
      </c>
      <c r="T316" s="4">
        <f t="shared" si="27"/>
        <v>302415.95999999996</v>
      </c>
      <c r="U316" s="4">
        <f t="shared" si="28"/>
        <v>4973.4774242424237</v>
      </c>
      <c r="V316" s="18">
        <f>'A) Base RI'!O316</f>
        <v>138323.79999999999</v>
      </c>
      <c r="W316" s="18">
        <f>'A) Base RI'!P316</f>
        <v>26.1</v>
      </c>
      <c r="X316" s="18">
        <f>'A) Base RI'!R316</f>
        <v>1556.4</v>
      </c>
      <c r="Y316" s="4">
        <f t="shared" si="29"/>
        <v>139906.29999999999</v>
      </c>
      <c r="Z316" s="18">
        <f>'A) Base RI'!N316</f>
        <v>8738.75</v>
      </c>
      <c r="AA316" s="18">
        <f>'A) Base RI'!S316+'A) Base RI'!T316</f>
        <v>100</v>
      </c>
      <c r="AB316" s="18">
        <f>'A) Base RI'!U316</f>
        <v>360</v>
      </c>
      <c r="AC316" s="18">
        <f>'A) Base RI'!V316</f>
        <v>0</v>
      </c>
      <c r="AD316" s="18">
        <f>'A) Base RI'!W316</f>
        <v>0</v>
      </c>
      <c r="AE316" s="18">
        <f>'A) Base RI'!Y316</f>
        <v>0</v>
      </c>
      <c r="AF316" s="18">
        <f>'A) Base RI'!Z316</f>
        <v>0</v>
      </c>
      <c r="AG316" s="18">
        <f>'A) Base RI'!AA316</f>
        <v>17699.45</v>
      </c>
      <c r="AH316" s="18">
        <f>'A) Base RI'!AB316</f>
        <v>0</v>
      </c>
      <c r="AI316" s="18">
        <f>'A) Base RI'!AC316</f>
        <v>9967.5</v>
      </c>
      <c r="AJ316" s="18">
        <f>'A) Base RI'!AD316</f>
        <v>457.6</v>
      </c>
      <c r="AK316" s="18">
        <f>'A) Base RI'!AE316</f>
        <v>0</v>
      </c>
      <c r="AL316" s="18">
        <f>'A) Base RI'!AF316</f>
        <v>0</v>
      </c>
      <c r="AM316" s="18">
        <f>'A) Base RI'!AG316</f>
        <v>0</v>
      </c>
      <c r="AN316" s="18">
        <f>'A) Base RI'!AH316</f>
        <v>0</v>
      </c>
      <c r="AO316" s="18">
        <f>'A) Base RI'!AI316</f>
        <v>0</v>
      </c>
      <c r="AP316" s="18">
        <f>'A) Base RI'!AJ316</f>
        <v>0</v>
      </c>
      <c r="AQ316" s="18">
        <f>'A) Base RI'!AK316</f>
        <v>0</v>
      </c>
      <c r="AR316" s="18">
        <f>'A) Base RI'!AN316</f>
        <v>199</v>
      </c>
    </row>
    <row r="317" spans="1:44" x14ac:dyDescent="0.25">
      <c r="A317" s="13">
        <f>'A) Base RI'!A317</f>
        <v>5931</v>
      </c>
      <c r="B317" s="62" t="str">
        <f>'A) Base RI'!B317</f>
        <v>Treycovagnes</v>
      </c>
      <c r="C317" s="18">
        <f>'A) Base RI'!C317+'A) Base RI'!D317</f>
        <v>730506.29</v>
      </c>
      <c r="D317" s="18">
        <f>'A) Base RI'!AO317</f>
        <v>-13267.14</v>
      </c>
      <c r="E317" s="61">
        <f>'A) Base RI'!AP317</f>
        <v>0</v>
      </c>
      <c r="F317" s="61">
        <f>'A) Base RI'!AQ317</f>
        <v>-7.0000000000000007E-2</v>
      </c>
      <c r="G317" s="4">
        <f t="shared" si="24"/>
        <v>717239.08000000007</v>
      </c>
      <c r="H317" s="18">
        <f>'A) Base RI'!E317</f>
        <v>0</v>
      </c>
      <c r="I317" s="18">
        <f>'A) Base RI'!F317</f>
        <v>0</v>
      </c>
      <c r="J317" s="18">
        <f>'A) Base RI'!G317+'A) Base RI'!H317</f>
        <v>77394.5</v>
      </c>
      <c r="K317" s="18">
        <f>'A) Base RI'!I317</f>
        <v>0</v>
      </c>
      <c r="L317" s="18">
        <f>'A) Base RI'!J317</f>
        <v>20194.96</v>
      </c>
      <c r="M317" s="18">
        <f>'A) Base RI'!K317</f>
        <v>94.5</v>
      </c>
      <c r="N317" s="18">
        <f>'A) Base RI'!Q317</f>
        <v>0</v>
      </c>
      <c r="O317" s="18">
        <f t="shared" si="25"/>
        <v>68630.7</v>
      </c>
      <c r="P317" s="18">
        <f>'A) Base RI'!L317</f>
        <v>68630.7</v>
      </c>
      <c r="Q317" s="64">
        <f>'A) Base RI'!AR317</f>
        <v>1</v>
      </c>
      <c r="R317" s="4">
        <f t="shared" si="26"/>
        <v>883553.74</v>
      </c>
      <c r="S317" s="63">
        <f>'A) Base RI'!AM317</f>
        <v>77</v>
      </c>
      <c r="T317" s="4">
        <f t="shared" si="27"/>
        <v>814828.54</v>
      </c>
      <c r="U317" s="4">
        <f t="shared" si="28"/>
        <v>11474.723896103897</v>
      </c>
      <c r="V317" s="18">
        <v>0</v>
      </c>
      <c r="W317" s="18">
        <f>'A) Base RI'!P317</f>
        <v>18084</v>
      </c>
      <c r="X317" s="18">
        <f>'A) Base RI'!R317</f>
        <v>0</v>
      </c>
      <c r="Y317" s="4">
        <f t="shared" si="29"/>
        <v>18084</v>
      </c>
      <c r="Z317" s="18">
        <f>'A) Base RI'!N317</f>
        <v>4957.5</v>
      </c>
      <c r="AA317" s="18">
        <f>'A) Base RI'!S317+'A) Base RI'!T317</f>
        <v>400</v>
      </c>
      <c r="AB317" s="18">
        <f>'A) Base RI'!U317</f>
        <v>4150</v>
      </c>
      <c r="AC317" s="18">
        <f>'A) Base RI'!V317</f>
        <v>0</v>
      </c>
      <c r="AD317" s="18">
        <f>'A) Base RI'!W317</f>
        <v>0</v>
      </c>
      <c r="AE317" s="18">
        <f>'A) Base RI'!Y317</f>
        <v>0</v>
      </c>
      <c r="AF317" s="18">
        <f>'A) Base RI'!Z317</f>
        <v>0</v>
      </c>
      <c r="AG317" s="18">
        <f>'A) Base RI'!AA317</f>
        <v>45969.65</v>
      </c>
      <c r="AH317" s="18">
        <f>'A) Base RI'!AB317</f>
        <v>0</v>
      </c>
      <c r="AI317" s="18">
        <f>'A) Base RI'!AC317</f>
        <v>18145.75</v>
      </c>
      <c r="AJ317" s="18">
        <f>'A) Base RI'!AD317</f>
        <v>0</v>
      </c>
      <c r="AK317" s="18">
        <f>'A) Base RI'!AE317</f>
        <v>0</v>
      </c>
      <c r="AL317" s="18">
        <f>'A) Base RI'!AF317</f>
        <v>0</v>
      </c>
      <c r="AM317" s="18">
        <f>'A) Base RI'!AG317</f>
        <v>0</v>
      </c>
      <c r="AN317" s="18">
        <f>'A) Base RI'!AH317</f>
        <v>14965</v>
      </c>
      <c r="AO317" s="18">
        <f>'A) Base RI'!AI317</f>
        <v>0</v>
      </c>
      <c r="AP317" s="18">
        <f>'A) Base RI'!AJ317</f>
        <v>0</v>
      </c>
      <c r="AQ317" s="18">
        <f>'A) Base RI'!AK317</f>
        <v>0</v>
      </c>
      <c r="AR317" s="18">
        <f>'A) Base RI'!AN317</f>
        <v>471</v>
      </c>
    </row>
    <row r="318" spans="1:44" x14ac:dyDescent="0.25">
      <c r="A318" s="13">
        <f>'A) Base RI'!A318</f>
        <v>5932</v>
      </c>
      <c r="B318" s="62" t="str">
        <f>'A) Base RI'!B318</f>
        <v>Ursins</v>
      </c>
      <c r="C318" s="18">
        <f>'A) Base RI'!C318+'A) Base RI'!D318</f>
        <v>381767.32</v>
      </c>
      <c r="D318" s="18">
        <f>'A) Base RI'!AO318</f>
        <v>-1738</v>
      </c>
      <c r="E318" s="61">
        <f>'A) Base RI'!AP318</f>
        <v>-28813.55</v>
      </c>
      <c r="F318" s="61">
        <f>'A) Base RI'!AQ318</f>
        <v>0</v>
      </c>
      <c r="G318" s="4">
        <f t="shared" si="24"/>
        <v>351215.77</v>
      </c>
      <c r="H318" s="18">
        <f>'A) Base RI'!E318</f>
        <v>0</v>
      </c>
      <c r="I318" s="18">
        <f>'A) Base RI'!F318</f>
        <v>1150</v>
      </c>
      <c r="J318" s="18">
        <f>'A) Base RI'!G318+'A) Base RI'!H318</f>
        <v>3255.25</v>
      </c>
      <c r="K318" s="18">
        <f>'A) Base RI'!I318</f>
        <v>24949.45</v>
      </c>
      <c r="L318" s="18">
        <f>'A) Base RI'!J318</f>
        <v>4063.68</v>
      </c>
      <c r="M318" s="18">
        <f>'A) Base RI'!K318</f>
        <v>50</v>
      </c>
      <c r="N318" s="18">
        <f>'A) Base RI'!Q318</f>
        <v>92.47</v>
      </c>
      <c r="O318" s="18">
        <f t="shared" si="25"/>
        <v>25299</v>
      </c>
      <c r="P318" s="18">
        <f>'A) Base RI'!L318</f>
        <v>25299</v>
      </c>
      <c r="Q318" s="64">
        <f>'A) Base RI'!AR318</f>
        <v>1</v>
      </c>
      <c r="R318" s="4">
        <f t="shared" si="26"/>
        <v>410075.62</v>
      </c>
      <c r="S318" s="63">
        <f>'A) Base RI'!AM318</f>
        <v>78</v>
      </c>
      <c r="T318" s="4">
        <f t="shared" si="27"/>
        <v>383576.62</v>
      </c>
      <c r="U318" s="4">
        <f t="shared" si="28"/>
        <v>5257.3797435897432</v>
      </c>
      <c r="V318" s="18">
        <v>0</v>
      </c>
      <c r="W318" s="18">
        <f>'A) Base RI'!P318</f>
        <v>10230</v>
      </c>
      <c r="X318" s="18">
        <f>'A) Base RI'!R318</f>
        <v>-13000.2</v>
      </c>
      <c r="Y318" s="4">
        <f t="shared" si="29"/>
        <v>-2770.2000000000007</v>
      </c>
      <c r="Z318" s="18">
        <f>'A) Base RI'!N318</f>
        <v>0</v>
      </c>
      <c r="AA318" s="18">
        <f>'A) Base RI'!S318+'A) Base RI'!T318</f>
        <v>0</v>
      </c>
      <c r="AB318" s="18">
        <f>'A) Base RI'!U318</f>
        <v>2100</v>
      </c>
      <c r="AC318" s="18">
        <f>'A) Base RI'!V318</f>
        <v>0</v>
      </c>
      <c r="AD318" s="18">
        <f>'A) Base RI'!W318</f>
        <v>0</v>
      </c>
      <c r="AE318" s="18">
        <f>'A) Base RI'!Y318</f>
        <v>9875</v>
      </c>
      <c r="AF318" s="18">
        <f>'A) Base RI'!Z318</f>
        <v>0</v>
      </c>
      <c r="AG318" s="18">
        <f>'A) Base RI'!AA318</f>
        <v>13173.35</v>
      </c>
      <c r="AH318" s="18">
        <f>'A) Base RI'!AB318</f>
        <v>0</v>
      </c>
      <c r="AI318" s="18">
        <f>'A) Base RI'!AC318</f>
        <v>8427.2999999999993</v>
      </c>
      <c r="AJ318" s="18">
        <f>'A) Base RI'!AD318</f>
        <v>7746.3</v>
      </c>
      <c r="AK318" s="18">
        <f>'A) Base RI'!AE318</f>
        <v>0</v>
      </c>
      <c r="AL318" s="18">
        <f>'A) Base RI'!AF318</f>
        <v>0</v>
      </c>
      <c r="AM318" s="18">
        <f>'A) Base RI'!AG318</f>
        <v>0</v>
      </c>
      <c r="AN318" s="18">
        <f>'A) Base RI'!AH318</f>
        <v>0</v>
      </c>
      <c r="AO318" s="18">
        <f>'A) Base RI'!AI318</f>
        <v>0</v>
      </c>
      <c r="AP318" s="18">
        <f>'A) Base RI'!AJ318</f>
        <v>0</v>
      </c>
      <c r="AQ318" s="18">
        <f>'A) Base RI'!AK318</f>
        <v>0</v>
      </c>
      <c r="AR318" s="18">
        <f>'A) Base RI'!AN318</f>
        <v>208</v>
      </c>
    </row>
    <row r="319" spans="1:44" x14ac:dyDescent="0.25">
      <c r="A319" s="13">
        <f>'A) Base RI'!A319</f>
        <v>5933</v>
      </c>
      <c r="B319" s="62" t="str">
        <f>'A) Base RI'!B319</f>
        <v>Valeyres-sous-Montagny</v>
      </c>
      <c r="C319" s="18">
        <f>'A) Base RI'!C319+'A) Base RI'!D319</f>
        <v>1280850.3599999999</v>
      </c>
      <c r="D319" s="18">
        <f>'A) Base RI'!AO319</f>
        <v>-22633.84</v>
      </c>
      <c r="E319" s="61">
        <f>'A) Base RI'!AP319</f>
        <v>-3748.6</v>
      </c>
      <c r="F319" s="61">
        <f>'A) Base RI'!AQ319</f>
        <v>-3.65</v>
      </c>
      <c r="G319" s="4">
        <f t="shared" si="24"/>
        <v>1254464.2699999998</v>
      </c>
      <c r="H319" s="18">
        <f>'A) Base RI'!E319</f>
        <v>0</v>
      </c>
      <c r="I319" s="18">
        <f>'A) Base RI'!F319</f>
        <v>0</v>
      </c>
      <c r="J319" s="18">
        <f>'A) Base RI'!G319+'A) Base RI'!H319</f>
        <v>44291.199999999997</v>
      </c>
      <c r="K319" s="18">
        <f>'A) Base RI'!I319</f>
        <v>0</v>
      </c>
      <c r="L319" s="18">
        <f>'A) Base RI'!J319</f>
        <v>13624.11</v>
      </c>
      <c r="M319" s="18">
        <f>'A) Base RI'!K319</f>
        <v>1446</v>
      </c>
      <c r="N319" s="18">
        <f>'A) Base RI'!Q319</f>
        <v>9032.83</v>
      </c>
      <c r="O319" s="18">
        <f t="shared" si="25"/>
        <v>96426.75</v>
      </c>
      <c r="P319" s="18">
        <f>'A) Base RI'!L319</f>
        <v>96426.75</v>
      </c>
      <c r="Q319" s="64">
        <f>'A) Base RI'!AR319</f>
        <v>1</v>
      </c>
      <c r="R319" s="4">
        <f t="shared" si="26"/>
        <v>1419285.16</v>
      </c>
      <c r="S319" s="63">
        <f>'A) Base RI'!AM319</f>
        <v>72</v>
      </c>
      <c r="T319" s="4">
        <f t="shared" si="27"/>
        <v>1321412.4099999999</v>
      </c>
      <c r="U319" s="4">
        <f t="shared" si="28"/>
        <v>19712.293888888889</v>
      </c>
      <c r="V319" s="18">
        <v>0</v>
      </c>
      <c r="W319" s="18">
        <f>'A) Base RI'!P319</f>
        <v>7370</v>
      </c>
      <c r="X319" s="18">
        <f>'A) Base RI'!R319</f>
        <v>9479.15</v>
      </c>
      <c r="Y319" s="4">
        <f t="shared" si="29"/>
        <v>16849.150000000001</v>
      </c>
      <c r="Z319" s="18">
        <f>'A) Base RI'!N319</f>
        <v>8464.1</v>
      </c>
      <c r="AA319" s="18">
        <f>'A) Base RI'!S319+'A) Base RI'!T319</f>
        <v>462.5</v>
      </c>
      <c r="AB319" s="18">
        <f>'A) Base RI'!U319</f>
        <v>3280</v>
      </c>
      <c r="AC319" s="18">
        <f>'A) Base RI'!V319</f>
        <v>0</v>
      </c>
      <c r="AD319" s="18">
        <f>'A) Base RI'!W319</f>
        <v>0</v>
      </c>
      <c r="AE319" s="18">
        <f>'A) Base RI'!Y319</f>
        <v>25108</v>
      </c>
      <c r="AF319" s="18">
        <f>'A) Base RI'!Z319</f>
        <v>0</v>
      </c>
      <c r="AG319" s="18">
        <f>'A) Base RI'!AA319</f>
        <v>75294.5</v>
      </c>
      <c r="AH319" s="18">
        <f>'A) Base RI'!AB319</f>
        <v>0</v>
      </c>
      <c r="AI319" s="18">
        <f>'A) Base RI'!AC319</f>
        <v>29744.5</v>
      </c>
      <c r="AJ319" s="18">
        <f>'A) Base RI'!AD319</f>
        <v>34856.15</v>
      </c>
      <c r="AK319" s="18">
        <f>'A) Base RI'!AE319</f>
        <v>0</v>
      </c>
      <c r="AL319" s="18">
        <f>'A) Base RI'!AF319</f>
        <v>0</v>
      </c>
      <c r="AM319" s="18">
        <f>'A) Base RI'!AG319</f>
        <v>0</v>
      </c>
      <c r="AN319" s="18">
        <f>'A) Base RI'!AH319</f>
        <v>0</v>
      </c>
      <c r="AO319" s="18">
        <f>'A) Base RI'!AI319</f>
        <v>0</v>
      </c>
      <c r="AP319" s="18">
        <f>'A) Base RI'!AJ319</f>
        <v>0</v>
      </c>
      <c r="AQ319" s="18">
        <f>'A) Base RI'!AK319</f>
        <v>0</v>
      </c>
      <c r="AR319" s="18">
        <f>'A) Base RI'!AN319</f>
        <v>642</v>
      </c>
    </row>
    <row r="320" spans="1:44" x14ac:dyDescent="0.25">
      <c r="A320" s="13">
        <f>'A) Base RI'!A320</f>
        <v>5934</v>
      </c>
      <c r="B320" s="62" t="str">
        <f>'A) Base RI'!B320</f>
        <v>Valeyres-sous-Ursins</v>
      </c>
      <c r="C320" s="18">
        <f>'A) Base RI'!C320+'A) Base RI'!D320</f>
        <v>449972.52999999997</v>
      </c>
      <c r="D320" s="18">
        <f>'A) Base RI'!AO320</f>
        <v>-7032.74</v>
      </c>
      <c r="E320" s="61">
        <f>'A) Base RI'!AP320</f>
        <v>-1730.6</v>
      </c>
      <c r="F320" s="61">
        <f>'A) Base RI'!AQ320</f>
        <v>0</v>
      </c>
      <c r="G320" s="4">
        <f t="shared" si="24"/>
        <v>441209.19</v>
      </c>
      <c r="H320" s="18">
        <f>'A) Base RI'!E320</f>
        <v>0</v>
      </c>
      <c r="I320" s="18">
        <f>'A) Base RI'!F320</f>
        <v>1240</v>
      </c>
      <c r="J320" s="18">
        <f>'A) Base RI'!G320+'A) Base RI'!H320</f>
        <v>992.8</v>
      </c>
      <c r="K320" s="18">
        <f>'A) Base RI'!I320</f>
        <v>0</v>
      </c>
      <c r="L320" s="18">
        <f>'A) Base RI'!J320</f>
        <v>-5426.26</v>
      </c>
      <c r="M320" s="18">
        <f>'A) Base RI'!K320</f>
        <v>95</v>
      </c>
      <c r="N320" s="18">
        <f>'A) Base RI'!Q320</f>
        <v>0</v>
      </c>
      <c r="O320" s="18">
        <f t="shared" si="25"/>
        <v>25601.3</v>
      </c>
      <c r="P320" s="18">
        <f>'A) Base RI'!L320</f>
        <v>25601.3</v>
      </c>
      <c r="Q320" s="64">
        <f>'A) Base RI'!AR320</f>
        <v>1</v>
      </c>
      <c r="R320" s="4">
        <f t="shared" si="26"/>
        <v>463712.02999999997</v>
      </c>
      <c r="S320" s="63">
        <f>'A) Base RI'!AM320</f>
        <v>78</v>
      </c>
      <c r="T320" s="4">
        <f t="shared" si="27"/>
        <v>436775.73</v>
      </c>
      <c r="U320" s="4">
        <f t="shared" si="28"/>
        <v>5945.0260256410256</v>
      </c>
      <c r="V320" s="18">
        <v>0</v>
      </c>
      <c r="W320" s="18">
        <v>0</v>
      </c>
      <c r="X320" s="18">
        <v>0</v>
      </c>
      <c r="Y320" s="4">
        <f t="shared" si="29"/>
        <v>0</v>
      </c>
      <c r="Z320" s="18">
        <f>'A) Base RI'!N320</f>
        <v>9194.9</v>
      </c>
      <c r="AA320" s="18">
        <f>'A) Base RI'!S320+'A) Base RI'!T320</f>
        <v>0</v>
      </c>
      <c r="AB320" s="18">
        <f>'A) Base RI'!U320</f>
        <v>1020</v>
      </c>
      <c r="AC320" s="18">
        <f>'A) Base RI'!V320</f>
        <v>0</v>
      </c>
      <c r="AD320" s="18">
        <f>'A) Base RI'!W320</f>
        <v>0</v>
      </c>
      <c r="AE320" s="18">
        <f>'A) Base RI'!Y320</f>
        <v>0</v>
      </c>
      <c r="AF320" s="18">
        <f>'A) Base RI'!Z320</f>
        <v>0</v>
      </c>
      <c r="AG320" s="18">
        <f>'A) Base RI'!AA320</f>
        <v>27975</v>
      </c>
      <c r="AH320" s="18">
        <f>'A) Base RI'!AB320</f>
        <v>0</v>
      </c>
      <c r="AI320" s="18">
        <f>'A) Base RI'!AC320</f>
        <v>7116.7</v>
      </c>
      <c r="AJ320" s="18">
        <f>'A) Base RI'!AD320</f>
        <v>0</v>
      </c>
      <c r="AK320" s="18">
        <f>'A) Base RI'!AE320</f>
        <v>0</v>
      </c>
      <c r="AL320" s="18">
        <f>'A) Base RI'!AF320</f>
        <v>0</v>
      </c>
      <c r="AM320" s="18">
        <f>'A) Base RI'!AG320</f>
        <v>0</v>
      </c>
      <c r="AN320" s="18">
        <f>'A) Base RI'!AH320</f>
        <v>0</v>
      </c>
      <c r="AO320" s="18">
        <f>'A) Base RI'!AI320</f>
        <v>0</v>
      </c>
      <c r="AP320" s="18">
        <f>'A) Base RI'!AJ320</f>
        <v>0</v>
      </c>
      <c r="AQ320" s="18">
        <f>'A) Base RI'!AK320</f>
        <v>0</v>
      </c>
      <c r="AR320" s="18">
        <f>'A) Base RI'!AN320</f>
        <v>241</v>
      </c>
    </row>
    <row r="321" spans="1:44" x14ac:dyDescent="0.25">
      <c r="A321" s="13">
        <f>'A) Base RI'!A321</f>
        <v>5935</v>
      </c>
      <c r="B321" s="62" t="str">
        <f>'A) Base RI'!B321</f>
        <v>Villars-Epeney</v>
      </c>
      <c r="C321" s="18">
        <f>'A) Base RI'!C321+'A) Base RI'!D321</f>
        <v>219542.58000000002</v>
      </c>
      <c r="D321" s="18">
        <f>'A) Base RI'!AO321</f>
        <v>-33.18</v>
      </c>
      <c r="E321" s="61">
        <f>'A) Base RI'!AP321</f>
        <v>0</v>
      </c>
      <c r="F321" s="61">
        <f>'A) Base RI'!AQ321</f>
        <v>-71.53</v>
      </c>
      <c r="G321" s="4">
        <f t="shared" si="24"/>
        <v>219437.87000000002</v>
      </c>
      <c r="H321" s="18">
        <f>'A) Base RI'!E321</f>
        <v>0</v>
      </c>
      <c r="I321" s="18">
        <f>'A) Base RI'!F321</f>
        <v>0</v>
      </c>
      <c r="J321" s="18">
        <f>'A) Base RI'!G321+'A) Base RI'!H321</f>
        <v>2956.2</v>
      </c>
      <c r="K321" s="18">
        <f>'A) Base RI'!I321</f>
        <v>0</v>
      </c>
      <c r="L321" s="18">
        <f>'A) Base RI'!J321</f>
        <v>154.19999999999999</v>
      </c>
      <c r="M321" s="18">
        <f>'A) Base RI'!K321</f>
        <v>0</v>
      </c>
      <c r="N321" s="18">
        <f>'A) Base RI'!Q321</f>
        <v>0</v>
      </c>
      <c r="O321" s="18">
        <f t="shared" si="25"/>
        <v>16319.95</v>
      </c>
      <c r="P321" s="18">
        <f>'A) Base RI'!L321</f>
        <v>16319.95</v>
      </c>
      <c r="Q321" s="64">
        <f>'A) Base RI'!AR321</f>
        <v>1</v>
      </c>
      <c r="R321" s="4">
        <f t="shared" si="26"/>
        <v>238868.22000000006</v>
      </c>
      <c r="S321" s="63">
        <f>'A) Base RI'!AM321</f>
        <v>60</v>
      </c>
      <c r="T321" s="4">
        <f t="shared" si="27"/>
        <v>222548.27000000005</v>
      </c>
      <c r="U321" s="4">
        <f t="shared" si="28"/>
        <v>3981.1370000000011</v>
      </c>
      <c r="V321" s="18">
        <v>0</v>
      </c>
      <c r="W321" s="18">
        <f>'A) Base RI'!P321</f>
        <v>26730</v>
      </c>
      <c r="X321" s="18">
        <f>'A) Base RI'!R321</f>
        <v>3887.5</v>
      </c>
      <c r="Y321" s="4">
        <f t="shared" si="29"/>
        <v>30617.5</v>
      </c>
      <c r="Z321" s="18">
        <f>'A) Base RI'!N321</f>
        <v>0</v>
      </c>
      <c r="AA321" s="18">
        <f>'A) Base RI'!S321+'A) Base RI'!T321</f>
        <v>0</v>
      </c>
      <c r="AB321" s="18">
        <f>'A) Base RI'!U321</f>
        <v>110</v>
      </c>
      <c r="AC321" s="18">
        <f>'A) Base RI'!V321</f>
        <v>0</v>
      </c>
      <c r="AD321" s="18">
        <f>'A) Base RI'!W321</f>
        <v>0</v>
      </c>
      <c r="AE321" s="18">
        <f>'A) Base RI'!Y321</f>
        <v>9023</v>
      </c>
      <c r="AF321" s="18">
        <f>'A) Base RI'!Z321</f>
        <v>0</v>
      </c>
      <c r="AG321" s="18">
        <f>'A) Base RI'!AA321</f>
        <v>4591</v>
      </c>
      <c r="AH321" s="18">
        <f>'A) Base RI'!AB321</f>
        <v>0</v>
      </c>
      <c r="AI321" s="18">
        <f>'A) Base RI'!AC321</f>
        <v>5500</v>
      </c>
      <c r="AJ321" s="18">
        <f>'A) Base RI'!AD321</f>
        <v>0</v>
      </c>
      <c r="AK321" s="18">
        <f>'A) Base RI'!AE321</f>
        <v>0</v>
      </c>
      <c r="AL321" s="18">
        <f>'A) Base RI'!AF321</f>
        <v>0</v>
      </c>
      <c r="AM321" s="18">
        <f>'A) Base RI'!AG321</f>
        <v>0</v>
      </c>
      <c r="AN321" s="18">
        <f>'A) Base RI'!AH321</f>
        <v>0</v>
      </c>
      <c r="AO321" s="18">
        <f>'A) Base RI'!AI321</f>
        <v>0</v>
      </c>
      <c r="AP321" s="18">
        <f>'A) Base RI'!AJ321</f>
        <v>0</v>
      </c>
      <c r="AQ321" s="18">
        <f>'A) Base RI'!AK321</f>
        <v>0</v>
      </c>
      <c r="AR321" s="18">
        <f>'A) Base RI'!AN321</f>
        <v>89</v>
      </c>
    </row>
    <row r="322" spans="1:44" x14ac:dyDescent="0.25">
      <c r="A322" s="13">
        <f>'A) Base RI'!A322</f>
        <v>5937</v>
      </c>
      <c r="B322" s="62" t="str">
        <f>'A) Base RI'!B322</f>
        <v>Vugelles-La Mothe</v>
      </c>
      <c r="C322" s="18">
        <f>'A) Base RI'!C322+'A) Base RI'!D322</f>
        <v>129664.02</v>
      </c>
      <c r="D322" s="18">
        <f>'A) Base RI'!AO322</f>
        <v>-10282.950000000001</v>
      </c>
      <c r="E322" s="61">
        <f>'A) Base RI'!AP322</f>
        <v>0</v>
      </c>
      <c r="F322" s="61">
        <f>'A) Base RI'!AQ322</f>
        <v>-5.98</v>
      </c>
      <c r="G322" s="4">
        <f t="shared" si="24"/>
        <v>119375.09000000001</v>
      </c>
      <c r="H322" s="18">
        <f>'A) Base RI'!E322</f>
        <v>0</v>
      </c>
      <c r="I322" s="18">
        <f>'A) Base RI'!F322</f>
        <v>0</v>
      </c>
      <c r="J322" s="18">
        <f>'A) Base RI'!G322+'A) Base RI'!H322</f>
        <v>2527.75</v>
      </c>
      <c r="K322" s="18">
        <f>'A) Base RI'!I322</f>
        <v>0</v>
      </c>
      <c r="L322" s="18">
        <f>'A) Base RI'!J322</f>
        <v>9039.2800000000007</v>
      </c>
      <c r="M322" s="18">
        <f>'A) Base RI'!K322</f>
        <v>0</v>
      </c>
      <c r="N322" s="18">
        <f>'A) Base RI'!Q322</f>
        <v>0</v>
      </c>
      <c r="O322" s="18">
        <f t="shared" si="25"/>
        <v>14557.714285714286</v>
      </c>
      <c r="P322" s="18">
        <f>'A) Base RI'!L322</f>
        <v>10190.4</v>
      </c>
      <c r="Q322" s="64">
        <f>'A) Base RI'!AR322</f>
        <v>0.7</v>
      </c>
      <c r="R322" s="4">
        <f t="shared" si="26"/>
        <v>145499.83428571429</v>
      </c>
      <c r="S322" s="63">
        <f>'A) Base RI'!AM322</f>
        <v>70</v>
      </c>
      <c r="T322" s="4">
        <f t="shared" si="27"/>
        <v>130942.12000000001</v>
      </c>
      <c r="U322" s="4">
        <f t="shared" si="28"/>
        <v>2078.5690612244898</v>
      </c>
      <c r="V322" s="18">
        <v>0</v>
      </c>
      <c r="W322" s="18">
        <f>'A) Base RI'!P322</f>
        <v>2860</v>
      </c>
      <c r="X322" s="18">
        <f>'A) Base RI'!R322</f>
        <v>21376.75</v>
      </c>
      <c r="Y322" s="4">
        <f t="shared" si="29"/>
        <v>24236.75</v>
      </c>
      <c r="Z322" s="18">
        <f>'A) Base RI'!N322</f>
        <v>0</v>
      </c>
      <c r="AA322" s="18">
        <f>'A) Base RI'!S322+'A) Base RI'!T322</f>
        <v>0</v>
      </c>
      <c r="AB322" s="18">
        <f>'A) Base RI'!U322</f>
        <v>1450</v>
      </c>
      <c r="AC322" s="18">
        <f>'A) Base RI'!V322</f>
        <v>0</v>
      </c>
      <c r="AD322" s="18">
        <f>'A) Base RI'!W322</f>
        <v>0</v>
      </c>
      <c r="AE322" s="18">
        <f>'A) Base RI'!Y322</f>
        <v>3000</v>
      </c>
      <c r="AF322" s="18">
        <f>'A) Base RI'!Z322</f>
        <v>0</v>
      </c>
      <c r="AG322" s="18">
        <f>'A) Base RI'!AA322</f>
        <v>14400</v>
      </c>
      <c r="AH322" s="18">
        <f>'A) Base RI'!AB322</f>
        <v>0</v>
      </c>
      <c r="AI322" s="18">
        <f>'A) Base RI'!AC322</f>
        <v>5394</v>
      </c>
      <c r="AJ322" s="18">
        <f>'A) Base RI'!AD322</f>
        <v>0</v>
      </c>
      <c r="AK322" s="18">
        <f>'A) Base RI'!AE322</f>
        <v>0</v>
      </c>
      <c r="AL322" s="18">
        <f>'A) Base RI'!AF322</f>
        <v>0</v>
      </c>
      <c r="AM322" s="18">
        <f>'A) Base RI'!AG322</f>
        <v>0</v>
      </c>
      <c r="AN322" s="18">
        <f>'A) Base RI'!AH322</f>
        <v>0</v>
      </c>
      <c r="AO322" s="18">
        <f>'A) Base RI'!AI322</f>
        <v>0</v>
      </c>
      <c r="AP322" s="18">
        <f>'A) Base RI'!AJ322</f>
        <v>0</v>
      </c>
      <c r="AQ322" s="18">
        <f>'A) Base RI'!AK322</f>
        <v>0</v>
      </c>
      <c r="AR322" s="18">
        <f>'A) Base RI'!AN322</f>
        <v>137</v>
      </c>
    </row>
    <row r="323" spans="1:44" x14ac:dyDescent="0.25">
      <c r="A323" s="13">
        <f>'A) Base RI'!A323</f>
        <v>5938</v>
      </c>
      <c r="B323" s="62" t="str">
        <f>'A) Base RI'!B323</f>
        <v>Yverdon-les-Bains</v>
      </c>
      <c r="C323" s="18">
        <f>'A) Base RI'!C323+'A) Base RI'!D323</f>
        <v>46415633.399999999</v>
      </c>
      <c r="D323" s="18">
        <f>'A) Base RI'!AO323</f>
        <v>-1197870.04</v>
      </c>
      <c r="E323" s="61">
        <f>'A) Base RI'!AP323</f>
        <v>0</v>
      </c>
      <c r="F323" s="61">
        <f>'A) Base RI'!AQ323</f>
        <v>-1798.32</v>
      </c>
      <c r="G323" s="4">
        <f t="shared" si="24"/>
        <v>45215965.039999999</v>
      </c>
      <c r="H323" s="18">
        <f>'A) Base RI'!E323</f>
        <v>0</v>
      </c>
      <c r="I323" s="18">
        <f>'A) Base RI'!F323</f>
        <v>0</v>
      </c>
      <c r="J323" s="18">
        <f>'A) Base RI'!G323+'A) Base RI'!H323</f>
        <v>5498706.0499999998</v>
      </c>
      <c r="K323" s="18">
        <f>'A) Base RI'!I323</f>
        <v>128951.8</v>
      </c>
      <c r="L323" s="18">
        <f>'A) Base RI'!J323</f>
        <v>2287794.14</v>
      </c>
      <c r="M323" s="18">
        <f>'A) Base RI'!K323</f>
        <v>514447</v>
      </c>
      <c r="N323" s="18">
        <f>'A) Base RI'!Q323</f>
        <v>546037.39</v>
      </c>
      <c r="O323" s="18">
        <f t="shared" si="25"/>
        <v>3711190.9</v>
      </c>
      <c r="P323" s="18">
        <f>'A) Base RI'!L323</f>
        <v>3711190.9</v>
      </c>
      <c r="Q323" s="64">
        <f>'A) Base RI'!AR323</f>
        <v>1</v>
      </c>
      <c r="R323" s="4">
        <f t="shared" si="26"/>
        <v>57903092.319999993</v>
      </c>
      <c r="S323" s="63">
        <f>'A) Base RI'!AM323</f>
        <v>76.5</v>
      </c>
      <c r="T323" s="4">
        <f t="shared" si="27"/>
        <v>53677454.419999994</v>
      </c>
      <c r="U323" s="4">
        <f t="shared" si="28"/>
        <v>756903.16758169921</v>
      </c>
      <c r="V323" s="18">
        <f>'A) Base RI'!O323</f>
        <v>1433252.9</v>
      </c>
      <c r="W323" s="18">
        <f>'A) Base RI'!P323</f>
        <v>1864424.85</v>
      </c>
      <c r="X323" s="18">
        <f>'A) Base RI'!R323</f>
        <v>1216535.1499999999</v>
      </c>
      <c r="Y323" s="4">
        <f t="shared" si="29"/>
        <v>4514212.9000000004</v>
      </c>
      <c r="Z323" s="18">
        <f>'A) Base RI'!N323</f>
        <v>3034589.4</v>
      </c>
      <c r="AA323" s="18">
        <f>'A) Base RI'!S323+'A) Base RI'!T323</f>
        <v>6568.75</v>
      </c>
      <c r="AB323" s="18">
        <f>'A) Base RI'!U323</f>
        <v>52780</v>
      </c>
      <c r="AC323" s="18">
        <f>'A) Base RI'!V323</f>
        <v>0</v>
      </c>
      <c r="AD323" s="18">
        <f>'A) Base RI'!W323</f>
        <v>0</v>
      </c>
      <c r="AE323" s="18">
        <f>'A) Base RI'!Y323</f>
        <v>279947</v>
      </c>
      <c r="AF323" s="18">
        <f>'A) Base RI'!Z323</f>
        <v>0</v>
      </c>
      <c r="AG323" s="18">
        <f>'A) Base RI'!AA323</f>
        <v>4149637</v>
      </c>
      <c r="AH323" s="18">
        <f>'A) Base RI'!AB323</f>
        <v>1070011</v>
      </c>
      <c r="AI323" s="18">
        <f>'A) Base RI'!AC323</f>
        <v>67517</v>
      </c>
      <c r="AJ323" s="18">
        <f>'A) Base RI'!AD323</f>
        <v>200170</v>
      </c>
      <c r="AK323" s="18">
        <f>'A) Base RI'!AE323</f>
        <v>79374</v>
      </c>
      <c r="AL323" s="18">
        <f>'A) Base RI'!AF323</f>
        <v>0</v>
      </c>
      <c r="AM323" s="18">
        <f>'A) Base RI'!AG323</f>
        <v>189165</v>
      </c>
      <c r="AN323" s="18">
        <f>'A) Base RI'!AH323</f>
        <v>881709</v>
      </c>
      <c r="AO323" s="18">
        <f>'A) Base RI'!AI323</f>
        <v>830505</v>
      </c>
      <c r="AP323" s="18">
        <f>'A) Base RI'!AJ323</f>
        <v>755781</v>
      </c>
      <c r="AQ323" s="18">
        <f>'A) Base RI'!AK323</f>
        <v>0</v>
      </c>
      <c r="AR323" s="18">
        <f>'A) Base RI'!AN323</f>
        <v>28972</v>
      </c>
    </row>
    <row r="324" spans="1:44" x14ac:dyDescent="0.25">
      <c r="A324" s="13">
        <f>'A) Base RI'!A324</f>
        <v>5939</v>
      </c>
      <c r="B324" s="62" t="str">
        <f>'A) Base RI'!B324</f>
        <v>Yvonand</v>
      </c>
      <c r="C324" s="18">
        <f>'A) Base RI'!C324+'A) Base RI'!D324</f>
        <v>5308669.6800000006</v>
      </c>
      <c r="D324" s="18">
        <f>'A) Base RI'!AO324</f>
        <v>-103831.88</v>
      </c>
      <c r="E324" s="61">
        <f>'A) Base RI'!AP324</f>
        <v>0</v>
      </c>
      <c r="F324" s="61">
        <f>'A) Base RI'!AQ324</f>
        <v>0</v>
      </c>
      <c r="G324" s="4">
        <f t="shared" si="24"/>
        <v>5204837.8000000007</v>
      </c>
      <c r="H324" s="18">
        <f>'A) Base RI'!E324</f>
        <v>0</v>
      </c>
      <c r="I324" s="18">
        <f>'A) Base RI'!F324</f>
        <v>0</v>
      </c>
      <c r="J324" s="18">
        <f>'A) Base RI'!G324+'A) Base RI'!H324</f>
        <v>159408.75</v>
      </c>
      <c r="K324" s="18">
        <f>'A) Base RI'!I324</f>
        <v>0</v>
      </c>
      <c r="L324" s="18">
        <f>'A) Base RI'!J324</f>
        <v>168159.62</v>
      </c>
      <c r="M324" s="18">
        <f>'A) Base RI'!K324</f>
        <v>10338.5</v>
      </c>
      <c r="N324" s="18">
        <f>'A) Base RI'!Q324</f>
        <v>0</v>
      </c>
      <c r="O324" s="18">
        <f t="shared" si="25"/>
        <v>395285.65</v>
      </c>
      <c r="P324" s="18">
        <f>'A) Base RI'!L324</f>
        <v>395285.65</v>
      </c>
      <c r="Q324" s="64">
        <f>'A) Base RI'!AR324</f>
        <v>1</v>
      </c>
      <c r="R324" s="4">
        <f t="shared" si="26"/>
        <v>5938030.3200000012</v>
      </c>
      <c r="S324" s="63">
        <f>'A) Base RI'!AM324</f>
        <v>73</v>
      </c>
      <c r="T324" s="4">
        <f t="shared" si="27"/>
        <v>5532406.1700000009</v>
      </c>
      <c r="U324" s="4">
        <f t="shared" si="28"/>
        <v>81342.881095890421</v>
      </c>
      <c r="V324" s="18">
        <f>'A) Base RI'!O324</f>
        <v>244018.3</v>
      </c>
      <c r="W324" s="18">
        <f>'A) Base RI'!P324</f>
        <v>310416.45</v>
      </c>
      <c r="X324" s="18">
        <f>'A) Base RI'!R324</f>
        <v>250845.65</v>
      </c>
      <c r="Y324" s="4">
        <f t="shared" si="29"/>
        <v>805280.4</v>
      </c>
      <c r="Z324" s="18">
        <f>'A) Base RI'!N324</f>
        <v>51826.15</v>
      </c>
      <c r="AA324" s="18">
        <f>'A) Base RI'!S324+'A) Base RI'!T324</f>
        <v>2525.5</v>
      </c>
      <c r="AB324" s="18">
        <f>'A) Base RI'!U324</f>
        <v>18817</v>
      </c>
      <c r="AC324" s="18">
        <f>'A) Base RI'!V324</f>
        <v>350</v>
      </c>
      <c r="AD324" s="18">
        <f>'A) Base RI'!W324</f>
        <v>1858</v>
      </c>
      <c r="AE324" s="18">
        <f>'A) Base RI'!Y324</f>
        <v>125678</v>
      </c>
      <c r="AF324" s="18">
        <f>'A) Base RI'!Z324</f>
        <v>0</v>
      </c>
      <c r="AG324" s="18">
        <f>'A) Base RI'!AA324</f>
        <v>621289.85</v>
      </c>
      <c r="AH324" s="18">
        <f>'A) Base RI'!AB324</f>
        <v>0</v>
      </c>
      <c r="AI324" s="18">
        <f>'A) Base RI'!AC324</f>
        <v>0</v>
      </c>
      <c r="AJ324" s="18">
        <f>'A) Base RI'!AD324</f>
        <v>136830</v>
      </c>
      <c r="AK324" s="18">
        <f>'A) Base RI'!AE324</f>
        <v>0</v>
      </c>
      <c r="AL324" s="18">
        <f>'A) Base RI'!AF324</f>
        <v>0</v>
      </c>
      <c r="AM324" s="18">
        <f>'A) Base RI'!AG324</f>
        <v>11338.8</v>
      </c>
      <c r="AN324" s="18">
        <f>'A) Base RI'!AH324</f>
        <v>97070.85</v>
      </c>
      <c r="AO324" s="18">
        <f>'A) Base RI'!AI324</f>
        <v>0</v>
      </c>
      <c r="AP324" s="18">
        <f>'A) Base RI'!AJ324</f>
        <v>0</v>
      </c>
      <c r="AQ324" s="18">
        <f>'A) Base RI'!AK324</f>
        <v>0</v>
      </c>
      <c r="AR324" s="18">
        <f>'A) Base RI'!AN324</f>
        <v>3095</v>
      </c>
    </row>
    <row r="325" spans="1:44" x14ac:dyDescent="0.25">
      <c r="A325" s="12"/>
      <c r="B325" s="54">
        <f>COUNTA(B7:B324)</f>
        <v>318</v>
      </c>
      <c r="C325" s="21">
        <f t="shared" ref="C325:H325" si="30">SUM(C7:C324)</f>
        <v>1786452061.3299994</v>
      </c>
      <c r="D325" s="21">
        <f>SUM(D7:D324)</f>
        <v>-38131405.260000028</v>
      </c>
      <c r="E325" s="21">
        <f>SUM(E7:E324)</f>
        <v>-136050.4</v>
      </c>
      <c r="F325" s="21">
        <f>SUM(F7:F324)</f>
        <v>-4203197.700000002</v>
      </c>
      <c r="G325" s="69">
        <f t="shared" si="30"/>
        <v>1743981407.9699993</v>
      </c>
      <c r="H325" s="21">
        <f t="shared" si="30"/>
        <v>92971.85</v>
      </c>
      <c r="I325" s="21">
        <f t="shared" ref="I325:V325" si="31">SUM(I7:I324)</f>
        <v>121804.3</v>
      </c>
      <c r="J325" s="21">
        <f t="shared" si="31"/>
        <v>316756722.86000025</v>
      </c>
      <c r="K325" s="21">
        <f t="shared" si="31"/>
        <v>44359190.559999995</v>
      </c>
      <c r="L325" s="21">
        <f t="shared" si="31"/>
        <v>87284259.179999918</v>
      </c>
      <c r="M325" s="21">
        <f t="shared" si="31"/>
        <v>13444766.800000001</v>
      </c>
      <c r="N325" s="21">
        <f t="shared" si="31"/>
        <v>9315511.5200000051</v>
      </c>
      <c r="O325" s="21">
        <f>SUM(O7:O324)</f>
        <v>143950550.9625552</v>
      </c>
      <c r="P325" s="21">
        <f>SUM(P7:P324)</f>
        <v>166765939.79999992</v>
      </c>
      <c r="Q325" s="65"/>
      <c r="R325" s="69">
        <f t="shared" si="31"/>
        <v>2359307186.0025568</v>
      </c>
      <c r="S325" s="45">
        <f>R325/U325</f>
        <v>67.882509741731482</v>
      </c>
      <c r="T325" s="69">
        <f t="shared" si="31"/>
        <v>2201790063.9399991</v>
      </c>
      <c r="U325" s="69">
        <f t="shared" si="31"/>
        <v>34755744.815253168</v>
      </c>
      <c r="V325" s="21">
        <f t="shared" si="31"/>
        <v>62276805.900000006</v>
      </c>
      <c r="W325" s="21">
        <f t="shared" ref="W325:AD325" si="32">SUM(W7:W324)</f>
        <v>76798087.229999974</v>
      </c>
      <c r="X325" s="21">
        <f t="shared" si="32"/>
        <v>67428026.590000033</v>
      </c>
      <c r="Y325" s="69">
        <f t="shared" si="32"/>
        <v>206502919.71999997</v>
      </c>
      <c r="Z325" s="21">
        <f>SUM(Z7:Z324)</f>
        <v>61006621.850000016</v>
      </c>
      <c r="AA325" s="21">
        <f t="shared" si="32"/>
        <v>937934.74999999977</v>
      </c>
      <c r="AB325" s="21">
        <f t="shared" si="32"/>
        <v>3017151.5</v>
      </c>
      <c r="AC325" s="21">
        <f t="shared" si="32"/>
        <v>7400294.1599999992</v>
      </c>
      <c r="AD325" s="21">
        <f t="shared" si="32"/>
        <v>500049.58999999997</v>
      </c>
      <c r="AE325" s="21">
        <f>SUM(AE7:AE324)</f>
        <v>22034425.200000003</v>
      </c>
      <c r="AF325" s="21">
        <f t="shared" ref="AF325:AQ325" si="33">SUM(AF7:AF324)</f>
        <v>2726133.8600000003</v>
      </c>
      <c r="AG325" s="21">
        <f t="shared" si="33"/>
        <v>95336339.859999999</v>
      </c>
      <c r="AH325" s="21">
        <f t="shared" si="33"/>
        <v>6593314.9500000011</v>
      </c>
      <c r="AI325" s="21">
        <f t="shared" si="33"/>
        <v>79613176.670000002</v>
      </c>
      <c r="AJ325" s="21">
        <f t="shared" si="33"/>
        <v>18756180.829999994</v>
      </c>
      <c r="AK325" s="21">
        <f t="shared" si="33"/>
        <v>960792.3899999999</v>
      </c>
      <c r="AL325" s="21">
        <f t="shared" si="33"/>
        <v>37363.5</v>
      </c>
      <c r="AM325" s="21">
        <f t="shared" si="33"/>
        <v>12177757.219999997</v>
      </c>
      <c r="AN325" s="21">
        <f t="shared" si="33"/>
        <v>22685573.299999993</v>
      </c>
      <c r="AO325" s="21">
        <f t="shared" si="33"/>
        <v>9082507.7300000004</v>
      </c>
      <c r="AP325" s="21">
        <f t="shared" si="33"/>
        <v>3947808.1699999995</v>
      </c>
      <c r="AQ325" s="21">
        <f t="shared" si="33"/>
        <v>3298893.63</v>
      </c>
      <c r="AR325" s="21">
        <f>SUM(AR7:AR324)</f>
        <v>755369</v>
      </c>
    </row>
    <row r="326" spans="1:44" x14ac:dyDescent="0.25">
      <c r="Z326" s="22"/>
    </row>
    <row r="327" spans="1:44" x14ac:dyDescent="0.25">
      <c r="C327" s="9"/>
      <c r="I327" s="9"/>
      <c r="J327" s="9"/>
      <c r="K327" s="9"/>
      <c r="L327" s="9"/>
      <c r="M327" s="9"/>
      <c r="N327" s="9"/>
      <c r="R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44" x14ac:dyDescent="0.25">
      <c r="C328" s="9"/>
      <c r="J328" s="9"/>
    </row>
    <row r="329" spans="1:44" x14ac:dyDescent="0.25">
      <c r="C329" s="9"/>
      <c r="G329" s="9"/>
      <c r="J329" s="66"/>
    </row>
    <row r="330" spans="1:44" x14ac:dyDescent="0.25">
      <c r="G330" s="9"/>
    </row>
    <row r="331" spans="1:44" x14ac:dyDescent="0.25">
      <c r="G331" s="9"/>
    </row>
    <row r="332" spans="1:44" x14ac:dyDescent="0.25">
      <c r="G332" s="9"/>
    </row>
    <row r="333" spans="1:44" x14ac:dyDescent="0.25">
      <c r="G333" s="66"/>
    </row>
  </sheetData>
  <sheetProtection sheet="1" objects="1" scenarios="1"/>
  <protectedRanges>
    <protectedRange sqref="G7:AL324" name="Plage1"/>
  </protectedRanges>
  <mergeCells count="44">
    <mergeCell ref="A4:A6"/>
    <mergeCell ref="B4:B6"/>
    <mergeCell ref="N4:N6"/>
    <mergeCell ref="C4:C5"/>
    <mergeCell ref="H4:H5"/>
    <mergeCell ref="I4:I5"/>
    <mergeCell ref="J4:J5"/>
    <mergeCell ref="G4:G5"/>
    <mergeCell ref="K4:K5"/>
    <mergeCell ref="L4:L5"/>
    <mergeCell ref="M4:M5"/>
    <mergeCell ref="D4:D6"/>
    <mergeCell ref="E4:E6"/>
    <mergeCell ref="F4:F6"/>
    <mergeCell ref="AR4:AR5"/>
    <mergeCell ref="S4:S5"/>
    <mergeCell ref="AI4:AI6"/>
    <mergeCell ref="AK4:AK6"/>
    <mergeCell ref="AJ4:AJ6"/>
    <mergeCell ref="AE4:AE5"/>
    <mergeCell ref="AF4:AF5"/>
    <mergeCell ref="W4:W5"/>
    <mergeCell ref="AG4:AG5"/>
    <mergeCell ref="AH4:AH5"/>
    <mergeCell ref="AO4:AO6"/>
    <mergeCell ref="AM4:AM5"/>
    <mergeCell ref="Y4:Y6"/>
    <mergeCell ref="T4:T6"/>
    <mergeCell ref="Q4:Q6"/>
    <mergeCell ref="O4:O6"/>
    <mergeCell ref="AP4:AP6"/>
    <mergeCell ref="AQ4:AQ6"/>
    <mergeCell ref="V4:V5"/>
    <mergeCell ref="AA4:AA5"/>
    <mergeCell ref="AB4:AB5"/>
    <mergeCell ref="AC4:AC5"/>
    <mergeCell ref="U4:U5"/>
    <mergeCell ref="Z4:Z5"/>
    <mergeCell ref="X4:X5"/>
    <mergeCell ref="AL4:AL6"/>
    <mergeCell ref="AN4:AN6"/>
    <mergeCell ref="AD4:AD5"/>
    <mergeCell ref="P4:P5"/>
    <mergeCell ref="R4:R6"/>
  </mergeCells>
  <phoneticPr fontId="0" type="noConversion"/>
  <pageMargins left="0" right="0" top="0" bottom="0" header="0.51181102362204722" footer="0.51181102362204722"/>
  <pageSetup paperSize="8" scale="70" orientation="landscape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341"/>
  <sheetViews>
    <sheetView workbookViewId="0"/>
  </sheetViews>
  <sheetFormatPr baseColWidth="10" defaultColWidth="11" defaultRowHeight="15" x14ac:dyDescent="0.25"/>
  <cols>
    <col min="1" max="1" width="7.25" style="24" customWidth="1"/>
    <col min="2" max="2" width="18" style="24" customWidth="1"/>
    <col min="3" max="5" width="18" style="9" customWidth="1"/>
    <col min="6" max="6" width="20.5" style="9" bestFit="1" customWidth="1"/>
    <col min="7" max="7" width="14.375" style="58" customWidth="1"/>
    <col min="8" max="8" width="14.375" style="9" customWidth="1"/>
    <col min="9" max="16384" width="11" style="24"/>
  </cols>
  <sheetData>
    <row r="1" spans="1:8" ht="21" x14ac:dyDescent="0.25">
      <c r="A1" s="86" t="s">
        <v>502</v>
      </c>
      <c r="B1" s="74"/>
      <c r="C1" s="76"/>
      <c r="D1" s="76"/>
      <c r="E1" s="76"/>
      <c r="F1" s="76"/>
      <c r="G1" s="88"/>
      <c r="H1" s="76"/>
    </row>
    <row r="3" spans="1:8" ht="60" x14ac:dyDescent="0.25">
      <c r="A3" s="435" t="s">
        <v>53</v>
      </c>
      <c r="B3" s="435" t="s">
        <v>123</v>
      </c>
      <c r="C3" s="92" t="s">
        <v>491</v>
      </c>
      <c r="D3" s="92" t="s">
        <v>230</v>
      </c>
      <c r="E3" s="438" t="s">
        <v>174</v>
      </c>
      <c r="F3" s="438" t="s">
        <v>419</v>
      </c>
      <c r="G3" s="441" t="s">
        <v>334</v>
      </c>
      <c r="H3" s="438" t="s">
        <v>486</v>
      </c>
    </row>
    <row r="4" spans="1:8" x14ac:dyDescent="0.25">
      <c r="A4" s="437"/>
      <c r="B4" s="436"/>
      <c r="C4" s="344">
        <f>Paramètres!B11</f>
        <v>0.5</v>
      </c>
      <c r="D4" s="93">
        <f>Paramètres!B12</f>
        <v>0.3</v>
      </c>
      <c r="E4" s="440"/>
      <c r="F4" s="439"/>
      <c r="G4" s="442"/>
      <c r="H4" s="440"/>
    </row>
    <row r="5" spans="1:8" x14ac:dyDescent="0.25">
      <c r="A5" s="78">
        <f>'A) Base RI'!A7</f>
        <v>5401</v>
      </c>
      <c r="B5" s="146" t="str">
        <f>'A) Base RI'!B7</f>
        <v>Aigle</v>
      </c>
      <c r="C5" s="90">
        <f>'B) D RI'!Y7</f>
        <v>789508.35000000009</v>
      </c>
      <c r="D5" s="149">
        <f>'B) D RI'!Z7</f>
        <v>853284.1</v>
      </c>
      <c r="E5" s="124">
        <f t="shared" ref="E5:E60" si="0">C5+D5</f>
        <v>1642792.4500000002</v>
      </c>
      <c r="F5" s="90">
        <f>'B) D RI'!U7</f>
        <v>256314.41797530872</v>
      </c>
      <c r="G5" s="345">
        <f>E5/F5</f>
        <v>6.4092861532208216</v>
      </c>
      <c r="H5" s="97">
        <f>(C5*$C$4)+(D5*$D$4)</f>
        <v>650739.40500000003</v>
      </c>
    </row>
    <row r="6" spans="1:8" x14ac:dyDescent="0.25">
      <c r="A6" s="82">
        <f>'A) Base RI'!A8</f>
        <v>5402</v>
      </c>
      <c r="B6" s="147" t="str">
        <f>'A) Base RI'!B8</f>
        <v>Bex</v>
      </c>
      <c r="C6" s="18">
        <f>'B) D RI'!Y8</f>
        <v>1124109.9500000002</v>
      </c>
      <c r="D6" s="61">
        <f>'B) D RI'!Z8</f>
        <v>143559.79999999999</v>
      </c>
      <c r="E6" s="73">
        <f t="shared" si="0"/>
        <v>1267669.7500000002</v>
      </c>
      <c r="F6" s="18">
        <f>'B) D RI'!U8</f>
        <v>163724.47859154927</v>
      </c>
      <c r="G6" s="346">
        <f t="shared" ref="G6:G60" si="1">E6/F6</f>
        <v>7.7427014024122336</v>
      </c>
      <c r="H6" s="98">
        <f t="shared" ref="H6:H61" si="2">(C6*$C$4)+(D6*$D$4)</f>
        <v>605122.91500000004</v>
      </c>
    </row>
    <row r="7" spans="1:8" x14ac:dyDescent="0.25">
      <c r="A7" s="82">
        <f>'A) Base RI'!A9</f>
        <v>5403</v>
      </c>
      <c r="B7" s="147" t="str">
        <f>'A) Base RI'!B9</f>
        <v>Chessel</v>
      </c>
      <c r="C7" s="18">
        <f>'B) D RI'!Y9</f>
        <v>44021.2</v>
      </c>
      <c r="D7" s="61">
        <f>'B) D RI'!Z9</f>
        <v>4037.55</v>
      </c>
      <c r="E7" s="73">
        <f t="shared" si="0"/>
        <v>48058.75</v>
      </c>
      <c r="F7" s="18">
        <f>'B) D RI'!U9</f>
        <v>7826.6322368421061</v>
      </c>
      <c r="G7" s="346">
        <f t="shared" si="1"/>
        <v>6.140412446336021</v>
      </c>
      <c r="H7" s="98">
        <f t="shared" si="2"/>
        <v>23221.864999999998</v>
      </c>
    </row>
    <row r="8" spans="1:8" x14ac:dyDescent="0.25">
      <c r="A8" s="82">
        <f>'A) Base RI'!A10</f>
        <v>5404</v>
      </c>
      <c r="B8" s="147" t="str">
        <f>'A) Base RI'!B10</f>
        <v>Corbeyrier</v>
      </c>
      <c r="C8" s="18">
        <f>'B) D RI'!Y10</f>
        <v>179785</v>
      </c>
      <c r="D8" s="61">
        <f>'B) D RI'!Z10</f>
        <v>10573.6</v>
      </c>
      <c r="E8" s="73">
        <f t="shared" si="0"/>
        <v>190358.6</v>
      </c>
      <c r="F8" s="18">
        <f>'B) D RI'!U10</f>
        <v>8762.5650952380947</v>
      </c>
      <c r="G8" s="346">
        <f t="shared" si="1"/>
        <v>21.7240725667702</v>
      </c>
      <c r="H8" s="98">
        <f t="shared" si="2"/>
        <v>93064.58</v>
      </c>
    </row>
    <row r="9" spans="1:8" x14ac:dyDescent="0.25">
      <c r="A9" s="82">
        <f>'A) Base RI'!A11</f>
        <v>5405</v>
      </c>
      <c r="B9" s="147" t="str">
        <f>'A) Base RI'!B11</f>
        <v>Gryon</v>
      </c>
      <c r="C9" s="18">
        <f>'B) D RI'!Y11</f>
        <v>807083.2</v>
      </c>
      <c r="D9" s="61">
        <f>'B) D RI'!Z11</f>
        <v>0</v>
      </c>
      <c r="E9" s="73">
        <f t="shared" si="0"/>
        <v>807083.2</v>
      </c>
      <c r="F9" s="18">
        <f>'B) D RI'!U11</f>
        <v>67187.701777777766</v>
      </c>
      <c r="G9" s="346">
        <f t="shared" si="1"/>
        <v>12.012365040694718</v>
      </c>
      <c r="H9" s="98">
        <f t="shared" si="2"/>
        <v>403541.6</v>
      </c>
    </row>
    <row r="10" spans="1:8" x14ac:dyDescent="0.25">
      <c r="A10" s="82">
        <f>'A) Base RI'!A12</f>
        <v>5406</v>
      </c>
      <c r="B10" s="147" t="str">
        <f>'A) Base RI'!B12</f>
        <v>Lavey-Morcles</v>
      </c>
      <c r="C10" s="18">
        <f>'B) D RI'!Y12</f>
        <v>127578.59999999999</v>
      </c>
      <c r="D10" s="61">
        <f>'B) D RI'!Z12</f>
        <v>0</v>
      </c>
      <c r="E10" s="73">
        <f t="shared" si="0"/>
        <v>127578.59999999999</v>
      </c>
      <c r="F10" s="18">
        <f>'B) D RI'!U12</f>
        <v>19209.951419284946</v>
      </c>
      <c r="G10" s="346">
        <f t="shared" si="1"/>
        <v>6.6412765558544482</v>
      </c>
      <c r="H10" s="98">
        <f t="shared" si="2"/>
        <v>63789.299999999996</v>
      </c>
    </row>
    <row r="11" spans="1:8" x14ac:dyDescent="0.25">
      <c r="A11" s="82">
        <f>'A) Base RI'!A13</f>
        <v>5407</v>
      </c>
      <c r="B11" s="147" t="str">
        <f>'A) Base RI'!B13</f>
        <v>Leysin</v>
      </c>
      <c r="C11" s="18">
        <f>'B) D RI'!Y13</f>
        <v>1009335.3</v>
      </c>
      <c r="D11" s="61">
        <f>'B) D RI'!Z13</f>
        <v>23145.9</v>
      </c>
      <c r="E11" s="73">
        <f t="shared" si="0"/>
        <v>1032481.2000000001</v>
      </c>
      <c r="F11" s="18">
        <f>'B) D RI'!U13</f>
        <v>99721.08303418805</v>
      </c>
      <c r="G11" s="346">
        <f t="shared" si="1"/>
        <v>10.353690198551369</v>
      </c>
      <c r="H11" s="98">
        <f t="shared" si="2"/>
        <v>511611.42000000004</v>
      </c>
    </row>
    <row r="12" spans="1:8" x14ac:dyDescent="0.25">
      <c r="A12" s="82">
        <f>'A) Base RI'!A14</f>
        <v>5408</v>
      </c>
      <c r="B12" s="147" t="str">
        <f>'A) Base RI'!B14</f>
        <v>Noville</v>
      </c>
      <c r="C12" s="18">
        <f>'B) D RI'!Y14</f>
        <v>172532.35</v>
      </c>
      <c r="D12" s="61">
        <f>'B) D RI'!Z14</f>
        <v>50894.8</v>
      </c>
      <c r="E12" s="73">
        <f t="shared" si="0"/>
        <v>223427.15000000002</v>
      </c>
      <c r="F12" s="18">
        <f>'B) D RI'!U14</f>
        <v>27782.072271762208</v>
      </c>
      <c r="G12" s="346">
        <f t="shared" si="1"/>
        <v>8.0421340717298513</v>
      </c>
      <c r="H12" s="98">
        <f t="shared" si="2"/>
        <v>101534.61500000001</v>
      </c>
    </row>
    <row r="13" spans="1:8" x14ac:dyDescent="0.25">
      <c r="A13" s="82">
        <f>'A) Base RI'!A15</f>
        <v>5409</v>
      </c>
      <c r="B13" s="147" t="str">
        <f>'A) Base RI'!B15</f>
        <v>Ollon</v>
      </c>
      <c r="C13" s="18">
        <f>'B) D RI'!Y15</f>
        <v>2938959.6</v>
      </c>
      <c r="D13" s="61">
        <f>'B) D RI'!Z15</f>
        <v>44172.95</v>
      </c>
      <c r="E13" s="73">
        <f t="shared" si="0"/>
        <v>2983132.5500000003</v>
      </c>
      <c r="F13" s="18">
        <f>'B) D RI'!U15</f>
        <v>373016.06252262433</v>
      </c>
      <c r="G13" s="346">
        <f t="shared" si="1"/>
        <v>7.9973300072542211</v>
      </c>
      <c r="H13" s="98">
        <f t="shared" si="2"/>
        <v>1482731.6850000001</v>
      </c>
    </row>
    <row r="14" spans="1:8" x14ac:dyDescent="0.25">
      <c r="A14" s="82">
        <f>'A) Base RI'!A16</f>
        <v>5410</v>
      </c>
      <c r="B14" s="147" t="str">
        <f>'A) Base RI'!B16</f>
        <v>Ormont-Dessous</v>
      </c>
      <c r="C14" s="18">
        <f>'B) D RI'!Y16</f>
        <v>251175.85</v>
      </c>
      <c r="D14" s="61">
        <f>'B) D RI'!Z16</f>
        <v>2705.05</v>
      </c>
      <c r="E14" s="73">
        <f t="shared" si="0"/>
        <v>253880.9</v>
      </c>
      <c r="F14" s="18">
        <f>'B) D RI'!U16</f>
        <v>31634.392526539275</v>
      </c>
      <c r="G14" s="346">
        <f t="shared" si="1"/>
        <v>8.0254710055522587</v>
      </c>
      <c r="H14" s="98">
        <f t="shared" si="2"/>
        <v>126399.44</v>
      </c>
    </row>
    <row r="15" spans="1:8" x14ac:dyDescent="0.25">
      <c r="A15" s="82">
        <f>'A) Base RI'!A17</f>
        <v>5411</v>
      </c>
      <c r="B15" s="147" t="str">
        <f>'A) Base RI'!B17</f>
        <v>Ormont-Dessus</v>
      </c>
      <c r="C15" s="18">
        <f>'B) D RI'!Y17</f>
        <v>671234.9</v>
      </c>
      <c r="D15" s="61">
        <f>'B) D RI'!Z17</f>
        <v>0</v>
      </c>
      <c r="E15" s="73">
        <f t="shared" si="0"/>
        <v>671234.9</v>
      </c>
      <c r="F15" s="18">
        <f>'B) D RI'!U17</f>
        <v>68022.060675675675</v>
      </c>
      <c r="G15" s="346">
        <f t="shared" si="1"/>
        <v>9.8679001096482519</v>
      </c>
      <c r="H15" s="98">
        <f t="shared" si="2"/>
        <v>335617.45</v>
      </c>
    </row>
    <row r="16" spans="1:8" x14ac:dyDescent="0.25">
      <c r="A16" s="82">
        <f>'A) Base RI'!A18</f>
        <v>5412</v>
      </c>
      <c r="B16" s="147" t="str">
        <f>'A) Base RI'!B18</f>
        <v>Rennaz</v>
      </c>
      <c r="C16" s="18">
        <f>'B) D RI'!Y18</f>
        <v>375278.10000000003</v>
      </c>
      <c r="D16" s="61">
        <f>'B) D RI'!Z18</f>
        <v>96688.6</v>
      </c>
      <c r="E16" s="73">
        <f t="shared" si="0"/>
        <v>471966.70000000007</v>
      </c>
      <c r="F16" s="18">
        <f>'B) D RI'!U18</f>
        <v>24549.662992125981</v>
      </c>
      <c r="G16" s="346">
        <f t="shared" si="1"/>
        <v>19.224976740062701</v>
      </c>
      <c r="H16" s="98">
        <f t="shared" si="2"/>
        <v>216645.63</v>
      </c>
    </row>
    <row r="17" spans="1:8" x14ac:dyDescent="0.25">
      <c r="A17" s="82">
        <f>'A) Base RI'!A19</f>
        <v>5413</v>
      </c>
      <c r="B17" s="147" t="str">
        <f>'A) Base RI'!B19</f>
        <v>Roche</v>
      </c>
      <c r="C17" s="18">
        <f>'B) D RI'!Y19</f>
        <v>304201.60000000003</v>
      </c>
      <c r="D17" s="61">
        <f>'B) D RI'!Z19</f>
        <v>197745.9</v>
      </c>
      <c r="E17" s="73">
        <f t="shared" si="0"/>
        <v>501947.5</v>
      </c>
      <c r="F17" s="18">
        <f>'B) D RI'!U19</f>
        <v>35383.920882352941</v>
      </c>
      <c r="G17" s="346">
        <f t="shared" si="1"/>
        <v>14.185751253200907</v>
      </c>
      <c r="H17" s="98">
        <f t="shared" si="2"/>
        <v>211424.57</v>
      </c>
    </row>
    <row r="18" spans="1:8" x14ac:dyDescent="0.25">
      <c r="A18" s="82">
        <f>'A) Base RI'!A20</f>
        <v>5414</v>
      </c>
      <c r="B18" s="147" t="str">
        <f>'A) Base RI'!B20</f>
        <v>Villeneuve</v>
      </c>
      <c r="C18" s="18">
        <f>'B) D RI'!Y20</f>
        <v>1443054.05</v>
      </c>
      <c r="D18" s="61">
        <f>'B) D RI'!Z20</f>
        <v>739606.15</v>
      </c>
      <c r="E18" s="73">
        <f t="shared" si="0"/>
        <v>2182660.2000000002</v>
      </c>
      <c r="F18" s="18">
        <f>'B) D RI'!U20</f>
        <v>178367.91043478262</v>
      </c>
      <c r="G18" s="346">
        <f t="shared" si="1"/>
        <v>12.236843469655687</v>
      </c>
      <c r="H18" s="98">
        <f t="shared" si="2"/>
        <v>943408.87</v>
      </c>
    </row>
    <row r="19" spans="1:8" x14ac:dyDescent="0.25">
      <c r="A19" s="82">
        <f>'A) Base RI'!A21</f>
        <v>5415</v>
      </c>
      <c r="B19" s="147" t="str">
        <f>'A) Base RI'!B21</f>
        <v>Yvorne</v>
      </c>
      <c r="C19" s="18">
        <f>'B) D RI'!Y21</f>
        <v>296302.95</v>
      </c>
      <c r="D19" s="61">
        <f>'B) D RI'!Z21</f>
        <v>44730.400000000001</v>
      </c>
      <c r="E19" s="73">
        <f t="shared" si="0"/>
        <v>341033.35000000003</v>
      </c>
      <c r="F19" s="18">
        <f>'B) D RI'!U21</f>
        <v>40073.521995133822</v>
      </c>
      <c r="G19" s="346">
        <f t="shared" si="1"/>
        <v>8.5101915933770975</v>
      </c>
      <c r="H19" s="98">
        <f t="shared" si="2"/>
        <v>161570.595</v>
      </c>
    </row>
    <row r="20" spans="1:8" x14ac:dyDescent="0.25">
      <c r="A20" s="82">
        <f>'A) Base RI'!A22</f>
        <v>5421</v>
      </c>
      <c r="B20" s="147" t="str">
        <f>'A) Base RI'!B22</f>
        <v>Apples</v>
      </c>
      <c r="C20" s="18">
        <f>'B) D RI'!Y22</f>
        <v>278716.75</v>
      </c>
      <c r="D20" s="61">
        <f>'B) D RI'!Z22</f>
        <v>19718.150000000001</v>
      </c>
      <c r="E20" s="73">
        <f t="shared" si="0"/>
        <v>298434.90000000002</v>
      </c>
      <c r="F20" s="18">
        <f>'B) D RI'!U22</f>
        <v>49174.834507042251</v>
      </c>
      <c r="G20" s="346">
        <f t="shared" si="1"/>
        <v>6.0688541810397272</v>
      </c>
      <c r="H20" s="98">
        <f t="shared" si="2"/>
        <v>145273.82</v>
      </c>
    </row>
    <row r="21" spans="1:8" x14ac:dyDescent="0.25">
      <c r="A21" s="82">
        <f>'A) Base RI'!A23</f>
        <v>5422</v>
      </c>
      <c r="B21" s="147" t="str">
        <f>'A) Base RI'!B23</f>
        <v>Aubonne</v>
      </c>
      <c r="C21" s="18">
        <f>'B) D RI'!Y23</f>
        <v>863884.7</v>
      </c>
      <c r="D21" s="61">
        <f>'B) D RI'!Z23</f>
        <v>457342.95</v>
      </c>
      <c r="E21" s="73">
        <f t="shared" si="0"/>
        <v>1321227.6499999999</v>
      </c>
      <c r="F21" s="18">
        <f>'B) D RI'!U23</f>
        <v>256689.81279411758</v>
      </c>
      <c r="G21" s="346">
        <f t="shared" si="1"/>
        <v>5.1471760239262512</v>
      </c>
      <c r="H21" s="98">
        <f t="shared" si="2"/>
        <v>569145.23499999999</v>
      </c>
    </row>
    <row r="22" spans="1:8" x14ac:dyDescent="0.25">
      <c r="A22" s="82">
        <f>'A) Base RI'!A24</f>
        <v>5423</v>
      </c>
      <c r="B22" s="147" t="str">
        <f>'A) Base RI'!B24</f>
        <v>Ballens</v>
      </c>
      <c r="C22" s="18">
        <f>'B) D RI'!Y24</f>
        <v>27638.199999999997</v>
      </c>
      <c r="D22" s="61">
        <f>'B) D RI'!Z24</f>
        <v>12384.5</v>
      </c>
      <c r="E22" s="73">
        <f t="shared" si="0"/>
        <v>40022.699999999997</v>
      </c>
      <c r="F22" s="18">
        <f>'B) D RI'!U24</f>
        <v>16056.117971014495</v>
      </c>
      <c r="G22" s="346">
        <f t="shared" si="1"/>
        <v>2.4926760050126355</v>
      </c>
      <c r="H22" s="98">
        <f t="shared" si="2"/>
        <v>17534.449999999997</v>
      </c>
    </row>
    <row r="23" spans="1:8" x14ac:dyDescent="0.25">
      <c r="A23" s="82">
        <f>'A) Base RI'!A25</f>
        <v>5424</v>
      </c>
      <c r="B23" s="147" t="str">
        <f>'A) Base RI'!B25</f>
        <v>Berolle</v>
      </c>
      <c r="C23" s="18">
        <f>'B) D RI'!Y25</f>
        <v>12947.8</v>
      </c>
      <c r="D23" s="61">
        <f>'B) D RI'!Z25</f>
        <v>0</v>
      </c>
      <c r="E23" s="73">
        <f t="shared" si="0"/>
        <v>12947.8</v>
      </c>
      <c r="F23" s="18">
        <f>'B) D RI'!U25</f>
        <v>9358.0229870129861</v>
      </c>
      <c r="G23" s="346">
        <f t="shared" si="1"/>
        <v>1.3836042097747447</v>
      </c>
      <c r="H23" s="98">
        <f t="shared" si="2"/>
        <v>6473.9</v>
      </c>
    </row>
    <row r="24" spans="1:8" x14ac:dyDescent="0.25">
      <c r="A24" s="82">
        <f>'A) Base RI'!A26</f>
        <v>5425</v>
      </c>
      <c r="B24" s="147" t="str">
        <f>'A) Base RI'!B26</f>
        <v>Bière</v>
      </c>
      <c r="C24" s="18">
        <f>'B) D RI'!Y26</f>
        <v>113520.75</v>
      </c>
      <c r="D24" s="61">
        <f>'B) D RI'!Z26</f>
        <v>23256.55</v>
      </c>
      <c r="E24" s="73">
        <f t="shared" si="0"/>
        <v>136777.29999999999</v>
      </c>
      <c r="F24" s="18">
        <f>'B) D RI'!U26</f>
        <v>37126.422058823526</v>
      </c>
      <c r="G24" s="346">
        <f t="shared" si="1"/>
        <v>3.6840959191620586</v>
      </c>
      <c r="H24" s="98">
        <f t="shared" si="2"/>
        <v>63737.34</v>
      </c>
    </row>
    <row r="25" spans="1:8" x14ac:dyDescent="0.25">
      <c r="A25" s="82">
        <f>'A) Base RI'!A27</f>
        <v>5426</v>
      </c>
      <c r="B25" s="147" t="str">
        <f>'A) Base RI'!B27</f>
        <v>Bougy-Villars</v>
      </c>
      <c r="C25" s="18">
        <f>'B) D RI'!Y27</f>
        <v>466099.69999999995</v>
      </c>
      <c r="D25" s="61">
        <f>'B) D RI'!Z27</f>
        <v>11863.7</v>
      </c>
      <c r="E25" s="73">
        <f t="shared" si="0"/>
        <v>477963.39999999997</v>
      </c>
      <c r="F25" s="18">
        <f>'B) D RI'!U27</f>
        <v>52784.469677419351</v>
      </c>
      <c r="G25" s="346">
        <f t="shared" si="1"/>
        <v>9.0550005128585713</v>
      </c>
      <c r="H25" s="98">
        <f t="shared" si="2"/>
        <v>236608.95999999996</v>
      </c>
    </row>
    <row r="26" spans="1:8" x14ac:dyDescent="0.25">
      <c r="A26" s="82">
        <f>'A) Base RI'!A28</f>
        <v>5427</v>
      </c>
      <c r="B26" s="147" t="str">
        <f>'A) Base RI'!B28</f>
        <v>Féchy</v>
      </c>
      <c r="C26" s="18">
        <f>'B) D RI'!Y28</f>
        <v>376953.65</v>
      </c>
      <c r="D26" s="61">
        <f>'B) D RI'!Z28</f>
        <v>6769</v>
      </c>
      <c r="E26" s="73">
        <f t="shared" si="0"/>
        <v>383722.65</v>
      </c>
      <c r="F26" s="18">
        <f>'B) D RI'!U28</f>
        <v>75059.583293269228</v>
      </c>
      <c r="G26" s="346">
        <f t="shared" si="1"/>
        <v>5.1122406115783665</v>
      </c>
      <c r="H26" s="98">
        <f t="shared" si="2"/>
        <v>190507.52500000002</v>
      </c>
    </row>
    <row r="27" spans="1:8" x14ac:dyDescent="0.25">
      <c r="A27" s="82">
        <f>'A) Base RI'!A29</f>
        <v>5428</v>
      </c>
      <c r="B27" s="147" t="str">
        <f>'A) Base RI'!B29</f>
        <v>Gimel</v>
      </c>
      <c r="C27" s="18">
        <f>'B) D RI'!Y29</f>
        <v>276254.14999999997</v>
      </c>
      <c r="D27" s="61">
        <f>'B) D RI'!Z29</f>
        <v>208566.85</v>
      </c>
      <c r="E27" s="73">
        <f t="shared" si="0"/>
        <v>484821</v>
      </c>
      <c r="F27" s="18">
        <f>'B) D RI'!U29</f>
        <v>54244.883403263411</v>
      </c>
      <c r="G27" s="346">
        <f t="shared" si="1"/>
        <v>8.9376355811437289</v>
      </c>
      <c r="H27" s="98">
        <f t="shared" si="2"/>
        <v>200697.12999999998</v>
      </c>
    </row>
    <row r="28" spans="1:8" x14ac:dyDescent="0.25">
      <c r="A28" s="82">
        <f>'A) Base RI'!A30</f>
        <v>5429</v>
      </c>
      <c r="B28" s="147" t="str">
        <f>'A) Base RI'!B30</f>
        <v>Longirod</v>
      </c>
      <c r="C28" s="18">
        <f>'B) D RI'!Y30</f>
        <v>92739.85</v>
      </c>
      <c r="D28" s="61">
        <f>'B) D RI'!Z30</f>
        <v>0</v>
      </c>
      <c r="E28" s="73">
        <f t="shared" si="0"/>
        <v>92739.85</v>
      </c>
      <c r="F28" s="18">
        <f>'B) D RI'!U30</f>
        <v>14621.746419753083</v>
      </c>
      <c r="G28" s="346">
        <f t="shared" si="1"/>
        <v>6.3425973435508469</v>
      </c>
      <c r="H28" s="98">
        <f t="shared" si="2"/>
        <v>46369.925000000003</v>
      </c>
    </row>
    <row r="29" spans="1:8" x14ac:dyDescent="0.25">
      <c r="A29" s="82">
        <f>'A) Base RI'!A31</f>
        <v>5430</v>
      </c>
      <c r="B29" s="147" t="str">
        <f>'A) Base RI'!B31</f>
        <v>Marchissy</v>
      </c>
      <c r="C29" s="18">
        <f>'B) D RI'!Y31</f>
        <v>75536.7</v>
      </c>
      <c r="D29" s="61">
        <f>'B) D RI'!Z31</f>
        <v>11420.9</v>
      </c>
      <c r="E29" s="73">
        <f t="shared" si="0"/>
        <v>86957.599999999991</v>
      </c>
      <c r="F29" s="18">
        <f>'B) D RI'!U31</f>
        <v>13069.378271604934</v>
      </c>
      <c r="G29" s="346">
        <f t="shared" si="1"/>
        <v>6.6535376199897458</v>
      </c>
      <c r="H29" s="98">
        <f t="shared" si="2"/>
        <v>41194.619999999995</v>
      </c>
    </row>
    <row r="30" spans="1:8" x14ac:dyDescent="0.25">
      <c r="A30" s="82">
        <f>'A) Base RI'!A32</f>
        <v>5431</v>
      </c>
      <c r="B30" s="147" t="str">
        <f>'A) Base RI'!B32</f>
        <v>Mollens</v>
      </c>
      <c r="C30" s="18">
        <f>'B) D RI'!Y32</f>
        <v>42857.7</v>
      </c>
      <c r="D30" s="61">
        <f>'B) D RI'!Z32</f>
        <v>0</v>
      </c>
      <c r="E30" s="73">
        <f t="shared" si="0"/>
        <v>42857.7</v>
      </c>
      <c r="F30" s="18">
        <f>'B) D RI'!U32</f>
        <v>8024.3136486486483</v>
      </c>
      <c r="G30" s="346">
        <f t="shared" si="1"/>
        <v>5.3409801606169198</v>
      </c>
      <c r="H30" s="98">
        <f t="shared" si="2"/>
        <v>21428.85</v>
      </c>
    </row>
    <row r="31" spans="1:8" x14ac:dyDescent="0.25">
      <c r="A31" s="82">
        <f>'A) Base RI'!A33</f>
        <v>5432</v>
      </c>
      <c r="B31" s="147" t="str">
        <f>'A) Base RI'!B33</f>
        <v>Montherod</v>
      </c>
      <c r="C31" s="18">
        <f>'B) D RI'!Y33</f>
        <v>135133.20000000001</v>
      </c>
      <c r="D31" s="61">
        <f>'B) D RI'!Z33</f>
        <v>11485.1</v>
      </c>
      <c r="E31" s="73">
        <f t="shared" si="0"/>
        <v>146618.30000000002</v>
      </c>
      <c r="F31" s="18">
        <f>'B) D RI'!U33</f>
        <v>17799.430540540543</v>
      </c>
      <c r="G31" s="346">
        <f t="shared" si="1"/>
        <v>8.2372466729234723</v>
      </c>
      <c r="H31" s="98">
        <f t="shared" si="2"/>
        <v>71012.13</v>
      </c>
    </row>
    <row r="32" spans="1:8" x14ac:dyDescent="0.25">
      <c r="A32" s="82">
        <f>'A) Base RI'!A34</f>
        <v>5434</v>
      </c>
      <c r="B32" s="147" t="str">
        <f>'A) Base RI'!B34</f>
        <v>Saint-George</v>
      </c>
      <c r="C32" s="18">
        <f>'B) D RI'!Y34</f>
        <v>367930.1</v>
      </c>
      <c r="D32" s="61">
        <f>'B) D RI'!Z34</f>
        <v>38621.300000000003</v>
      </c>
      <c r="E32" s="73">
        <f t="shared" si="0"/>
        <v>406551.39999999997</v>
      </c>
      <c r="F32" s="18">
        <f>'B) D RI'!U34</f>
        <v>35135.099562043797</v>
      </c>
      <c r="G32" s="346">
        <f t="shared" si="1"/>
        <v>11.571090023014895</v>
      </c>
      <c r="H32" s="98">
        <f t="shared" si="2"/>
        <v>195551.44</v>
      </c>
    </row>
    <row r="33" spans="1:8" x14ac:dyDescent="0.25">
      <c r="A33" s="82">
        <f>'A) Base RI'!A35</f>
        <v>5435</v>
      </c>
      <c r="B33" s="147" t="str">
        <f>'A) Base RI'!B35</f>
        <v>Saint-Livres</v>
      </c>
      <c r="C33" s="18">
        <f>'B) D RI'!Y35</f>
        <v>154541.9</v>
      </c>
      <c r="D33" s="61">
        <f>'B) D RI'!Z35</f>
        <v>0</v>
      </c>
      <c r="E33" s="73">
        <f t="shared" si="0"/>
        <v>154541.9</v>
      </c>
      <c r="F33" s="18">
        <f>'B) D RI'!U35</f>
        <v>21558.748985507245</v>
      </c>
      <c r="G33" s="346">
        <f t="shared" si="1"/>
        <v>7.1684075965581293</v>
      </c>
      <c r="H33" s="98">
        <f t="shared" si="2"/>
        <v>77270.95</v>
      </c>
    </row>
    <row r="34" spans="1:8" x14ac:dyDescent="0.25">
      <c r="A34" s="82">
        <f>'A) Base RI'!A36</f>
        <v>5436</v>
      </c>
      <c r="B34" s="147" t="str">
        <f>'A) Base RI'!B36</f>
        <v>Saint-Oyens</v>
      </c>
      <c r="C34" s="18">
        <f>'B) D RI'!Y36</f>
        <v>106109.4</v>
      </c>
      <c r="D34" s="61">
        <f>'B) D RI'!Z36</f>
        <v>0</v>
      </c>
      <c r="E34" s="73">
        <f t="shared" si="0"/>
        <v>106109.4</v>
      </c>
      <c r="F34" s="18">
        <f>'B) D RI'!U36</f>
        <v>11369.478086419756</v>
      </c>
      <c r="G34" s="346">
        <f t="shared" si="1"/>
        <v>9.3328294573822248</v>
      </c>
      <c r="H34" s="98">
        <f t="shared" si="2"/>
        <v>53054.7</v>
      </c>
    </row>
    <row r="35" spans="1:8" x14ac:dyDescent="0.25">
      <c r="A35" s="82">
        <f>'A) Base RI'!A37</f>
        <v>5437</v>
      </c>
      <c r="B35" s="147" t="str">
        <f>'A) Base RI'!B37</f>
        <v>Saubraz</v>
      </c>
      <c r="C35" s="18">
        <f>'B) D RI'!Y37</f>
        <v>116753.2</v>
      </c>
      <c r="D35" s="61">
        <f>'B) D RI'!Z37</f>
        <v>0</v>
      </c>
      <c r="E35" s="73">
        <f t="shared" si="0"/>
        <v>116753.2</v>
      </c>
      <c r="F35" s="18">
        <f>'B) D RI'!U37</f>
        <v>8208.7877108433731</v>
      </c>
      <c r="G35" s="346">
        <f t="shared" si="1"/>
        <v>14.222952780929541</v>
      </c>
      <c r="H35" s="98">
        <f t="shared" si="2"/>
        <v>58376.6</v>
      </c>
    </row>
    <row r="36" spans="1:8" x14ac:dyDescent="0.25">
      <c r="A36" s="82">
        <f>'A) Base RI'!A38</f>
        <v>5451</v>
      </c>
      <c r="B36" s="147" t="str">
        <f>'A) Base RI'!B38</f>
        <v>Avenches</v>
      </c>
      <c r="C36" s="18">
        <f>'B) D RI'!Y38</f>
        <v>695692.35000000009</v>
      </c>
      <c r="D36" s="61">
        <f>'B) D RI'!Z38</f>
        <v>494034.65</v>
      </c>
      <c r="E36" s="73">
        <f t="shared" si="0"/>
        <v>1189727</v>
      </c>
      <c r="F36" s="18">
        <f>'B) D RI'!U38</f>
        <v>103750.47926470588</v>
      </c>
      <c r="G36" s="346">
        <f t="shared" si="1"/>
        <v>11.467195220993302</v>
      </c>
      <c r="H36" s="98">
        <f t="shared" si="2"/>
        <v>496056.57000000007</v>
      </c>
    </row>
    <row r="37" spans="1:8" x14ac:dyDescent="0.25">
      <c r="A37" s="82">
        <f>'A) Base RI'!A39</f>
        <v>5456</v>
      </c>
      <c r="B37" s="147" t="str">
        <f>'A) Base RI'!B39</f>
        <v>Cudrefin</v>
      </c>
      <c r="C37" s="18">
        <f>'B) D RI'!Y39</f>
        <v>462941.1</v>
      </c>
      <c r="D37" s="61">
        <f>'B) D RI'!Z39</f>
        <v>0</v>
      </c>
      <c r="E37" s="73">
        <f t="shared" si="0"/>
        <v>462941.1</v>
      </c>
      <c r="F37" s="18">
        <f>'B) D RI'!U39</f>
        <v>45260.404011299433</v>
      </c>
      <c r="G37" s="346">
        <f t="shared" si="1"/>
        <v>10.228390800144536</v>
      </c>
      <c r="H37" s="98">
        <f t="shared" si="2"/>
        <v>231470.55</v>
      </c>
    </row>
    <row r="38" spans="1:8" x14ac:dyDescent="0.25">
      <c r="A38" s="82">
        <f>'A) Base RI'!A40</f>
        <v>5458</v>
      </c>
      <c r="B38" s="147" t="str">
        <f>'A) Base RI'!B40</f>
        <v>Faoug</v>
      </c>
      <c r="C38" s="18">
        <f>'B) D RI'!Y40</f>
        <v>348061</v>
      </c>
      <c r="D38" s="61">
        <f>'B) D RI'!Z40</f>
        <v>0</v>
      </c>
      <c r="E38" s="73">
        <f t="shared" si="0"/>
        <v>348061</v>
      </c>
      <c r="F38" s="18">
        <f>'B) D RI'!U40</f>
        <v>26731.83262295082</v>
      </c>
      <c r="G38" s="346">
        <f t="shared" si="1"/>
        <v>13.020469075553374</v>
      </c>
      <c r="H38" s="98">
        <f t="shared" si="2"/>
        <v>174030.5</v>
      </c>
    </row>
    <row r="39" spans="1:8" x14ac:dyDescent="0.25">
      <c r="A39" s="82">
        <f>'A) Base RI'!A41</f>
        <v>5464</v>
      </c>
      <c r="B39" s="147" t="str">
        <f>'A) Base RI'!B41</f>
        <v>Vully-les-Lacs</v>
      </c>
      <c r="C39" s="18">
        <f>'B) D RI'!Y41</f>
        <v>586015.19999999995</v>
      </c>
      <c r="D39" s="61">
        <f>'B) D RI'!Z41</f>
        <v>0</v>
      </c>
      <c r="E39" s="73">
        <f t="shared" si="0"/>
        <v>586015.19999999995</v>
      </c>
      <c r="F39" s="18">
        <f>'B) D RI'!U41</f>
        <v>91629.911044776149</v>
      </c>
      <c r="G39" s="346">
        <f t="shared" si="1"/>
        <v>6.3954574801850024</v>
      </c>
      <c r="H39" s="98">
        <f t="shared" si="2"/>
        <v>293007.59999999998</v>
      </c>
    </row>
    <row r="40" spans="1:8" x14ac:dyDescent="0.25">
      <c r="A40" s="82">
        <f>'A) Base RI'!A42</f>
        <v>5471</v>
      </c>
      <c r="B40" s="147" t="str">
        <f>'A) Base RI'!B42</f>
        <v>Bettens</v>
      </c>
      <c r="C40" s="18">
        <f>'B) D RI'!Y42</f>
        <v>258079.80000000002</v>
      </c>
      <c r="D40" s="61">
        <f>'B) D RI'!Z42</f>
        <v>0</v>
      </c>
      <c r="E40" s="73">
        <f t="shared" si="0"/>
        <v>258079.80000000002</v>
      </c>
      <c r="F40" s="18">
        <f>'B) D RI'!U42</f>
        <v>18668.279507936502</v>
      </c>
      <c r="G40" s="346">
        <f t="shared" si="1"/>
        <v>13.824509103277663</v>
      </c>
      <c r="H40" s="98">
        <f t="shared" si="2"/>
        <v>129039.90000000001</v>
      </c>
    </row>
    <row r="41" spans="1:8" x14ac:dyDescent="0.25">
      <c r="A41" s="82">
        <f>'A) Base RI'!A43</f>
        <v>5472</v>
      </c>
      <c r="B41" s="147" t="str">
        <f>'A) Base RI'!B43</f>
        <v>Bournens</v>
      </c>
      <c r="C41" s="18">
        <f>'B) D RI'!Y43</f>
        <v>56516.65</v>
      </c>
      <c r="D41" s="61">
        <f>'B) D RI'!Z43</f>
        <v>0</v>
      </c>
      <c r="E41" s="73">
        <f t="shared" si="0"/>
        <v>56516.65</v>
      </c>
      <c r="F41" s="18">
        <f>'B) D RI'!U43</f>
        <v>12834.669250000001</v>
      </c>
      <c r="G41" s="346">
        <f t="shared" si="1"/>
        <v>4.4034364189010944</v>
      </c>
      <c r="H41" s="98">
        <f t="shared" si="2"/>
        <v>28258.325000000001</v>
      </c>
    </row>
    <row r="42" spans="1:8" x14ac:dyDescent="0.25">
      <c r="A42" s="82">
        <f>'A) Base RI'!A44</f>
        <v>5473</v>
      </c>
      <c r="B42" s="147" t="str">
        <f>'A) Base RI'!B44</f>
        <v>Boussens</v>
      </c>
      <c r="C42" s="18">
        <f>'B) D RI'!Y44</f>
        <v>123439.6</v>
      </c>
      <c r="D42" s="61">
        <f>'B) D RI'!Z44</f>
        <v>0</v>
      </c>
      <c r="E42" s="73">
        <f t="shared" si="0"/>
        <v>123439.6</v>
      </c>
      <c r="F42" s="18">
        <f>'B) D RI'!U44</f>
        <v>32904.507681159426</v>
      </c>
      <c r="G42" s="346">
        <f t="shared" si="1"/>
        <v>3.7514495337877207</v>
      </c>
      <c r="H42" s="98">
        <f t="shared" si="2"/>
        <v>61719.8</v>
      </c>
    </row>
    <row r="43" spans="1:8" x14ac:dyDescent="0.25">
      <c r="A43" s="82">
        <f>'A) Base RI'!A45</f>
        <v>5474</v>
      </c>
      <c r="B43" s="147" t="str">
        <f>'A) Base RI'!B45</f>
        <v>La Chaux (Cossonay)</v>
      </c>
      <c r="C43" s="18">
        <f>'B) D RI'!Y45</f>
        <v>63494.3</v>
      </c>
      <c r="D43" s="61">
        <f>'B) D RI'!Z45</f>
        <v>0</v>
      </c>
      <c r="E43" s="73">
        <f t="shared" si="0"/>
        <v>63494.3</v>
      </c>
      <c r="F43" s="18">
        <f>'B) D RI'!U45</f>
        <v>12942.370952380952</v>
      </c>
      <c r="G43" s="346">
        <f t="shared" si="1"/>
        <v>4.9059249061563355</v>
      </c>
      <c r="H43" s="98">
        <f t="shared" si="2"/>
        <v>31747.15</v>
      </c>
    </row>
    <row r="44" spans="1:8" x14ac:dyDescent="0.25">
      <c r="A44" s="82">
        <f>'A) Base RI'!A46</f>
        <v>5475</v>
      </c>
      <c r="B44" s="147" t="str">
        <f>'A) Base RI'!B46</f>
        <v>Chavannes-le-Veyron</v>
      </c>
      <c r="C44" s="18">
        <f>'B) D RI'!Y46</f>
        <v>32978.1</v>
      </c>
      <c r="D44" s="61">
        <f>'B) D RI'!Z46</f>
        <v>0</v>
      </c>
      <c r="E44" s="73">
        <f t="shared" si="0"/>
        <v>32978.1</v>
      </c>
      <c r="F44" s="18">
        <f>'B) D RI'!U46</f>
        <v>2876.9510389610391</v>
      </c>
      <c r="G44" s="346">
        <f t="shared" si="1"/>
        <v>11.462864523377313</v>
      </c>
      <c r="H44" s="98">
        <f t="shared" si="2"/>
        <v>16489.05</v>
      </c>
    </row>
    <row r="45" spans="1:8" x14ac:dyDescent="0.25">
      <c r="A45" s="82">
        <f>'A) Base RI'!A47</f>
        <v>5476</v>
      </c>
      <c r="B45" s="147" t="str">
        <f>'A) Base RI'!B47</f>
        <v>Chevilly</v>
      </c>
      <c r="C45" s="18">
        <f>'B) D RI'!Y47</f>
        <v>85884.85</v>
      </c>
      <c r="D45" s="61">
        <f>'B) D RI'!Z47</f>
        <v>0</v>
      </c>
      <c r="E45" s="73">
        <f t="shared" si="0"/>
        <v>85884.85</v>
      </c>
      <c r="F45" s="18">
        <f>'B) D RI'!U47</f>
        <v>7286.6650000000009</v>
      </c>
      <c r="G45" s="346">
        <f t="shared" si="1"/>
        <v>11.786578633709659</v>
      </c>
      <c r="H45" s="98">
        <f t="shared" si="2"/>
        <v>42942.425000000003</v>
      </c>
    </row>
    <row r="46" spans="1:8" x14ac:dyDescent="0.25">
      <c r="A46" s="82">
        <f>'A) Base RI'!A48</f>
        <v>5477</v>
      </c>
      <c r="B46" s="147" t="str">
        <f>'A) Base RI'!B48</f>
        <v>Cossonay</v>
      </c>
      <c r="C46" s="18">
        <f>'B) D RI'!Y48</f>
        <v>623489.75</v>
      </c>
      <c r="D46" s="61">
        <f>'B) D RI'!Z48</f>
        <v>54004.25</v>
      </c>
      <c r="E46" s="73">
        <f t="shared" si="0"/>
        <v>677494</v>
      </c>
      <c r="F46" s="18">
        <f>'B) D RI'!U48</f>
        <v>125737.979346211</v>
      </c>
      <c r="G46" s="346">
        <f t="shared" si="1"/>
        <v>5.3881413040253037</v>
      </c>
      <c r="H46" s="98">
        <f t="shared" si="2"/>
        <v>327946.15000000002</v>
      </c>
    </row>
    <row r="47" spans="1:8" x14ac:dyDescent="0.25">
      <c r="A47" s="82">
        <f>'A) Base RI'!A49</f>
        <v>5478</v>
      </c>
      <c r="B47" s="147" t="str">
        <f>'A) Base RI'!B49</f>
        <v>Cottens</v>
      </c>
      <c r="C47" s="18">
        <f>'B) D RI'!Y49</f>
        <v>46288.350000000006</v>
      </c>
      <c r="D47" s="61">
        <f>'B) D RI'!Z49</f>
        <v>0</v>
      </c>
      <c r="E47" s="73">
        <f t="shared" si="0"/>
        <v>46288.350000000006</v>
      </c>
      <c r="F47" s="18">
        <f>'B) D RI'!U49</f>
        <v>15613.399583333334</v>
      </c>
      <c r="G47" s="346">
        <f t="shared" si="1"/>
        <v>2.9646554392555822</v>
      </c>
      <c r="H47" s="98">
        <f t="shared" si="2"/>
        <v>23144.175000000003</v>
      </c>
    </row>
    <row r="48" spans="1:8" x14ac:dyDescent="0.25">
      <c r="A48" s="82">
        <f>'A) Base RI'!A50</f>
        <v>5479</v>
      </c>
      <c r="B48" s="147" t="str">
        <f>'A) Base RI'!B50</f>
        <v>Cuarnens</v>
      </c>
      <c r="C48" s="18">
        <f>'B) D RI'!Y50</f>
        <v>151927.5</v>
      </c>
      <c r="D48" s="61">
        <f>'B) D RI'!Z50</f>
        <v>0</v>
      </c>
      <c r="E48" s="73">
        <f t="shared" si="0"/>
        <v>151927.5</v>
      </c>
      <c r="F48" s="18">
        <f>'B) D RI'!U50</f>
        <v>12479.493246753247</v>
      </c>
      <c r="G48" s="346">
        <f t="shared" si="1"/>
        <v>12.174172219655356</v>
      </c>
      <c r="H48" s="98">
        <f t="shared" si="2"/>
        <v>75963.75</v>
      </c>
    </row>
    <row r="49" spans="1:8" x14ac:dyDescent="0.25">
      <c r="A49" s="82">
        <f>'A) Base RI'!A51</f>
        <v>5480</v>
      </c>
      <c r="B49" s="147" t="str">
        <f>'A) Base RI'!B51</f>
        <v>Daillens</v>
      </c>
      <c r="C49" s="18">
        <f>'B) D RI'!Y51</f>
        <v>197016.05</v>
      </c>
      <c r="D49" s="61">
        <f>'B) D RI'!Z51</f>
        <v>116134.7</v>
      </c>
      <c r="E49" s="73">
        <f t="shared" si="0"/>
        <v>313150.75</v>
      </c>
      <c r="F49" s="18">
        <f>'B) D RI'!U51</f>
        <v>38475.41492957747</v>
      </c>
      <c r="G49" s="346">
        <f t="shared" si="1"/>
        <v>8.1389830512073171</v>
      </c>
      <c r="H49" s="98">
        <f t="shared" si="2"/>
        <v>133348.435</v>
      </c>
    </row>
    <row r="50" spans="1:8" x14ac:dyDescent="0.25">
      <c r="A50" s="82">
        <f>'A) Base RI'!A52</f>
        <v>5481</v>
      </c>
      <c r="B50" s="147" t="str">
        <f>'A) Base RI'!B52</f>
        <v>Dizy</v>
      </c>
      <c r="C50" s="18">
        <f>'B) D RI'!Y52</f>
        <v>50019.3</v>
      </c>
      <c r="D50" s="61">
        <f>'B) D RI'!Z52</f>
        <v>0</v>
      </c>
      <c r="E50" s="73">
        <f t="shared" si="0"/>
        <v>50019.3</v>
      </c>
      <c r="F50" s="18">
        <f>'B) D RI'!U52</f>
        <v>8070.2010810810825</v>
      </c>
      <c r="G50" s="346">
        <f t="shared" si="1"/>
        <v>6.1980240018132768</v>
      </c>
      <c r="H50" s="98">
        <f t="shared" si="2"/>
        <v>25009.65</v>
      </c>
    </row>
    <row r="51" spans="1:8" x14ac:dyDescent="0.25">
      <c r="A51" s="82">
        <f>'A) Base RI'!A53</f>
        <v>5482</v>
      </c>
      <c r="B51" s="147" t="str">
        <f>'A) Base RI'!B53</f>
        <v>Eclépens</v>
      </c>
      <c r="C51" s="18">
        <f>'B) D RI'!Y53</f>
        <v>225965.69999999998</v>
      </c>
      <c r="D51" s="61">
        <f>'B) D RI'!Z53</f>
        <v>155130.6</v>
      </c>
      <c r="E51" s="73">
        <f t="shared" si="0"/>
        <v>381096.3</v>
      </c>
      <c r="F51" s="18">
        <f>'B) D RI'!U53</f>
        <v>68499.201739130425</v>
      </c>
      <c r="G51" s="346">
        <f t="shared" si="1"/>
        <v>5.5635144691371972</v>
      </c>
      <c r="H51" s="98">
        <f t="shared" si="2"/>
        <v>159522.03</v>
      </c>
    </row>
    <row r="52" spans="1:8" x14ac:dyDescent="0.25">
      <c r="A52" s="82">
        <f>'A) Base RI'!A54</f>
        <v>5483</v>
      </c>
      <c r="B52" s="147" t="str">
        <f>'A) Base RI'!B54</f>
        <v>Ferreyres</v>
      </c>
      <c r="C52" s="18">
        <f>'B) D RI'!Y54</f>
        <v>13573.2</v>
      </c>
      <c r="D52" s="61">
        <f>'B) D RI'!Z54</f>
        <v>3461.5</v>
      </c>
      <c r="E52" s="73">
        <f t="shared" si="0"/>
        <v>17034.7</v>
      </c>
      <c r="F52" s="18">
        <f>'B) D RI'!U54</f>
        <v>10043.857368421051</v>
      </c>
      <c r="G52" s="346">
        <f t="shared" si="1"/>
        <v>1.6960316515006373</v>
      </c>
      <c r="H52" s="98">
        <f t="shared" si="2"/>
        <v>7825.05</v>
      </c>
    </row>
    <row r="53" spans="1:8" x14ac:dyDescent="0.25">
      <c r="A53" s="82">
        <f>'A) Base RI'!A55</f>
        <v>5484</v>
      </c>
      <c r="B53" s="147" t="str">
        <f>'A) Base RI'!B55</f>
        <v>Gollion</v>
      </c>
      <c r="C53" s="18">
        <f>'B) D RI'!Y55</f>
        <v>150208.95000000001</v>
      </c>
      <c r="D53" s="61">
        <f>'B) D RI'!Z55</f>
        <v>48737.599999999999</v>
      </c>
      <c r="E53" s="73">
        <f t="shared" si="0"/>
        <v>198946.55000000002</v>
      </c>
      <c r="F53" s="18">
        <f>'B) D RI'!U55</f>
        <v>24450.824189189188</v>
      </c>
      <c r="G53" s="346">
        <f t="shared" si="1"/>
        <v>8.1365989326430661</v>
      </c>
      <c r="H53" s="98">
        <f t="shared" si="2"/>
        <v>89725.755000000005</v>
      </c>
    </row>
    <row r="54" spans="1:8" x14ac:dyDescent="0.25">
      <c r="A54" s="82">
        <f>'A) Base RI'!A56</f>
        <v>5485</v>
      </c>
      <c r="B54" s="147" t="str">
        <f>'A) Base RI'!B56</f>
        <v>Grancy</v>
      </c>
      <c r="C54" s="18">
        <f>'B) D RI'!Y56</f>
        <v>90976.15</v>
      </c>
      <c r="D54" s="61">
        <f>'B) D RI'!Z56</f>
        <v>3931.6</v>
      </c>
      <c r="E54" s="73">
        <f t="shared" si="0"/>
        <v>94907.75</v>
      </c>
      <c r="F54" s="18">
        <f>'B) D RI'!U56</f>
        <v>18011.997142857144</v>
      </c>
      <c r="G54" s="346">
        <f t="shared" si="1"/>
        <v>5.2691408535802875</v>
      </c>
      <c r="H54" s="98">
        <f t="shared" si="2"/>
        <v>46667.555</v>
      </c>
    </row>
    <row r="55" spans="1:8" x14ac:dyDescent="0.25">
      <c r="A55" s="82">
        <f>'A) Base RI'!A57</f>
        <v>5486</v>
      </c>
      <c r="B55" s="147" t="str">
        <f>'A) Base RI'!B57</f>
        <v>L'Isle</v>
      </c>
      <c r="C55" s="18">
        <f>'B) D RI'!Y57</f>
        <v>246025.45</v>
      </c>
      <c r="D55" s="61">
        <f>'B) D RI'!Z57</f>
        <v>114698.1</v>
      </c>
      <c r="E55" s="73">
        <f t="shared" si="0"/>
        <v>360723.55000000005</v>
      </c>
      <c r="F55" s="18">
        <f>'B) D RI'!U57</f>
        <v>26627.790138888886</v>
      </c>
      <c r="G55" s="346">
        <f t="shared" si="1"/>
        <v>13.546882716083031</v>
      </c>
      <c r="H55" s="98">
        <f t="shared" si="2"/>
        <v>157422.155</v>
      </c>
    </row>
    <row r="56" spans="1:8" x14ac:dyDescent="0.25">
      <c r="A56" s="82">
        <f>'A) Base RI'!A58</f>
        <v>5487</v>
      </c>
      <c r="B56" s="147" t="str">
        <f>'A) Base RI'!B58</f>
        <v>Lussery-Villars</v>
      </c>
      <c r="C56" s="18">
        <f>'B) D RI'!Y58</f>
        <v>115053.79999999999</v>
      </c>
      <c r="D56" s="61">
        <f>'B) D RI'!Z58</f>
        <v>0</v>
      </c>
      <c r="E56" s="73">
        <f t="shared" si="0"/>
        <v>115053.79999999999</v>
      </c>
      <c r="F56" s="18">
        <f>'B) D RI'!U58</f>
        <v>14161.564</v>
      </c>
      <c r="G56" s="346">
        <f t="shared" si="1"/>
        <v>8.1243710087388639</v>
      </c>
      <c r="H56" s="98">
        <f t="shared" si="2"/>
        <v>57526.899999999994</v>
      </c>
    </row>
    <row r="57" spans="1:8" x14ac:dyDescent="0.25">
      <c r="A57" s="82">
        <f>'A) Base RI'!A59</f>
        <v>5488</v>
      </c>
      <c r="B57" s="147" t="str">
        <f>'A) Base RI'!B59</f>
        <v>Mauraz</v>
      </c>
      <c r="C57" s="18">
        <f>'B) D RI'!Y59</f>
        <v>0</v>
      </c>
      <c r="D57" s="61">
        <f>'B) D RI'!Z59</f>
        <v>0</v>
      </c>
      <c r="E57" s="73">
        <f t="shared" si="0"/>
        <v>0</v>
      </c>
      <c r="F57" s="18">
        <f>'B) D RI'!U59</f>
        <v>1648.4024324324325</v>
      </c>
      <c r="G57" s="346">
        <f t="shared" si="1"/>
        <v>0</v>
      </c>
      <c r="H57" s="98">
        <f t="shared" si="2"/>
        <v>0</v>
      </c>
    </row>
    <row r="58" spans="1:8" x14ac:dyDescent="0.25">
      <c r="A58" s="82">
        <f>'A) Base RI'!A60</f>
        <v>5489</v>
      </c>
      <c r="B58" s="147" t="str">
        <f>'A) Base RI'!B60</f>
        <v>Mex</v>
      </c>
      <c r="C58" s="18">
        <f>'B) D RI'!Y60</f>
        <v>101225.75</v>
      </c>
      <c r="D58" s="61">
        <f>'B) D RI'!Z60</f>
        <v>134667.9</v>
      </c>
      <c r="E58" s="73">
        <f t="shared" si="0"/>
        <v>235893.65</v>
      </c>
      <c r="F58" s="18">
        <f>'B) D RI'!U60</f>
        <v>53932.616065573762</v>
      </c>
      <c r="G58" s="346">
        <f t="shared" si="1"/>
        <v>4.3738588484784353</v>
      </c>
      <c r="H58" s="98">
        <f t="shared" si="2"/>
        <v>91013.244999999995</v>
      </c>
    </row>
    <row r="59" spans="1:8" x14ac:dyDescent="0.25">
      <c r="A59" s="82">
        <f>'A) Base RI'!A61</f>
        <v>5490</v>
      </c>
      <c r="B59" s="147" t="str">
        <f>'A) Base RI'!B61</f>
        <v>Moiry</v>
      </c>
      <c r="C59" s="18">
        <f>'B) D RI'!Y61</f>
        <v>71172.100000000006</v>
      </c>
      <c r="D59" s="61">
        <f>'B) D RI'!Z61</f>
        <v>0</v>
      </c>
      <c r="E59" s="73">
        <f t="shared" si="0"/>
        <v>71172.100000000006</v>
      </c>
      <c r="F59" s="18">
        <f>'B) D RI'!U61</f>
        <v>7150.2259259259263</v>
      </c>
      <c r="G59" s="346">
        <f t="shared" si="1"/>
        <v>9.9538253388522815</v>
      </c>
      <c r="H59" s="98">
        <f t="shared" si="2"/>
        <v>35586.050000000003</v>
      </c>
    </row>
    <row r="60" spans="1:8" x14ac:dyDescent="0.25">
      <c r="A60" s="82">
        <f>'A) Base RI'!A62</f>
        <v>5491</v>
      </c>
      <c r="B60" s="147" t="str">
        <f>'A) Base RI'!B62</f>
        <v>Mont-la-Ville</v>
      </c>
      <c r="C60" s="18">
        <f>'B) D RI'!Y62</f>
        <v>160642.09999999998</v>
      </c>
      <c r="D60" s="61">
        <f>'B) D RI'!Z62</f>
        <v>0</v>
      </c>
      <c r="E60" s="73">
        <f t="shared" si="0"/>
        <v>160642.09999999998</v>
      </c>
      <c r="F60" s="18">
        <f>'B) D RI'!U62</f>
        <v>9158.0513157894729</v>
      </c>
      <c r="G60" s="346">
        <f t="shared" si="1"/>
        <v>17.54107882350862</v>
      </c>
      <c r="H60" s="98">
        <f t="shared" si="2"/>
        <v>80321.049999999988</v>
      </c>
    </row>
    <row r="61" spans="1:8" x14ac:dyDescent="0.25">
      <c r="A61" s="82">
        <f>'A) Base RI'!A63</f>
        <v>5492</v>
      </c>
      <c r="B61" s="147" t="str">
        <f>'A) Base RI'!B63</f>
        <v>Montricher</v>
      </c>
      <c r="C61" s="18">
        <f>'B) D RI'!Y63</f>
        <v>425204.3</v>
      </c>
      <c r="D61" s="61">
        <f>'B) D RI'!Z63</f>
        <v>3795.9</v>
      </c>
      <c r="E61" s="73">
        <f t="shared" ref="E61:E115" si="3">C61+D61</f>
        <v>429000.2</v>
      </c>
      <c r="F61" s="18">
        <f>'B) D RI'!U63</f>
        <v>150474.39203125</v>
      </c>
      <c r="G61" s="346">
        <f t="shared" ref="G61:G115" si="4">E61/F61</f>
        <v>2.8509847702917233</v>
      </c>
      <c r="H61" s="98">
        <f t="shared" si="2"/>
        <v>213740.91999999998</v>
      </c>
    </row>
    <row r="62" spans="1:8" x14ac:dyDescent="0.25">
      <c r="A62" s="82">
        <f>'A) Base RI'!A64</f>
        <v>5493</v>
      </c>
      <c r="B62" s="147" t="str">
        <f>'A) Base RI'!B64</f>
        <v>Orny</v>
      </c>
      <c r="C62" s="18">
        <f>'B) D RI'!Y64</f>
        <v>55513.8</v>
      </c>
      <c r="D62" s="61">
        <f>'B) D RI'!Z64</f>
        <v>59463</v>
      </c>
      <c r="E62" s="73">
        <f t="shared" si="3"/>
        <v>114976.8</v>
      </c>
      <c r="F62" s="18">
        <f>'B) D RI'!U64</f>
        <v>9474.9746364594321</v>
      </c>
      <c r="G62" s="346">
        <f t="shared" si="4"/>
        <v>12.134787100914503</v>
      </c>
      <c r="H62" s="98">
        <f t="shared" ref="H62:H116" si="5">(C62*$C$4)+(D62*$D$4)</f>
        <v>45595.8</v>
      </c>
    </row>
    <row r="63" spans="1:8" x14ac:dyDescent="0.25">
      <c r="A63" s="82">
        <f>'A) Base RI'!A65</f>
        <v>5494</v>
      </c>
      <c r="B63" s="147" t="str">
        <f>'A) Base RI'!B65</f>
        <v>Pampigny</v>
      </c>
      <c r="C63" s="18">
        <f>'B) D RI'!Y65</f>
        <v>118245.4</v>
      </c>
      <c r="D63" s="61">
        <f>'B) D RI'!Z65</f>
        <v>13159.65</v>
      </c>
      <c r="E63" s="73">
        <f t="shared" si="3"/>
        <v>131405.04999999999</v>
      </c>
      <c r="F63" s="18">
        <f>'B) D RI'!U65</f>
        <v>34918.82189206349</v>
      </c>
      <c r="G63" s="346">
        <f t="shared" si="4"/>
        <v>3.7631581731532107</v>
      </c>
      <c r="H63" s="98">
        <f t="shared" si="5"/>
        <v>63070.594999999994</v>
      </c>
    </row>
    <row r="64" spans="1:8" x14ac:dyDescent="0.25">
      <c r="A64" s="82">
        <f>'A) Base RI'!A66</f>
        <v>5495</v>
      </c>
      <c r="B64" s="147" t="str">
        <f>'A) Base RI'!B66</f>
        <v>Penthalaz</v>
      </c>
      <c r="C64" s="18">
        <f>'B) D RI'!Y66</f>
        <v>371730.55000000005</v>
      </c>
      <c r="D64" s="61">
        <f>'B) D RI'!Z66</f>
        <v>163740.04999999999</v>
      </c>
      <c r="E64" s="73">
        <f t="shared" si="3"/>
        <v>535470.60000000009</v>
      </c>
      <c r="F64" s="18">
        <f>'B) D RI'!U66</f>
        <v>87716.055405405408</v>
      </c>
      <c r="G64" s="346">
        <f t="shared" si="4"/>
        <v>6.1045905168120713</v>
      </c>
      <c r="H64" s="98">
        <f t="shared" si="5"/>
        <v>234987.29</v>
      </c>
    </row>
    <row r="65" spans="1:8" x14ac:dyDescent="0.25">
      <c r="A65" s="82">
        <f>'A) Base RI'!A67</f>
        <v>5496</v>
      </c>
      <c r="B65" s="147" t="str">
        <f>'A) Base RI'!B67</f>
        <v>Penthaz</v>
      </c>
      <c r="C65" s="18">
        <f>'B) D RI'!Y67</f>
        <v>174753.8</v>
      </c>
      <c r="D65" s="61">
        <f>'B) D RI'!Z67</f>
        <v>83371.55</v>
      </c>
      <c r="E65" s="73">
        <f t="shared" si="3"/>
        <v>258125.34999999998</v>
      </c>
      <c r="F65" s="18">
        <f>'B) D RI'!U67</f>
        <v>51566.366901408452</v>
      </c>
      <c r="G65" s="346">
        <f t="shared" si="4"/>
        <v>5.0056919948135752</v>
      </c>
      <c r="H65" s="98">
        <f t="shared" si="5"/>
        <v>112388.36499999999</v>
      </c>
    </row>
    <row r="66" spans="1:8" x14ac:dyDescent="0.25">
      <c r="A66" s="82">
        <f>'A) Base RI'!A68</f>
        <v>5497</v>
      </c>
      <c r="B66" s="147" t="str">
        <f>'A) Base RI'!B68</f>
        <v>Pompaples</v>
      </c>
      <c r="C66" s="18">
        <f>'B) D RI'!Y68</f>
        <v>24370.75</v>
      </c>
      <c r="D66" s="61">
        <f>'B) D RI'!Z68</f>
        <v>228059.3</v>
      </c>
      <c r="E66" s="73">
        <f t="shared" si="3"/>
        <v>252430.05</v>
      </c>
      <c r="F66" s="18">
        <f>'B) D RI'!U68</f>
        <v>20299.313939393938</v>
      </c>
      <c r="G66" s="346">
        <f t="shared" si="4"/>
        <v>12.435398100332874</v>
      </c>
      <c r="H66" s="98">
        <f t="shared" si="5"/>
        <v>80603.164999999994</v>
      </c>
    </row>
    <row r="67" spans="1:8" x14ac:dyDescent="0.25">
      <c r="A67" s="82">
        <f>'A) Base RI'!A69</f>
        <v>5498</v>
      </c>
      <c r="B67" s="147" t="str">
        <f>'A) Base RI'!B69</f>
        <v>La Sarraz</v>
      </c>
      <c r="C67" s="18">
        <f>'B) D RI'!Y69</f>
        <v>225033.1</v>
      </c>
      <c r="D67" s="61">
        <f>'B) D RI'!Z69</f>
        <v>63242.7</v>
      </c>
      <c r="E67" s="73">
        <f t="shared" si="3"/>
        <v>288275.8</v>
      </c>
      <c r="F67" s="18">
        <f>'B) D RI'!U69</f>
        <v>72296.623593750002</v>
      </c>
      <c r="G67" s="346">
        <f t="shared" si="4"/>
        <v>3.9874033622909222</v>
      </c>
      <c r="H67" s="98">
        <f t="shared" si="5"/>
        <v>131489.35999999999</v>
      </c>
    </row>
    <row r="68" spans="1:8" x14ac:dyDescent="0.25">
      <c r="A68" s="82">
        <f>'A) Base RI'!A70</f>
        <v>5499</v>
      </c>
      <c r="B68" s="147" t="str">
        <f>'A) Base RI'!B70</f>
        <v>Senarclens</v>
      </c>
      <c r="C68" s="18">
        <f>'B) D RI'!Y70</f>
        <v>15713.5</v>
      </c>
      <c r="D68" s="61">
        <f>'B) D RI'!Z70</f>
        <v>16414.05</v>
      </c>
      <c r="E68" s="73">
        <f t="shared" si="3"/>
        <v>32127.55</v>
      </c>
      <c r="F68" s="18">
        <f>'B) D RI'!U70</f>
        <v>17459.062919708031</v>
      </c>
      <c r="G68" s="346">
        <f t="shared" si="4"/>
        <v>1.8401646266898997</v>
      </c>
      <c r="H68" s="98">
        <f t="shared" si="5"/>
        <v>12780.965</v>
      </c>
    </row>
    <row r="69" spans="1:8" x14ac:dyDescent="0.25">
      <c r="A69" s="82">
        <f>'A) Base RI'!A71</f>
        <v>5500</v>
      </c>
      <c r="B69" s="147" t="str">
        <f>'A) Base RI'!B71</f>
        <v>Sévery</v>
      </c>
      <c r="C69" s="18">
        <f>'B) D RI'!Y71</f>
        <v>6245.05</v>
      </c>
      <c r="D69" s="61">
        <f>'B) D RI'!Z71</f>
        <v>2675.3</v>
      </c>
      <c r="E69" s="73">
        <f t="shared" si="3"/>
        <v>8920.35</v>
      </c>
      <c r="F69" s="18">
        <f>'B) D RI'!U71</f>
        <v>6102.0277564102553</v>
      </c>
      <c r="G69" s="346">
        <f t="shared" si="4"/>
        <v>1.4618665066918226</v>
      </c>
      <c r="H69" s="98">
        <f t="shared" si="5"/>
        <v>3925.1150000000002</v>
      </c>
    </row>
    <row r="70" spans="1:8" x14ac:dyDescent="0.25">
      <c r="A70" s="82">
        <f>'A) Base RI'!A72</f>
        <v>5501</v>
      </c>
      <c r="B70" s="147" t="str">
        <f>'A) Base RI'!B72</f>
        <v>Sullens</v>
      </c>
      <c r="C70" s="18">
        <f>'B) D RI'!Y72</f>
        <v>422516.69999999995</v>
      </c>
      <c r="D70" s="61">
        <f>'B) D RI'!Z72</f>
        <v>8170</v>
      </c>
      <c r="E70" s="73">
        <f t="shared" si="3"/>
        <v>430686.69999999995</v>
      </c>
      <c r="F70" s="18">
        <f>'B) D RI'!U72</f>
        <v>37787.89666666666</v>
      </c>
      <c r="G70" s="346">
        <f t="shared" si="4"/>
        <v>11.397477446261673</v>
      </c>
      <c r="H70" s="98">
        <f t="shared" si="5"/>
        <v>213709.34999999998</v>
      </c>
    </row>
    <row r="71" spans="1:8" x14ac:dyDescent="0.25">
      <c r="A71" s="82">
        <f>'A) Base RI'!A73</f>
        <v>5503</v>
      </c>
      <c r="B71" s="147" t="str">
        <f>'A) Base RI'!B73</f>
        <v>Vufflens-la-Ville</v>
      </c>
      <c r="C71" s="18">
        <f>'B) D RI'!Y73</f>
        <v>114666.59999999999</v>
      </c>
      <c r="D71" s="61">
        <f>'B) D RI'!Z73</f>
        <v>74771.25</v>
      </c>
      <c r="E71" s="73">
        <f t="shared" si="3"/>
        <v>189437.84999999998</v>
      </c>
      <c r="F71" s="18">
        <f>'B) D RI'!U73</f>
        <v>57812.991915422885</v>
      </c>
      <c r="G71" s="346">
        <f t="shared" si="4"/>
        <v>3.2767349297046722</v>
      </c>
      <c r="H71" s="98">
        <f t="shared" si="5"/>
        <v>79764.674999999988</v>
      </c>
    </row>
    <row r="72" spans="1:8" x14ac:dyDescent="0.25">
      <c r="A72" s="82">
        <f>'A) Base RI'!A74</f>
        <v>5511</v>
      </c>
      <c r="B72" s="147" t="str">
        <f>'A) Base RI'!B74</f>
        <v>Assens</v>
      </c>
      <c r="C72" s="18">
        <f>'B) D RI'!Y74</f>
        <v>146161.85</v>
      </c>
      <c r="D72" s="61">
        <f>'B) D RI'!Z74</f>
        <v>13088.8</v>
      </c>
      <c r="E72" s="73">
        <f t="shared" si="3"/>
        <v>159250.65</v>
      </c>
      <c r="F72" s="18">
        <f>'B) D RI'!U74</f>
        <v>39783.593571428566</v>
      </c>
      <c r="G72" s="346">
        <f t="shared" si="4"/>
        <v>4.0029227051617893</v>
      </c>
      <c r="H72" s="98">
        <f t="shared" si="5"/>
        <v>77007.565000000002</v>
      </c>
    </row>
    <row r="73" spans="1:8" x14ac:dyDescent="0.25">
      <c r="A73" s="82">
        <f>'A) Base RI'!A75</f>
        <v>5512</v>
      </c>
      <c r="B73" s="147" t="str">
        <f>'A) Base RI'!B75</f>
        <v>Bercher</v>
      </c>
      <c r="C73" s="18">
        <f>'B) D RI'!Y75</f>
        <v>83565.049999999988</v>
      </c>
      <c r="D73" s="61">
        <f>'B) D RI'!Z75</f>
        <v>25180.2</v>
      </c>
      <c r="E73" s="73">
        <f t="shared" si="3"/>
        <v>108745.24999999999</v>
      </c>
      <c r="F73" s="18">
        <f>'B) D RI'!U75</f>
        <v>36622.722911392411</v>
      </c>
      <c r="G73" s="346">
        <f t="shared" si="4"/>
        <v>2.9693381964827106</v>
      </c>
      <c r="H73" s="98">
        <f t="shared" si="5"/>
        <v>49336.584999999992</v>
      </c>
    </row>
    <row r="74" spans="1:8" x14ac:dyDescent="0.25">
      <c r="A74" s="82">
        <f>'A) Base RI'!A76</f>
        <v>5513</v>
      </c>
      <c r="B74" s="147" t="str">
        <f>'A) Base RI'!B76</f>
        <v>Bioley-Orjulaz</v>
      </c>
      <c r="C74" s="18">
        <f>'B) D RI'!Y76</f>
        <v>390155.9</v>
      </c>
      <c r="D74" s="61">
        <f>'B) D RI'!Z76</f>
        <v>61512.9</v>
      </c>
      <c r="E74" s="73">
        <f t="shared" si="3"/>
        <v>451668.80000000005</v>
      </c>
      <c r="F74" s="18">
        <f>'B) D RI'!U76</f>
        <v>30506.038333333338</v>
      </c>
      <c r="G74" s="346">
        <f t="shared" si="4"/>
        <v>14.805881873768925</v>
      </c>
      <c r="H74" s="98">
        <f t="shared" si="5"/>
        <v>213531.82</v>
      </c>
    </row>
    <row r="75" spans="1:8" x14ac:dyDescent="0.25">
      <c r="A75" s="82">
        <f>'A) Base RI'!A77</f>
        <v>5514</v>
      </c>
      <c r="B75" s="147" t="str">
        <f>'A) Base RI'!B77</f>
        <v>Bottens</v>
      </c>
      <c r="C75" s="18">
        <f>'B) D RI'!Y77</f>
        <v>134445.85</v>
      </c>
      <c r="D75" s="61">
        <f>'B) D RI'!Z77</f>
        <v>6672.8</v>
      </c>
      <c r="E75" s="73">
        <f t="shared" si="3"/>
        <v>141118.65</v>
      </c>
      <c r="F75" s="18">
        <f>'B) D RI'!U77</f>
        <v>42846.050910973077</v>
      </c>
      <c r="G75" s="346">
        <f t="shared" si="4"/>
        <v>3.2936209288744238</v>
      </c>
      <c r="H75" s="98">
        <f t="shared" si="5"/>
        <v>69224.764999999999</v>
      </c>
    </row>
    <row r="76" spans="1:8" x14ac:dyDescent="0.25">
      <c r="A76" s="82">
        <f>'A) Base RI'!A78</f>
        <v>5515</v>
      </c>
      <c r="B76" s="147" t="str">
        <f>'A) Base RI'!B78</f>
        <v>Bretigny-sur-Morrens</v>
      </c>
      <c r="C76" s="18">
        <f>'B) D RI'!Y78</f>
        <v>194166.39999999999</v>
      </c>
      <c r="D76" s="61">
        <f>'B) D RI'!Z78</f>
        <v>16844.45</v>
      </c>
      <c r="E76" s="73">
        <f t="shared" si="3"/>
        <v>211010.85</v>
      </c>
      <c r="F76" s="18">
        <f>'B) D RI'!U78</f>
        <v>22223.6698630137</v>
      </c>
      <c r="G76" s="346">
        <f t="shared" si="4"/>
        <v>9.4948697177679051</v>
      </c>
      <c r="H76" s="98">
        <f t="shared" si="5"/>
        <v>102136.535</v>
      </c>
    </row>
    <row r="77" spans="1:8" x14ac:dyDescent="0.25">
      <c r="A77" s="82">
        <f>'A) Base RI'!A79</f>
        <v>5516</v>
      </c>
      <c r="B77" s="147" t="str">
        <f>'A) Base RI'!B79</f>
        <v>Cugy</v>
      </c>
      <c r="C77" s="18">
        <f>'B) D RI'!Y79</f>
        <v>270839.90000000002</v>
      </c>
      <c r="D77" s="61">
        <f>'B) D RI'!Z79</f>
        <v>85519.05</v>
      </c>
      <c r="E77" s="73">
        <f t="shared" si="3"/>
        <v>356358.95</v>
      </c>
      <c r="F77" s="18">
        <f>'B) D RI'!U79</f>
        <v>117631.39925373136</v>
      </c>
      <c r="G77" s="346">
        <f t="shared" si="4"/>
        <v>3.0294543145859589</v>
      </c>
      <c r="H77" s="98">
        <f t="shared" si="5"/>
        <v>161075.66500000001</v>
      </c>
    </row>
    <row r="78" spans="1:8" x14ac:dyDescent="0.25">
      <c r="A78" s="82">
        <f>'A) Base RI'!A80</f>
        <v>5518</v>
      </c>
      <c r="B78" s="147" t="str">
        <f>'A) Base RI'!B80</f>
        <v>Echallens</v>
      </c>
      <c r="C78" s="18">
        <f>'B) D RI'!Y80</f>
        <v>928852.05</v>
      </c>
      <c r="D78" s="61">
        <f>'B) D RI'!Z80</f>
        <v>187321.7</v>
      </c>
      <c r="E78" s="73">
        <f t="shared" si="3"/>
        <v>1116173.75</v>
      </c>
      <c r="F78" s="18">
        <f>'B) D RI'!U80</f>
        <v>173156.24540540541</v>
      </c>
      <c r="G78" s="346">
        <f t="shared" si="4"/>
        <v>6.446049620599803</v>
      </c>
      <c r="H78" s="98">
        <f t="shared" si="5"/>
        <v>520622.53500000003</v>
      </c>
    </row>
    <row r="79" spans="1:8" x14ac:dyDescent="0.25">
      <c r="A79" s="82">
        <f>'A) Base RI'!A81</f>
        <v>5520</v>
      </c>
      <c r="B79" s="147" t="str">
        <f>'A) Base RI'!B81</f>
        <v>Essertines-sur-Yverdon</v>
      </c>
      <c r="C79" s="18">
        <f>'B) D RI'!Y81</f>
        <v>131954.95000000001</v>
      </c>
      <c r="D79" s="61">
        <f>'B) D RI'!Z81</f>
        <v>10971.6</v>
      </c>
      <c r="E79" s="73">
        <f t="shared" si="3"/>
        <v>142926.55000000002</v>
      </c>
      <c r="F79" s="18">
        <f>'B) D RI'!U81</f>
        <v>27983.283972602738</v>
      </c>
      <c r="G79" s="346">
        <f t="shared" si="4"/>
        <v>5.1075688664680463</v>
      </c>
      <c r="H79" s="98">
        <f t="shared" si="5"/>
        <v>69268.955000000002</v>
      </c>
    </row>
    <row r="80" spans="1:8" x14ac:dyDescent="0.25">
      <c r="A80" s="82">
        <f>'A) Base RI'!A82</f>
        <v>5521</v>
      </c>
      <c r="B80" s="147" t="str">
        <f>'A) Base RI'!B82</f>
        <v>Etagnières</v>
      </c>
      <c r="C80" s="18">
        <f>'B) D RI'!Y82</f>
        <v>203218.1</v>
      </c>
      <c r="D80" s="61">
        <f>'B) D RI'!Z82</f>
        <v>54331.05</v>
      </c>
      <c r="E80" s="73">
        <f t="shared" si="3"/>
        <v>257549.15000000002</v>
      </c>
      <c r="F80" s="18">
        <f>'B) D RI'!U82</f>
        <v>36300.178904109591</v>
      </c>
      <c r="G80" s="346">
        <f t="shared" si="4"/>
        <v>7.0949829387987551</v>
      </c>
      <c r="H80" s="98">
        <f t="shared" si="5"/>
        <v>117908.36500000001</v>
      </c>
    </row>
    <row r="81" spans="1:8" x14ac:dyDescent="0.25">
      <c r="A81" s="82">
        <f>'A) Base RI'!A83</f>
        <v>5522</v>
      </c>
      <c r="B81" s="147" t="str">
        <f>'A) Base RI'!B83</f>
        <v>Fey</v>
      </c>
      <c r="C81" s="18">
        <f>'B) D RI'!Y83</f>
        <v>171906.45</v>
      </c>
      <c r="D81" s="61">
        <f>'B) D RI'!Z83</f>
        <v>9454.85</v>
      </c>
      <c r="E81" s="73">
        <f t="shared" si="3"/>
        <v>181361.30000000002</v>
      </c>
      <c r="F81" s="18">
        <f>'B) D RI'!U83</f>
        <v>16159.379733333333</v>
      </c>
      <c r="G81" s="346">
        <f t="shared" si="4"/>
        <v>11.223283504248036</v>
      </c>
      <c r="H81" s="98">
        <f t="shared" si="5"/>
        <v>88789.680000000008</v>
      </c>
    </row>
    <row r="82" spans="1:8" x14ac:dyDescent="0.25">
      <c r="A82" s="82">
        <f>'A) Base RI'!A84</f>
        <v>5523</v>
      </c>
      <c r="B82" s="147" t="str">
        <f>'A) Base RI'!B84</f>
        <v>Froideville</v>
      </c>
      <c r="C82" s="18">
        <f>'B) D RI'!Y84</f>
        <v>458712</v>
      </c>
      <c r="D82" s="61">
        <f>'B) D RI'!Z84</f>
        <v>0</v>
      </c>
      <c r="E82" s="73">
        <f t="shared" si="3"/>
        <v>458712</v>
      </c>
      <c r="F82" s="18">
        <f>'B) D RI'!U84</f>
        <v>72242.876052631575</v>
      </c>
      <c r="G82" s="346">
        <f t="shared" si="4"/>
        <v>6.3495810945540363</v>
      </c>
      <c r="H82" s="98">
        <f t="shared" si="5"/>
        <v>229356</v>
      </c>
    </row>
    <row r="83" spans="1:8" x14ac:dyDescent="0.25">
      <c r="A83" s="82">
        <f>'A) Base RI'!A85</f>
        <v>5527</v>
      </c>
      <c r="B83" s="147" t="str">
        <f>'A) Base RI'!B85</f>
        <v>Morrens</v>
      </c>
      <c r="C83" s="18">
        <f>'B) D RI'!Y85</f>
        <v>171780.35</v>
      </c>
      <c r="D83" s="61">
        <f>'B) D RI'!Z85</f>
        <v>0</v>
      </c>
      <c r="E83" s="73">
        <f t="shared" si="3"/>
        <v>171780.35</v>
      </c>
      <c r="F83" s="18">
        <f>'B) D RI'!U85</f>
        <v>37759.681126760574</v>
      </c>
      <c r="G83" s="346">
        <f t="shared" si="4"/>
        <v>4.5493061613345551</v>
      </c>
      <c r="H83" s="98">
        <f t="shared" si="5"/>
        <v>85890.175000000003</v>
      </c>
    </row>
    <row r="84" spans="1:8" x14ac:dyDescent="0.25">
      <c r="A84" s="82">
        <f>'A) Base RI'!A86</f>
        <v>5529</v>
      </c>
      <c r="B84" s="147" t="str">
        <f>'A) Base RI'!B86</f>
        <v>Oulens-sous-Echallens</v>
      </c>
      <c r="C84" s="18">
        <f>'B) D RI'!Y86</f>
        <v>33110</v>
      </c>
      <c r="D84" s="61">
        <f>'B) D RI'!Z86</f>
        <v>1643.3</v>
      </c>
      <c r="E84" s="73">
        <f t="shared" si="3"/>
        <v>34753.300000000003</v>
      </c>
      <c r="F84" s="18">
        <f>'B) D RI'!U86</f>
        <v>19397.63972972973</v>
      </c>
      <c r="G84" s="346">
        <f t="shared" si="4"/>
        <v>1.7916251917358517</v>
      </c>
      <c r="H84" s="98">
        <f t="shared" si="5"/>
        <v>17047.990000000002</v>
      </c>
    </row>
    <row r="85" spans="1:8" x14ac:dyDescent="0.25">
      <c r="A85" s="82">
        <f>'A) Base RI'!A87</f>
        <v>5530</v>
      </c>
      <c r="B85" s="147" t="str">
        <f>'A) Base RI'!B87</f>
        <v>Pailly</v>
      </c>
      <c r="C85" s="18">
        <f>'B) D RI'!Y87</f>
        <v>84960.549999999988</v>
      </c>
      <c r="D85" s="61">
        <f>'B) D RI'!Z87</f>
        <v>2291.5500000000002</v>
      </c>
      <c r="E85" s="73">
        <f t="shared" si="3"/>
        <v>87252.099999999991</v>
      </c>
      <c r="F85" s="18">
        <f>'B) D RI'!U87</f>
        <v>13906.482623655915</v>
      </c>
      <c r="G85" s="346">
        <f t="shared" si="4"/>
        <v>6.2742033597753881</v>
      </c>
      <c r="H85" s="98">
        <f t="shared" si="5"/>
        <v>43167.739999999991</v>
      </c>
    </row>
    <row r="86" spans="1:8" x14ac:dyDescent="0.25">
      <c r="A86" s="82">
        <f>'A) Base RI'!A88</f>
        <v>5531</v>
      </c>
      <c r="B86" s="147" t="str">
        <f>'A) Base RI'!B88</f>
        <v>Penthéréaz</v>
      </c>
      <c r="C86" s="18">
        <f>'B) D RI'!Y88</f>
        <v>0</v>
      </c>
      <c r="D86" s="61">
        <f>'B) D RI'!Z88</f>
        <v>0</v>
      </c>
      <c r="E86" s="73">
        <f t="shared" si="3"/>
        <v>0</v>
      </c>
      <c r="F86" s="18">
        <f>'B) D RI'!U88</f>
        <v>13188.510897435897</v>
      </c>
      <c r="G86" s="346">
        <f t="shared" si="4"/>
        <v>0</v>
      </c>
      <c r="H86" s="98">
        <f t="shared" si="5"/>
        <v>0</v>
      </c>
    </row>
    <row r="87" spans="1:8" x14ac:dyDescent="0.25">
      <c r="A87" s="82">
        <f>'A) Base RI'!A89</f>
        <v>5533</v>
      </c>
      <c r="B87" s="147" t="str">
        <f>'A) Base RI'!B89</f>
        <v>Poliez-Pittet</v>
      </c>
      <c r="C87" s="18">
        <f>'B) D RI'!Y89</f>
        <v>49614.95</v>
      </c>
      <c r="D87" s="61">
        <f>'B) D RI'!Z89</f>
        <v>10060.25</v>
      </c>
      <c r="E87" s="73">
        <f t="shared" si="3"/>
        <v>59675.199999999997</v>
      </c>
      <c r="F87" s="18">
        <f>'B) D RI'!U89</f>
        <v>23278.194178403755</v>
      </c>
      <c r="G87" s="346">
        <f t="shared" si="4"/>
        <v>2.5635665525706202</v>
      </c>
      <c r="H87" s="98">
        <f t="shared" si="5"/>
        <v>27825.55</v>
      </c>
    </row>
    <row r="88" spans="1:8" x14ac:dyDescent="0.25">
      <c r="A88" s="82">
        <f>'A) Base RI'!A90</f>
        <v>5534</v>
      </c>
      <c r="B88" s="147" t="str">
        <f>'A) Base RI'!B90</f>
        <v>Rueyres</v>
      </c>
      <c r="C88" s="18">
        <f>'B) D RI'!Y90</f>
        <v>2419.6999999999998</v>
      </c>
      <c r="D88" s="61">
        <f>'B) D RI'!Z90</f>
        <v>25113.5</v>
      </c>
      <c r="E88" s="73">
        <f t="shared" si="3"/>
        <v>27533.200000000001</v>
      </c>
      <c r="F88" s="18">
        <f>'B) D RI'!U90</f>
        <v>7491.8463013698638</v>
      </c>
      <c r="G88" s="346">
        <f t="shared" si="4"/>
        <v>3.6750887421389877</v>
      </c>
      <c r="H88" s="98">
        <f t="shared" si="5"/>
        <v>8743.9</v>
      </c>
    </row>
    <row r="89" spans="1:8" x14ac:dyDescent="0.25">
      <c r="A89" s="82">
        <f>'A) Base RI'!A91</f>
        <v>5535</v>
      </c>
      <c r="B89" s="147" t="str">
        <f>'A) Base RI'!B91</f>
        <v>Saint-Barthélemy</v>
      </c>
      <c r="C89" s="18">
        <f>'B) D RI'!Y91</f>
        <v>65048.399999999994</v>
      </c>
      <c r="D89" s="61">
        <f>'B) D RI'!Z91</f>
        <v>14016.4</v>
      </c>
      <c r="E89" s="73">
        <f t="shared" si="3"/>
        <v>79064.799999999988</v>
      </c>
      <c r="F89" s="18">
        <f>'B) D RI'!U91</f>
        <v>20337.444935064934</v>
      </c>
      <c r="G89" s="346">
        <f t="shared" si="4"/>
        <v>3.8876466661591258</v>
      </c>
      <c r="H89" s="98">
        <f t="shared" si="5"/>
        <v>36729.119999999995</v>
      </c>
    </row>
    <row r="90" spans="1:8" x14ac:dyDescent="0.25">
      <c r="A90" s="82">
        <f>'A) Base RI'!A92</f>
        <v>5537</v>
      </c>
      <c r="B90" s="147" t="str">
        <f>'A) Base RI'!B92</f>
        <v>Villars-le-Terroir</v>
      </c>
      <c r="C90" s="18">
        <f>'B) D RI'!Y92</f>
        <v>238043.24999999997</v>
      </c>
      <c r="D90" s="61">
        <f>'B) D RI'!Z92</f>
        <v>0</v>
      </c>
      <c r="E90" s="73">
        <f t="shared" si="3"/>
        <v>238043.24999999997</v>
      </c>
      <c r="F90" s="18">
        <f>'B) D RI'!U92</f>
        <v>28392.00020547945</v>
      </c>
      <c r="G90" s="346">
        <f t="shared" si="4"/>
        <v>8.3841662537766304</v>
      </c>
      <c r="H90" s="98">
        <f t="shared" si="5"/>
        <v>119021.62499999999</v>
      </c>
    </row>
    <row r="91" spans="1:8" x14ac:dyDescent="0.25">
      <c r="A91" s="82">
        <f>'A) Base RI'!A93</f>
        <v>5539</v>
      </c>
      <c r="B91" s="147" t="str">
        <f>'A) Base RI'!B93</f>
        <v>Vuarrens</v>
      </c>
      <c r="C91" s="18">
        <f>'B) D RI'!Y93</f>
        <v>247315.25</v>
      </c>
      <c r="D91" s="61">
        <f>'B) D RI'!Z93</f>
        <v>13217.85</v>
      </c>
      <c r="E91" s="73">
        <f t="shared" si="3"/>
        <v>260533.1</v>
      </c>
      <c r="F91" s="18">
        <f>'B) D RI'!U93</f>
        <v>22715.815066666666</v>
      </c>
      <c r="G91" s="346">
        <f t="shared" si="4"/>
        <v>11.469238468238279</v>
      </c>
      <c r="H91" s="98">
        <f t="shared" si="5"/>
        <v>127622.98</v>
      </c>
    </row>
    <row r="92" spans="1:8" x14ac:dyDescent="0.25">
      <c r="A92" s="82">
        <f>'A) Base RI'!A94</f>
        <v>5540</v>
      </c>
      <c r="B92" s="147" t="str">
        <f>'A) Base RI'!B94</f>
        <v>Montilliez</v>
      </c>
      <c r="C92" s="18">
        <f>'B) D RI'!Y94</f>
        <v>256319.3</v>
      </c>
      <c r="D92" s="61">
        <f>'B) D RI'!Z94</f>
        <v>4565.3</v>
      </c>
      <c r="E92" s="73">
        <f>C92+D92</f>
        <v>260884.59999999998</v>
      </c>
      <c r="F92" s="18">
        <f>'B) D RI'!U94</f>
        <v>49229.090304054065</v>
      </c>
      <c r="G92" s="346">
        <f>E92/F92</f>
        <v>5.2993991639637485</v>
      </c>
      <c r="H92" s="98">
        <f>(C92*$C$4)+(D92*$D$4)</f>
        <v>129529.23999999999</v>
      </c>
    </row>
    <row r="93" spans="1:8" x14ac:dyDescent="0.25">
      <c r="A93" s="82">
        <f>'A) Base RI'!A95</f>
        <v>5541</v>
      </c>
      <c r="B93" s="147" t="str">
        <f>'A) Base RI'!B95</f>
        <v>Goumoëns</v>
      </c>
      <c r="C93" s="18">
        <f>'B) D RI'!Y95</f>
        <v>163467.95000000001</v>
      </c>
      <c r="D93" s="61">
        <f>'B) D RI'!Z95</f>
        <v>0</v>
      </c>
      <c r="E93" s="73">
        <f>C93+D93</f>
        <v>163467.95000000001</v>
      </c>
      <c r="F93" s="18">
        <f>'B) D RI'!U95</f>
        <v>28419.250909090908</v>
      </c>
      <c r="G93" s="346">
        <f>E93/F93</f>
        <v>5.7520147354661262</v>
      </c>
      <c r="H93" s="98">
        <f>(C93*$C$4)+(D93*$D$4)</f>
        <v>81733.975000000006</v>
      </c>
    </row>
    <row r="94" spans="1:8" x14ac:dyDescent="0.25">
      <c r="A94" s="82">
        <f>'A) Base RI'!A96</f>
        <v>5551</v>
      </c>
      <c r="B94" s="147" t="str">
        <f>'A) Base RI'!B96</f>
        <v>Bonvillars</v>
      </c>
      <c r="C94" s="18">
        <f>'B) D RI'!Y96</f>
        <v>168504.55</v>
      </c>
      <c r="D94" s="61">
        <f>'B) D RI'!Z96</f>
        <v>6810.8</v>
      </c>
      <c r="E94" s="73">
        <f>C94+D94</f>
        <v>175315.34999999998</v>
      </c>
      <c r="F94" s="18">
        <f>'B) D RI'!U96</f>
        <v>20657.866545454548</v>
      </c>
      <c r="G94" s="346">
        <f>E94/F94</f>
        <v>8.4866145114377982</v>
      </c>
      <c r="H94" s="98">
        <f>(C94*$C$4)+(D94*$D$4)</f>
        <v>86295.514999999999</v>
      </c>
    </row>
    <row r="95" spans="1:8" x14ac:dyDescent="0.25">
      <c r="A95" s="82">
        <f>'A) Base RI'!A97</f>
        <v>5552</v>
      </c>
      <c r="B95" s="147" t="str">
        <f>'A) Base RI'!B97</f>
        <v>Bullet</v>
      </c>
      <c r="C95" s="18">
        <f>'B) D RI'!Y97</f>
        <v>152688.45000000001</v>
      </c>
      <c r="D95" s="61">
        <f>'B) D RI'!Z97</f>
        <v>41725.199999999997</v>
      </c>
      <c r="E95" s="73">
        <f t="shared" si="3"/>
        <v>194413.65000000002</v>
      </c>
      <c r="F95" s="18">
        <f>'B) D RI'!U97</f>
        <v>15344.039999999997</v>
      </c>
      <c r="G95" s="346">
        <f t="shared" si="4"/>
        <v>12.670303909531</v>
      </c>
      <c r="H95" s="98">
        <f t="shared" si="5"/>
        <v>88861.785000000003</v>
      </c>
    </row>
    <row r="96" spans="1:8" x14ac:dyDescent="0.25">
      <c r="A96" s="82">
        <f>'A) Base RI'!A98</f>
        <v>5553</v>
      </c>
      <c r="B96" s="147" t="str">
        <f>'A) Base RI'!B98</f>
        <v>Champagne</v>
      </c>
      <c r="C96" s="18">
        <f>'B) D RI'!Y98</f>
        <v>90510.2</v>
      </c>
      <c r="D96" s="61">
        <f>'B) D RI'!Z98</f>
        <v>91348.55</v>
      </c>
      <c r="E96" s="73">
        <f t="shared" si="3"/>
        <v>181858.75</v>
      </c>
      <c r="F96" s="18">
        <f>'B) D RI'!U98</f>
        <v>34561.95904761905</v>
      </c>
      <c r="G96" s="346">
        <f t="shared" si="4"/>
        <v>5.261818340489242</v>
      </c>
      <c r="H96" s="98">
        <f t="shared" si="5"/>
        <v>72659.664999999994</v>
      </c>
    </row>
    <row r="97" spans="1:8" x14ac:dyDescent="0.25">
      <c r="A97" s="82">
        <f>'A) Base RI'!A99</f>
        <v>5554</v>
      </c>
      <c r="B97" s="147" t="str">
        <f>'A) Base RI'!B99</f>
        <v>Concise</v>
      </c>
      <c r="C97" s="18">
        <f>'B) D RI'!Y99</f>
        <v>147581.70000000001</v>
      </c>
      <c r="D97" s="61">
        <f>'B) D RI'!Z99</f>
        <v>5049.8</v>
      </c>
      <c r="E97" s="73">
        <f t="shared" si="3"/>
        <v>152631.5</v>
      </c>
      <c r="F97" s="18">
        <f>'B) D RI'!U99</f>
        <v>28927.786533333336</v>
      </c>
      <c r="G97" s="346">
        <f t="shared" si="4"/>
        <v>5.2762937746420224</v>
      </c>
      <c r="H97" s="98">
        <f t="shared" si="5"/>
        <v>75305.790000000008</v>
      </c>
    </row>
    <row r="98" spans="1:8" x14ac:dyDescent="0.25">
      <c r="A98" s="82">
        <f>'A) Base RI'!A100</f>
        <v>5555</v>
      </c>
      <c r="B98" s="147" t="str">
        <f>'A) Base RI'!B100</f>
        <v>Corcelles-près-Concise</v>
      </c>
      <c r="C98" s="18">
        <f>'B) D RI'!Y100</f>
        <v>86332.549999999988</v>
      </c>
      <c r="D98" s="61">
        <f>'B) D RI'!Z100</f>
        <v>8405.7999999999993</v>
      </c>
      <c r="E98" s="73">
        <f t="shared" si="3"/>
        <v>94738.349999999991</v>
      </c>
      <c r="F98" s="18">
        <f>'B) D RI'!U100</f>
        <v>9553.9681690140824</v>
      </c>
      <c r="G98" s="346">
        <f t="shared" si="4"/>
        <v>9.9161257735042749</v>
      </c>
      <c r="H98" s="98">
        <f t="shared" si="5"/>
        <v>45688.014999999992</v>
      </c>
    </row>
    <row r="99" spans="1:8" x14ac:dyDescent="0.25">
      <c r="A99" s="82">
        <f>'A) Base RI'!A101</f>
        <v>5556</v>
      </c>
      <c r="B99" s="147" t="str">
        <f>'A) Base RI'!B101</f>
        <v>Fiez</v>
      </c>
      <c r="C99" s="18">
        <f>'B) D RI'!Y101</f>
        <v>80676.7</v>
      </c>
      <c r="D99" s="61">
        <f>'B) D RI'!Z101</f>
        <v>11623.35</v>
      </c>
      <c r="E99" s="73">
        <f t="shared" si="3"/>
        <v>92300.05</v>
      </c>
      <c r="F99" s="18">
        <f>'B) D RI'!U101</f>
        <v>10930.395096618358</v>
      </c>
      <c r="G99" s="346">
        <f t="shared" si="4"/>
        <v>8.4443470875591462</v>
      </c>
      <c r="H99" s="98">
        <f t="shared" si="5"/>
        <v>43825.354999999996</v>
      </c>
    </row>
    <row r="100" spans="1:8" x14ac:dyDescent="0.25">
      <c r="A100" s="82">
        <f>'A) Base RI'!A102</f>
        <v>5557</v>
      </c>
      <c r="B100" s="147" t="str">
        <f>'A) Base RI'!B102</f>
        <v>Fontaines-sur-Grandson</v>
      </c>
      <c r="C100" s="18">
        <f>'B) D RI'!Y102</f>
        <v>73679.55</v>
      </c>
      <c r="D100" s="61">
        <f>'B) D RI'!Z102</f>
        <v>0</v>
      </c>
      <c r="E100" s="73">
        <f t="shared" si="3"/>
        <v>73679.55</v>
      </c>
      <c r="F100" s="18">
        <f>'B) D RI'!U102</f>
        <v>4594.8315942028985</v>
      </c>
      <c r="G100" s="346">
        <f t="shared" si="4"/>
        <v>16.035310215277164</v>
      </c>
      <c r="H100" s="98">
        <f t="shared" si="5"/>
        <v>36839.775000000001</v>
      </c>
    </row>
    <row r="101" spans="1:8" x14ac:dyDescent="0.25">
      <c r="A101" s="82">
        <f>'A) Base RI'!A103</f>
        <v>5559</v>
      </c>
      <c r="B101" s="147" t="str">
        <f>'A) Base RI'!B103</f>
        <v>Giez</v>
      </c>
      <c r="C101" s="18">
        <f>'B) D RI'!Y103</f>
        <v>262599.75</v>
      </c>
      <c r="D101" s="61">
        <f>'B) D RI'!Z103</f>
        <v>20125.150000000001</v>
      </c>
      <c r="E101" s="73">
        <f t="shared" si="3"/>
        <v>282724.90000000002</v>
      </c>
      <c r="F101" s="18">
        <f>'B) D RI'!U103</f>
        <v>14748.809242424242</v>
      </c>
      <c r="G101" s="346">
        <f t="shared" si="4"/>
        <v>19.169337358215699</v>
      </c>
      <c r="H101" s="98">
        <f t="shared" si="5"/>
        <v>137337.42000000001</v>
      </c>
    </row>
    <row r="102" spans="1:8" x14ac:dyDescent="0.25">
      <c r="A102" s="82">
        <f>'A) Base RI'!A104</f>
        <v>5560</v>
      </c>
      <c r="B102" s="147" t="str">
        <f>'A) Base RI'!B104</f>
        <v>Grandevent</v>
      </c>
      <c r="C102" s="18">
        <f>'B) D RI'!Y104</f>
        <v>92352.35</v>
      </c>
      <c r="D102" s="61">
        <f>'B) D RI'!Z104</f>
        <v>0</v>
      </c>
      <c r="E102" s="73">
        <f t="shared" si="3"/>
        <v>92352.35</v>
      </c>
      <c r="F102" s="18">
        <f>'B) D RI'!U104</f>
        <v>6117.1622727272734</v>
      </c>
      <c r="G102" s="346">
        <f t="shared" si="4"/>
        <v>15.0972535765061</v>
      </c>
      <c r="H102" s="98">
        <f t="shared" si="5"/>
        <v>46176.175000000003</v>
      </c>
    </row>
    <row r="103" spans="1:8" x14ac:dyDescent="0.25">
      <c r="A103" s="82">
        <f>'A) Base RI'!A105</f>
        <v>5561</v>
      </c>
      <c r="B103" s="147" t="str">
        <f>'A) Base RI'!B105</f>
        <v>Grandson</v>
      </c>
      <c r="C103" s="18">
        <f>'B) D RI'!Y105</f>
        <v>534884.19999999995</v>
      </c>
      <c r="D103" s="61">
        <f>'B) D RI'!Z105</f>
        <v>291563.84999999998</v>
      </c>
      <c r="E103" s="73">
        <f t="shared" si="3"/>
        <v>826448.04999999993</v>
      </c>
      <c r="F103" s="18">
        <f>'B) D RI'!U105</f>
        <v>108535.21144927538</v>
      </c>
      <c r="G103" s="346">
        <f t="shared" si="4"/>
        <v>7.614561569138746</v>
      </c>
      <c r="H103" s="98">
        <f t="shared" si="5"/>
        <v>354911.25499999995</v>
      </c>
    </row>
    <row r="104" spans="1:8" x14ac:dyDescent="0.25">
      <c r="A104" s="82">
        <f>'A) Base RI'!A106</f>
        <v>5562</v>
      </c>
      <c r="B104" s="147" t="str">
        <f>'A) Base RI'!B106</f>
        <v>Mauborget</v>
      </c>
      <c r="C104" s="18">
        <f>'B) D RI'!Y106</f>
        <v>55456.600000000006</v>
      </c>
      <c r="D104" s="61">
        <f>'B) D RI'!Z106</f>
        <v>0</v>
      </c>
      <c r="E104" s="73">
        <f t="shared" si="3"/>
        <v>55456.600000000006</v>
      </c>
      <c r="F104" s="18">
        <f>'B) D RI'!U106</f>
        <v>3378.0009047619046</v>
      </c>
      <c r="G104" s="346">
        <f t="shared" si="4"/>
        <v>16.416987906019763</v>
      </c>
      <c r="H104" s="98">
        <f t="shared" si="5"/>
        <v>27728.300000000003</v>
      </c>
    </row>
    <row r="105" spans="1:8" x14ac:dyDescent="0.25">
      <c r="A105" s="82">
        <f>'A) Base RI'!A107</f>
        <v>5563</v>
      </c>
      <c r="B105" s="147" t="str">
        <f>'A) Base RI'!B107</f>
        <v>Mutrux</v>
      </c>
      <c r="C105" s="18">
        <f>'B) D RI'!Y107</f>
        <v>18385.25</v>
      </c>
      <c r="D105" s="61">
        <f>'B) D RI'!Z107</f>
        <v>0</v>
      </c>
      <c r="E105" s="73">
        <f t="shared" si="3"/>
        <v>18385.25</v>
      </c>
      <c r="F105" s="18">
        <f>'B) D RI'!U107</f>
        <v>3733.6552866242037</v>
      </c>
      <c r="G105" s="346">
        <f t="shared" si="4"/>
        <v>4.9241958854276238</v>
      </c>
      <c r="H105" s="98">
        <f t="shared" si="5"/>
        <v>9192.625</v>
      </c>
    </row>
    <row r="106" spans="1:8" x14ac:dyDescent="0.25">
      <c r="A106" s="82">
        <f>'A) Base RI'!A108</f>
        <v>5564</v>
      </c>
      <c r="B106" s="147" t="str">
        <f>'A) Base RI'!B108</f>
        <v>Novalles</v>
      </c>
      <c r="C106" s="18">
        <f>'B) D RI'!Y108</f>
        <v>16865.400000000001</v>
      </c>
      <c r="D106" s="61">
        <f>'B) D RI'!Z108</f>
        <v>0</v>
      </c>
      <c r="E106" s="73">
        <f t="shared" si="3"/>
        <v>16865.400000000001</v>
      </c>
      <c r="F106" s="18">
        <f>'B) D RI'!U108</f>
        <v>2399.5770723684213</v>
      </c>
      <c r="G106" s="346">
        <f t="shared" si="4"/>
        <v>7.0284885591749626</v>
      </c>
      <c r="H106" s="98">
        <f t="shared" si="5"/>
        <v>8432.7000000000007</v>
      </c>
    </row>
    <row r="107" spans="1:8" x14ac:dyDescent="0.25">
      <c r="A107" s="82">
        <f>'A) Base RI'!A109</f>
        <v>5565</v>
      </c>
      <c r="B107" s="147" t="str">
        <f>'A) Base RI'!B109</f>
        <v>Onnens</v>
      </c>
      <c r="C107" s="18">
        <f>'B) D RI'!Y109</f>
        <v>576169.44999999995</v>
      </c>
      <c r="D107" s="61">
        <f>'B) D RI'!Z109</f>
        <v>38236.699999999997</v>
      </c>
      <c r="E107" s="73">
        <f t="shared" si="3"/>
        <v>614406.14999999991</v>
      </c>
      <c r="F107" s="18">
        <f>'B) D RI'!U109</f>
        <v>18028.040615384612</v>
      </c>
      <c r="G107" s="346">
        <f t="shared" si="4"/>
        <v>34.080583858663118</v>
      </c>
      <c r="H107" s="98">
        <f t="shared" si="5"/>
        <v>299555.73499999999</v>
      </c>
    </row>
    <row r="108" spans="1:8" x14ac:dyDescent="0.25">
      <c r="A108" s="82">
        <f>'A) Base RI'!A110</f>
        <v>5566</v>
      </c>
      <c r="B108" s="147" t="str">
        <f>'A) Base RI'!B110</f>
        <v>Provence</v>
      </c>
      <c r="C108" s="18">
        <f>'B) D RI'!Y110</f>
        <v>29015.550000000003</v>
      </c>
      <c r="D108" s="61">
        <f>'B) D RI'!Z110</f>
        <v>26218.05</v>
      </c>
      <c r="E108" s="73">
        <f t="shared" si="3"/>
        <v>55233.600000000006</v>
      </c>
      <c r="F108" s="18">
        <f>'B) D RI'!U110</f>
        <v>6953.5259259259255</v>
      </c>
      <c r="G108" s="346">
        <f t="shared" si="4"/>
        <v>7.9432507462241393</v>
      </c>
      <c r="H108" s="98">
        <f t="shared" si="5"/>
        <v>22373.190000000002</v>
      </c>
    </row>
    <row r="109" spans="1:8" x14ac:dyDescent="0.25">
      <c r="A109" s="82">
        <f>'A) Base RI'!A111</f>
        <v>5568</v>
      </c>
      <c r="B109" s="147" t="str">
        <f>'A) Base RI'!B111</f>
        <v>Sainte-Croix</v>
      </c>
      <c r="C109" s="18">
        <f>'B) D RI'!Y111</f>
        <v>909598.4</v>
      </c>
      <c r="D109" s="61">
        <f>'B) D RI'!Z111</f>
        <v>1929513.95</v>
      </c>
      <c r="E109" s="73">
        <f t="shared" si="3"/>
        <v>2839112.35</v>
      </c>
      <c r="F109" s="18">
        <f>'B) D RI'!U111</f>
        <v>95577.709714285724</v>
      </c>
      <c r="G109" s="346">
        <f t="shared" si="4"/>
        <v>29.704753948248733</v>
      </c>
      <c r="H109" s="98">
        <f t="shared" si="5"/>
        <v>1033653.385</v>
      </c>
    </row>
    <row r="110" spans="1:8" x14ac:dyDescent="0.25">
      <c r="A110" s="82">
        <f>'A) Base RI'!A112</f>
        <v>5571</v>
      </c>
      <c r="B110" s="147" t="str">
        <f>'A) Base RI'!B112</f>
        <v>Tévenon</v>
      </c>
      <c r="C110" s="18">
        <f>'B) D RI'!Y112</f>
        <v>115957.79999999999</v>
      </c>
      <c r="D110" s="61">
        <f>'B) D RI'!Z112</f>
        <v>53770.7</v>
      </c>
      <c r="E110" s="73">
        <f t="shared" si="3"/>
        <v>169728.5</v>
      </c>
      <c r="F110" s="18">
        <f>'B) D RI'!U112</f>
        <v>19746.460639269408</v>
      </c>
      <c r="G110" s="346">
        <f t="shared" si="4"/>
        <v>8.5953884648302079</v>
      </c>
      <c r="H110" s="98">
        <f t="shared" si="5"/>
        <v>74110.109999999986</v>
      </c>
    </row>
    <row r="111" spans="1:8" x14ac:dyDescent="0.25">
      <c r="A111" s="82">
        <f>'A) Base RI'!A113</f>
        <v>5581</v>
      </c>
      <c r="B111" s="147" t="str">
        <f>'A) Base RI'!B113</f>
        <v>Belmont-sur-Lausanne</v>
      </c>
      <c r="C111" s="18">
        <f>'B) D RI'!Y113</f>
        <v>1119707.2</v>
      </c>
      <c r="D111" s="61">
        <f>'B) D RI'!Z113</f>
        <v>416.35</v>
      </c>
      <c r="E111" s="73">
        <f t="shared" si="3"/>
        <v>1120123.55</v>
      </c>
      <c r="F111" s="18">
        <f>'B) D RI'!U113</f>
        <v>180220.53318944844</v>
      </c>
      <c r="G111" s="346">
        <f t="shared" si="4"/>
        <v>6.2152937302794591</v>
      </c>
      <c r="H111" s="98">
        <f t="shared" si="5"/>
        <v>559978.505</v>
      </c>
    </row>
    <row r="112" spans="1:8" x14ac:dyDescent="0.25">
      <c r="A112" s="82">
        <f>'A) Base RI'!A114</f>
        <v>5582</v>
      </c>
      <c r="B112" s="147" t="str">
        <f>'A) Base RI'!B114</f>
        <v>Cheseaux-sur-Lausanne</v>
      </c>
      <c r="C112" s="18">
        <f>'B) D RI'!Y114</f>
        <v>283431.75</v>
      </c>
      <c r="D112" s="61">
        <f>'B) D RI'!Z114</f>
        <v>603155.1</v>
      </c>
      <c r="E112" s="73">
        <f t="shared" si="3"/>
        <v>886586.85</v>
      </c>
      <c r="F112" s="18">
        <f>'B) D RI'!U114</f>
        <v>145388.39302013422</v>
      </c>
      <c r="G112" s="346">
        <f t="shared" si="4"/>
        <v>6.0980579782405355</v>
      </c>
      <c r="H112" s="98">
        <f t="shared" si="5"/>
        <v>322662.40500000003</v>
      </c>
    </row>
    <row r="113" spans="1:8" x14ac:dyDescent="0.25">
      <c r="A113" s="82">
        <f>'A) Base RI'!A115</f>
        <v>5583</v>
      </c>
      <c r="B113" s="147" t="str">
        <f>'A) Base RI'!B115</f>
        <v>Crissier</v>
      </c>
      <c r="C113" s="18">
        <f>'B) D RI'!Y115</f>
        <v>1586099.9</v>
      </c>
      <c r="D113" s="61">
        <f>'B) D RI'!Z115</f>
        <v>1202082.8500000001</v>
      </c>
      <c r="E113" s="73">
        <f t="shared" si="3"/>
        <v>2788182.75</v>
      </c>
      <c r="F113" s="18">
        <f>'B) D RI'!U115</f>
        <v>300610.54815384618</v>
      </c>
      <c r="G113" s="346">
        <f t="shared" si="4"/>
        <v>9.2750662514113333</v>
      </c>
      <c r="H113" s="98">
        <f t="shared" si="5"/>
        <v>1153674.8049999999</v>
      </c>
    </row>
    <row r="114" spans="1:8" x14ac:dyDescent="0.25">
      <c r="A114" s="82">
        <f>'A) Base RI'!A116</f>
        <v>5584</v>
      </c>
      <c r="B114" s="147" t="str">
        <f>'A) Base RI'!B116</f>
        <v>Epalinges</v>
      </c>
      <c r="C114" s="18">
        <f>'B) D RI'!Y116</f>
        <v>1930766</v>
      </c>
      <c r="D114" s="61">
        <f>'B) D RI'!Z116</f>
        <v>149168.79999999999</v>
      </c>
      <c r="E114" s="73">
        <f t="shared" si="3"/>
        <v>2079934.8</v>
      </c>
      <c r="F114" s="18">
        <f>'B) D RI'!U116</f>
        <v>461506.63590909087</v>
      </c>
      <c r="G114" s="346">
        <f t="shared" si="4"/>
        <v>4.5068361712781799</v>
      </c>
      <c r="H114" s="98">
        <f t="shared" si="5"/>
        <v>1010133.64</v>
      </c>
    </row>
    <row r="115" spans="1:8" x14ac:dyDescent="0.25">
      <c r="A115" s="82">
        <f>'A) Base RI'!A117</f>
        <v>5585</v>
      </c>
      <c r="B115" s="147" t="str">
        <f>'A) Base RI'!B117</f>
        <v>Jouxtens-Mézery</v>
      </c>
      <c r="C115" s="18">
        <f>'B) D RI'!Y117</f>
        <v>779948.89999999991</v>
      </c>
      <c r="D115" s="61">
        <f>'B) D RI'!Z117</f>
        <v>1223.3499999999999</v>
      </c>
      <c r="E115" s="73">
        <f t="shared" si="3"/>
        <v>781172.24999999988</v>
      </c>
      <c r="F115" s="18">
        <f>'B) D RI'!U117</f>
        <v>191565.37515151518</v>
      </c>
      <c r="G115" s="346">
        <f t="shared" si="4"/>
        <v>4.0778363489860618</v>
      </c>
      <c r="H115" s="98">
        <f t="shared" si="5"/>
        <v>390341.45499999996</v>
      </c>
    </row>
    <row r="116" spans="1:8" x14ac:dyDescent="0.25">
      <c r="A116" s="82">
        <f>'A) Base RI'!A118</f>
        <v>5586</v>
      </c>
      <c r="B116" s="147" t="str">
        <f>'A) Base RI'!B118</f>
        <v>Lausanne</v>
      </c>
      <c r="C116" s="18">
        <f>'B) D RI'!Y118</f>
        <v>30080842.300000001</v>
      </c>
      <c r="D116" s="61">
        <f>'B) D RI'!Z118</f>
        <v>8728359.1500000004</v>
      </c>
      <c r="E116" s="73">
        <f t="shared" ref="E116:E169" si="6">C116+D116</f>
        <v>38809201.450000003</v>
      </c>
      <c r="F116" s="18">
        <f>'B) D RI'!U118</f>
        <v>6035853.3985654004</v>
      </c>
      <c r="G116" s="346">
        <f t="shared" ref="G116:G169" si="7">E116/F116</f>
        <v>6.429778672097</v>
      </c>
      <c r="H116" s="98">
        <f t="shared" si="5"/>
        <v>17658928.895</v>
      </c>
    </row>
    <row r="117" spans="1:8" x14ac:dyDescent="0.25">
      <c r="A117" s="82">
        <f>'A) Base RI'!A119</f>
        <v>5587</v>
      </c>
      <c r="B117" s="147" t="str">
        <f>'A) Base RI'!B119</f>
        <v>Le Mont-sur-Lausanne</v>
      </c>
      <c r="C117" s="18">
        <f>'B) D RI'!Y119</f>
        <v>2062300.15</v>
      </c>
      <c r="D117" s="61">
        <f>'B) D RI'!Z119</f>
        <v>392235.1</v>
      </c>
      <c r="E117" s="73">
        <f t="shared" si="6"/>
        <v>2454535.25</v>
      </c>
      <c r="F117" s="18">
        <f>'B) D RI'!U119</f>
        <v>349051.38502222218</v>
      </c>
      <c r="G117" s="346">
        <f t="shared" si="7"/>
        <v>7.0320169331049449</v>
      </c>
      <c r="H117" s="98">
        <f t="shared" ref="H117:H170" si="8">(C117*$C$4)+(D117*$D$4)</f>
        <v>1148820.605</v>
      </c>
    </row>
    <row r="118" spans="1:8" x14ac:dyDescent="0.25">
      <c r="A118" s="82">
        <f>'A) Base RI'!A120</f>
        <v>5588</v>
      </c>
      <c r="B118" s="147" t="str">
        <f>'A) Base RI'!B120</f>
        <v>Paudex</v>
      </c>
      <c r="C118" s="18">
        <f>'B) D RI'!Y120</f>
        <v>115900.8</v>
      </c>
      <c r="D118" s="61">
        <f>'B) D RI'!Z120</f>
        <v>16776.75</v>
      </c>
      <c r="E118" s="73">
        <f t="shared" si="6"/>
        <v>132677.54999999999</v>
      </c>
      <c r="F118" s="18">
        <f>'B) D RI'!U120</f>
        <v>152550.33605110337</v>
      </c>
      <c r="G118" s="346">
        <f t="shared" si="7"/>
        <v>0.8697296475017523</v>
      </c>
      <c r="H118" s="98">
        <f t="shared" si="8"/>
        <v>62983.425000000003</v>
      </c>
    </row>
    <row r="119" spans="1:8" x14ac:dyDescent="0.25">
      <c r="A119" s="82">
        <f>'A) Base RI'!A121</f>
        <v>5589</v>
      </c>
      <c r="B119" s="147" t="str">
        <f>'A) Base RI'!B121</f>
        <v>Prilly</v>
      </c>
      <c r="C119" s="18">
        <f>'B) D RI'!Y121</f>
        <v>1053194.05</v>
      </c>
      <c r="D119" s="61">
        <f>'B) D RI'!Z121</f>
        <v>1191428.1000000001</v>
      </c>
      <c r="E119" s="73">
        <f t="shared" si="6"/>
        <v>2244622.1500000004</v>
      </c>
      <c r="F119" s="18">
        <f>'B) D RI'!U121</f>
        <v>409964.00829931977</v>
      </c>
      <c r="G119" s="346">
        <f t="shared" si="7"/>
        <v>5.4751688064313537</v>
      </c>
      <c r="H119" s="98">
        <f t="shared" si="8"/>
        <v>884025.45500000007</v>
      </c>
    </row>
    <row r="120" spans="1:8" x14ac:dyDescent="0.25">
      <c r="A120" s="82">
        <f>'A) Base RI'!A122</f>
        <v>5590</v>
      </c>
      <c r="B120" s="147" t="str">
        <f>'A) Base RI'!B122</f>
        <v>Pully</v>
      </c>
      <c r="C120" s="18">
        <f>'B) D RI'!Y122</f>
        <v>11258114.15</v>
      </c>
      <c r="D120" s="61">
        <f>'B) D RI'!Z122</f>
        <v>126947.3</v>
      </c>
      <c r="E120" s="73">
        <f t="shared" si="6"/>
        <v>11385061.450000001</v>
      </c>
      <c r="F120" s="18">
        <f>'B) D RI'!U122</f>
        <v>1412228.1927210884</v>
      </c>
      <c r="G120" s="346">
        <f t="shared" si="7"/>
        <v>8.0617718217784677</v>
      </c>
      <c r="H120" s="98">
        <f t="shared" si="8"/>
        <v>5667141.2650000006</v>
      </c>
    </row>
    <row r="121" spans="1:8" x14ac:dyDescent="0.25">
      <c r="A121" s="82">
        <f>'A) Base RI'!A123</f>
        <v>5591</v>
      </c>
      <c r="B121" s="147" t="str">
        <f>'A) Base RI'!B123</f>
        <v>Renens</v>
      </c>
      <c r="C121" s="18">
        <f>'B) D RI'!Y123</f>
        <v>3388420.8</v>
      </c>
      <c r="D121" s="61">
        <f>'B) D RI'!Z123</f>
        <v>1880338.75</v>
      </c>
      <c r="E121" s="73">
        <f t="shared" si="6"/>
        <v>5268759.55</v>
      </c>
      <c r="F121" s="18">
        <f>'B) D RI'!U123</f>
        <v>507224.92132848047</v>
      </c>
      <c r="G121" s="346">
        <f t="shared" si="7"/>
        <v>10.387422479558992</v>
      </c>
      <c r="H121" s="98">
        <f t="shared" si="8"/>
        <v>2258312.0249999999</v>
      </c>
    </row>
    <row r="122" spans="1:8" x14ac:dyDescent="0.25">
      <c r="A122" s="82">
        <f>'A) Base RI'!A124</f>
        <v>5592</v>
      </c>
      <c r="B122" s="147" t="str">
        <f>'A) Base RI'!B124</f>
        <v>Romanel-sur-Lausanne</v>
      </c>
      <c r="C122" s="18">
        <f>'B) D RI'!Y124</f>
        <v>510425.05</v>
      </c>
      <c r="D122" s="61">
        <f>'B) D RI'!Z124</f>
        <v>216205.4</v>
      </c>
      <c r="E122" s="73">
        <f t="shared" si="6"/>
        <v>726630.45</v>
      </c>
      <c r="F122" s="18">
        <f>'B) D RI'!U124</f>
        <v>115467.46028571429</v>
      </c>
      <c r="G122" s="346">
        <f t="shared" si="7"/>
        <v>6.2929456333586575</v>
      </c>
      <c r="H122" s="98">
        <f t="shared" si="8"/>
        <v>320074.14500000002</v>
      </c>
    </row>
    <row r="123" spans="1:8" x14ac:dyDescent="0.25">
      <c r="A123" s="82">
        <f>'A) Base RI'!A125</f>
        <v>5601</v>
      </c>
      <c r="B123" s="147" t="str">
        <f>'A) Base RI'!B125</f>
        <v>Chexbres</v>
      </c>
      <c r="C123" s="18">
        <f>'B) D RI'!Y125</f>
        <v>701854.5</v>
      </c>
      <c r="D123" s="61">
        <f>'B) D RI'!Z125</f>
        <v>49358.35</v>
      </c>
      <c r="E123" s="73">
        <f t="shared" si="6"/>
        <v>751212.85</v>
      </c>
      <c r="F123" s="18">
        <f>'B) D RI'!U125</f>
        <v>102004.96828125001</v>
      </c>
      <c r="G123" s="346">
        <f t="shared" si="7"/>
        <v>7.3644731492758453</v>
      </c>
      <c r="H123" s="98">
        <f t="shared" si="8"/>
        <v>365734.755</v>
      </c>
    </row>
    <row r="124" spans="1:8" x14ac:dyDescent="0.25">
      <c r="A124" s="82">
        <f>'A) Base RI'!A126</f>
        <v>5604</v>
      </c>
      <c r="B124" s="147" t="str">
        <f>'A) Base RI'!B126</f>
        <v>Forel (Lavaux)</v>
      </c>
      <c r="C124" s="18">
        <f>'B) D RI'!Y126</f>
        <v>343057.95</v>
      </c>
      <c r="D124" s="61">
        <f>'B) D RI'!Z126</f>
        <v>3939.6</v>
      </c>
      <c r="E124" s="73">
        <f t="shared" si="6"/>
        <v>346997.55</v>
      </c>
      <c r="F124" s="18">
        <f>'B) D RI'!U126</f>
        <v>73679.184999999969</v>
      </c>
      <c r="G124" s="346">
        <f t="shared" si="7"/>
        <v>4.7095736740301906</v>
      </c>
      <c r="H124" s="98">
        <f t="shared" si="8"/>
        <v>172710.85500000001</v>
      </c>
    </row>
    <row r="125" spans="1:8" x14ac:dyDescent="0.25">
      <c r="A125" s="82">
        <f>'A) Base RI'!A127</f>
        <v>5606</v>
      </c>
      <c r="B125" s="147" t="str">
        <f>'A) Base RI'!B127</f>
        <v>Lutry</v>
      </c>
      <c r="C125" s="18">
        <f>'B) D RI'!Y127</f>
        <v>5537863.25</v>
      </c>
      <c r="D125" s="61">
        <f>'B) D RI'!Z127</f>
        <v>90406.399999999994</v>
      </c>
      <c r="E125" s="73">
        <f t="shared" si="6"/>
        <v>5628269.6500000004</v>
      </c>
      <c r="F125" s="18">
        <f>'B) D RI'!U127</f>
        <v>810972.19494897977</v>
      </c>
      <c r="G125" s="346">
        <f t="shared" si="7"/>
        <v>6.9401511976055952</v>
      </c>
      <c r="H125" s="98">
        <f t="shared" si="8"/>
        <v>2796053.5449999999</v>
      </c>
    </row>
    <row r="126" spans="1:8" x14ac:dyDescent="0.25">
      <c r="A126" s="82">
        <f>'A) Base RI'!A128</f>
        <v>5607</v>
      </c>
      <c r="B126" s="147" t="str">
        <f>'A) Base RI'!B128</f>
        <v>Puidoux</v>
      </c>
      <c r="C126" s="18">
        <f>'B) D RI'!Y128</f>
        <v>582585.59999999998</v>
      </c>
      <c r="D126" s="61">
        <f>'B) D RI'!Z128</f>
        <v>95405.4</v>
      </c>
      <c r="E126" s="73">
        <f t="shared" si="6"/>
        <v>677991</v>
      </c>
      <c r="F126" s="18">
        <f>'B) D RI'!U128</f>
        <v>102046.9552557545</v>
      </c>
      <c r="G126" s="346">
        <f t="shared" si="7"/>
        <v>6.6439120922401811</v>
      </c>
      <c r="H126" s="98">
        <f t="shared" si="8"/>
        <v>319914.42</v>
      </c>
    </row>
    <row r="127" spans="1:8" x14ac:dyDescent="0.25">
      <c r="A127" s="82">
        <f>'A) Base RI'!A129</f>
        <v>5609</v>
      </c>
      <c r="B127" s="147" t="str">
        <f>'A) Base RI'!B129</f>
        <v>Rivaz</v>
      </c>
      <c r="C127" s="18">
        <f>'B) D RI'!Y129</f>
        <v>46564.4</v>
      </c>
      <c r="D127" s="61">
        <f>'B) D RI'!Z129</f>
        <v>0</v>
      </c>
      <c r="E127" s="73">
        <f t="shared" si="6"/>
        <v>46564.4</v>
      </c>
      <c r="F127" s="18">
        <f>'B) D RI'!U129</f>
        <v>17457.580472440943</v>
      </c>
      <c r="G127" s="346">
        <f t="shared" si="7"/>
        <v>2.6672882919547729</v>
      </c>
      <c r="H127" s="98">
        <f t="shared" si="8"/>
        <v>23282.2</v>
      </c>
    </row>
    <row r="128" spans="1:8" x14ac:dyDescent="0.25">
      <c r="A128" s="82">
        <f>'A) Base RI'!A130</f>
        <v>5610</v>
      </c>
      <c r="B128" s="147" t="str">
        <f>'A) Base RI'!B130</f>
        <v>St-Saphorin (Lavaux)</v>
      </c>
      <c r="C128" s="18">
        <f>'B) D RI'!Y130</f>
        <v>69919.05</v>
      </c>
      <c r="D128" s="61">
        <f>'B) D RI'!Z130</f>
        <v>0</v>
      </c>
      <c r="E128" s="73">
        <f t="shared" si="6"/>
        <v>69919.05</v>
      </c>
      <c r="F128" s="18">
        <f>'B) D RI'!U130</f>
        <v>20355.755166666662</v>
      </c>
      <c r="G128" s="346">
        <f t="shared" si="7"/>
        <v>3.4348541445662089</v>
      </c>
      <c r="H128" s="98">
        <f t="shared" si="8"/>
        <v>34959.525000000001</v>
      </c>
    </row>
    <row r="129" spans="1:8" x14ac:dyDescent="0.25">
      <c r="A129" s="82">
        <f>'A) Base RI'!A131</f>
        <v>5611</v>
      </c>
      <c r="B129" s="147" t="str">
        <f>'A) Base RI'!B131</f>
        <v>Savigny</v>
      </c>
      <c r="C129" s="18">
        <f>'B) D RI'!Y131</f>
        <v>393546.5</v>
      </c>
      <c r="D129" s="61">
        <f>'B) D RI'!Z131</f>
        <v>69571.100000000006</v>
      </c>
      <c r="E129" s="73">
        <f t="shared" si="6"/>
        <v>463117.6</v>
      </c>
      <c r="F129" s="18">
        <f>'B) D RI'!U131</f>
        <v>133649.01597014922</v>
      </c>
      <c r="G129" s="346">
        <f t="shared" si="7"/>
        <v>3.465177776568428</v>
      </c>
      <c r="H129" s="98">
        <f t="shared" si="8"/>
        <v>217644.58000000002</v>
      </c>
    </row>
    <row r="130" spans="1:8" x14ac:dyDescent="0.25">
      <c r="A130" s="82">
        <f>'A) Base RI'!A132</f>
        <v>5613</v>
      </c>
      <c r="B130" s="147" t="str">
        <f>'A) Base RI'!B132</f>
        <v>Bourg-en-Lavaux</v>
      </c>
      <c r="C130" s="18">
        <f>'B) D RI'!Y132</f>
        <v>1633093.2000000002</v>
      </c>
      <c r="D130" s="61">
        <f>'B) D RI'!Z132</f>
        <v>24518.75</v>
      </c>
      <c r="E130" s="73">
        <f t="shared" si="6"/>
        <v>1657611.9500000002</v>
      </c>
      <c r="F130" s="18">
        <f>'B) D RI'!U132</f>
        <v>319171.56765027321</v>
      </c>
      <c r="G130" s="346">
        <f t="shared" si="7"/>
        <v>5.1934824965872277</v>
      </c>
      <c r="H130" s="98">
        <f t="shared" si="8"/>
        <v>823902.22500000009</v>
      </c>
    </row>
    <row r="131" spans="1:8" x14ac:dyDescent="0.25">
      <c r="A131" s="82">
        <f>'A) Base RI'!A133</f>
        <v>5621</v>
      </c>
      <c r="B131" s="147" t="str">
        <f>'A) Base RI'!B133</f>
        <v>Aclens</v>
      </c>
      <c r="C131" s="18">
        <f>'B) D RI'!Y133</f>
        <v>38818.899999999994</v>
      </c>
      <c r="D131" s="61">
        <f>'B) D RI'!Z133</f>
        <v>168131.9</v>
      </c>
      <c r="E131" s="73">
        <f t="shared" si="6"/>
        <v>206950.8</v>
      </c>
      <c r="F131" s="18">
        <f>'B) D RI'!U133</f>
        <v>40747.294721407634</v>
      </c>
      <c r="G131" s="346">
        <f t="shared" si="7"/>
        <v>5.0788844122030286</v>
      </c>
      <c r="H131" s="98">
        <f t="shared" si="8"/>
        <v>69849.01999999999</v>
      </c>
    </row>
    <row r="132" spans="1:8" x14ac:dyDescent="0.25">
      <c r="A132" s="82">
        <f>'A) Base RI'!A134</f>
        <v>5622</v>
      </c>
      <c r="B132" s="147" t="str">
        <f>'A) Base RI'!B134</f>
        <v>Bremblens</v>
      </c>
      <c r="C132" s="18">
        <f>'B) D RI'!Y134</f>
        <v>97677.65</v>
      </c>
      <c r="D132" s="61">
        <f>'B) D RI'!Z134</f>
        <v>22445.8</v>
      </c>
      <c r="E132" s="73">
        <f t="shared" si="6"/>
        <v>120123.45</v>
      </c>
      <c r="F132" s="18">
        <f>'B) D RI'!U134</f>
        <v>25805.300909090911</v>
      </c>
      <c r="G132" s="346">
        <f t="shared" si="7"/>
        <v>4.6549912525019961</v>
      </c>
      <c r="H132" s="98">
        <f t="shared" si="8"/>
        <v>55572.564999999995</v>
      </c>
    </row>
    <row r="133" spans="1:8" x14ac:dyDescent="0.25">
      <c r="A133" s="82">
        <f>'A) Base RI'!A135</f>
        <v>5623</v>
      </c>
      <c r="B133" s="147" t="str">
        <f>'A) Base RI'!B135</f>
        <v>Buchillon</v>
      </c>
      <c r="C133" s="18">
        <f>'B) D RI'!Y135</f>
        <v>250409.40000000002</v>
      </c>
      <c r="D133" s="61">
        <f>'B) D RI'!Z135</f>
        <v>5813.35</v>
      </c>
      <c r="E133" s="73">
        <f t="shared" si="6"/>
        <v>256222.75000000003</v>
      </c>
      <c r="F133" s="18">
        <f>'B) D RI'!U135</f>
        <v>91715.647358490576</v>
      </c>
      <c r="G133" s="346">
        <f t="shared" si="7"/>
        <v>2.7936645204988593</v>
      </c>
      <c r="H133" s="98">
        <f t="shared" si="8"/>
        <v>126948.70500000002</v>
      </c>
    </row>
    <row r="134" spans="1:8" x14ac:dyDescent="0.25">
      <c r="A134" s="82">
        <f>'A) Base RI'!A136</f>
        <v>5624</v>
      </c>
      <c r="B134" s="147" t="str">
        <f>'A) Base RI'!B136</f>
        <v>Bussigny</v>
      </c>
      <c r="C134" s="18">
        <f>'B) D RI'!Y136</f>
        <v>1186437</v>
      </c>
      <c r="D134" s="61">
        <f>'B) D RI'!Z136</f>
        <v>1048244.2</v>
      </c>
      <c r="E134" s="73">
        <f t="shared" si="6"/>
        <v>2234681.2000000002</v>
      </c>
      <c r="F134" s="18">
        <f>'B) D RI'!U136</f>
        <v>356632.38967741939</v>
      </c>
      <c r="G134" s="346">
        <f t="shared" si="7"/>
        <v>6.2660635003492278</v>
      </c>
      <c r="H134" s="98">
        <f t="shared" si="8"/>
        <v>907691.76</v>
      </c>
    </row>
    <row r="135" spans="1:8" x14ac:dyDescent="0.25">
      <c r="A135" s="82">
        <f>'A) Base RI'!A137</f>
        <v>5625</v>
      </c>
      <c r="B135" s="147" t="str">
        <f>'A) Base RI'!B137</f>
        <v>Bussy-Chardonney</v>
      </c>
      <c r="C135" s="18">
        <f>'B) D RI'!Y137</f>
        <v>11660</v>
      </c>
      <c r="D135" s="61">
        <f>'B) D RI'!Z137</f>
        <v>0</v>
      </c>
      <c r="E135" s="73">
        <f t="shared" si="6"/>
        <v>11660</v>
      </c>
      <c r="F135" s="18">
        <f>'B) D RI'!U137</f>
        <v>13870.18990740741</v>
      </c>
      <c r="G135" s="346">
        <f t="shared" si="7"/>
        <v>0.8406517919248494</v>
      </c>
      <c r="H135" s="98">
        <f t="shared" si="8"/>
        <v>5830</v>
      </c>
    </row>
    <row r="136" spans="1:8" x14ac:dyDescent="0.25">
      <c r="A136" s="82">
        <f>'A) Base RI'!A138</f>
        <v>5627</v>
      </c>
      <c r="B136" s="147" t="str">
        <f>'A) Base RI'!B138</f>
        <v>Chavannes-près-Renens</v>
      </c>
      <c r="C136" s="18">
        <f>'B) D RI'!Y138</f>
        <v>415214.85</v>
      </c>
      <c r="D136" s="61">
        <f>'B) D RI'!Z138</f>
        <v>415643.65</v>
      </c>
      <c r="E136" s="73">
        <f t="shared" si="6"/>
        <v>830858.5</v>
      </c>
      <c r="F136" s="18">
        <f>'B) D RI'!U138</f>
        <v>170689.33978902953</v>
      </c>
      <c r="G136" s="346">
        <f t="shared" si="7"/>
        <v>4.8676648525732977</v>
      </c>
      <c r="H136" s="98">
        <f t="shared" si="8"/>
        <v>332300.52</v>
      </c>
    </row>
    <row r="137" spans="1:8" x14ac:dyDescent="0.25">
      <c r="A137" s="82">
        <f>'A) Base RI'!A139</f>
        <v>5628</v>
      </c>
      <c r="B137" s="147" t="str">
        <f>'A) Base RI'!B139</f>
        <v>Chigny</v>
      </c>
      <c r="C137" s="18">
        <f>'B) D RI'!Y139</f>
        <v>16724.3</v>
      </c>
      <c r="D137" s="61">
        <f>'B) D RI'!Z139</f>
        <v>7487.2</v>
      </c>
      <c r="E137" s="73">
        <f t="shared" si="6"/>
        <v>24211.5</v>
      </c>
      <c r="F137" s="18">
        <f>'B) D RI'!U139</f>
        <v>19182.221249999991</v>
      </c>
      <c r="G137" s="346">
        <f t="shared" si="7"/>
        <v>1.2621843781517228</v>
      </c>
      <c r="H137" s="98">
        <f t="shared" si="8"/>
        <v>10608.31</v>
      </c>
    </row>
    <row r="138" spans="1:8" x14ac:dyDescent="0.25">
      <c r="A138" s="82">
        <f>'A) Base RI'!A140</f>
        <v>5629</v>
      </c>
      <c r="B138" s="147" t="str">
        <f>'A) Base RI'!B140</f>
        <v>Clarmont</v>
      </c>
      <c r="C138" s="18">
        <f>'B) D RI'!Y140</f>
        <v>27225</v>
      </c>
      <c r="D138" s="61">
        <f>'B) D RI'!Z140</f>
        <v>0</v>
      </c>
      <c r="E138" s="73">
        <f t="shared" si="6"/>
        <v>27225</v>
      </c>
      <c r="F138" s="18">
        <f>'B) D RI'!U140</f>
        <v>7795.3318666666655</v>
      </c>
      <c r="G138" s="346">
        <f t="shared" si="7"/>
        <v>3.4924747869190571</v>
      </c>
      <c r="H138" s="98">
        <f t="shared" si="8"/>
        <v>13612.5</v>
      </c>
    </row>
    <row r="139" spans="1:8" x14ac:dyDescent="0.25">
      <c r="A139" s="82">
        <f>'A) Base RI'!A141</f>
        <v>5631</v>
      </c>
      <c r="B139" s="147" t="str">
        <f>'A) Base RI'!B141</f>
        <v>Denens</v>
      </c>
      <c r="C139" s="18">
        <f>'B) D RI'!Y141</f>
        <v>140850.15</v>
      </c>
      <c r="D139" s="61">
        <f>'B) D RI'!Z141</f>
        <v>0</v>
      </c>
      <c r="E139" s="73">
        <f t="shared" si="6"/>
        <v>140850.15</v>
      </c>
      <c r="F139" s="18">
        <f>'B) D RI'!U141</f>
        <v>35350.552500000005</v>
      </c>
      <c r="G139" s="346">
        <f t="shared" si="7"/>
        <v>3.9843832709545337</v>
      </c>
      <c r="H139" s="98">
        <f t="shared" si="8"/>
        <v>70425.074999999997</v>
      </c>
    </row>
    <row r="140" spans="1:8" x14ac:dyDescent="0.25">
      <c r="A140" s="82">
        <f>'A) Base RI'!A142</f>
        <v>5632</v>
      </c>
      <c r="B140" s="147" t="str">
        <f>'A) Base RI'!B142</f>
        <v>Denges</v>
      </c>
      <c r="C140" s="18">
        <f>'B) D RI'!Y142</f>
        <v>410613.25</v>
      </c>
      <c r="D140" s="61">
        <f>'B) D RI'!Z142</f>
        <v>95997.4</v>
      </c>
      <c r="E140" s="73">
        <f t="shared" si="6"/>
        <v>506610.65</v>
      </c>
      <c r="F140" s="18">
        <f>'B) D RI'!U142</f>
        <v>61597.331370967739</v>
      </c>
      <c r="G140" s="346">
        <f t="shared" si="7"/>
        <v>8.22455516699182</v>
      </c>
      <c r="H140" s="98">
        <f t="shared" si="8"/>
        <v>234105.845</v>
      </c>
    </row>
    <row r="141" spans="1:8" x14ac:dyDescent="0.25">
      <c r="A141" s="82">
        <f>'A) Base RI'!A143</f>
        <v>5633</v>
      </c>
      <c r="B141" s="147" t="str">
        <f>'A) Base RI'!B143</f>
        <v>Echandens</v>
      </c>
      <c r="C141" s="18">
        <f>'B) D RI'!Y143</f>
        <v>533106.56000000006</v>
      </c>
      <c r="D141" s="61">
        <f>'B) D RI'!Z143</f>
        <v>136533</v>
      </c>
      <c r="E141" s="73">
        <f t="shared" si="6"/>
        <v>669639.56000000006</v>
      </c>
      <c r="F141" s="18">
        <f>'B) D RI'!U143</f>
        <v>124899.1516129032</v>
      </c>
      <c r="G141" s="346">
        <f t="shared" si="7"/>
        <v>5.3614420222436507</v>
      </c>
      <c r="H141" s="98">
        <f t="shared" si="8"/>
        <v>307513.18000000005</v>
      </c>
    </row>
    <row r="142" spans="1:8" x14ac:dyDescent="0.25">
      <c r="A142" s="82">
        <f>'A) Base RI'!A144</f>
        <v>5634</v>
      </c>
      <c r="B142" s="147" t="str">
        <f>'A) Base RI'!B144</f>
        <v>Echichens</v>
      </c>
      <c r="C142" s="18">
        <f>'B) D RI'!Y144</f>
        <v>576519.55000000005</v>
      </c>
      <c r="D142" s="61">
        <f>'B) D RI'!Z144</f>
        <v>18229.55</v>
      </c>
      <c r="E142" s="73">
        <f t="shared" si="6"/>
        <v>594749.10000000009</v>
      </c>
      <c r="F142" s="18">
        <f>'B) D RI'!U144</f>
        <v>128757.51117647058</v>
      </c>
      <c r="G142" s="346">
        <f t="shared" si="7"/>
        <v>4.6191410082853928</v>
      </c>
      <c r="H142" s="98">
        <f t="shared" si="8"/>
        <v>293728.64000000001</v>
      </c>
    </row>
    <row r="143" spans="1:8" x14ac:dyDescent="0.25">
      <c r="A143" s="82">
        <f>'A) Base RI'!A145</f>
        <v>5635</v>
      </c>
      <c r="B143" s="147" t="str">
        <f>'A) Base RI'!B145</f>
        <v>Ecublens</v>
      </c>
      <c r="C143" s="18">
        <f>'B) D RI'!Y145</f>
        <v>2092672.4000000001</v>
      </c>
      <c r="D143" s="61">
        <f>'B) D RI'!Z145</f>
        <v>1649493.2</v>
      </c>
      <c r="E143" s="73">
        <f t="shared" si="6"/>
        <v>3742165.6</v>
      </c>
      <c r="F143" s="18">
        <f>'B) D RI'!U145</f>
        <v>456934.05313242786</v>
      </c>
      <c r="G143" s="346">
        <f t="shared" si="7"/>
        <v>8.189727980101873</v>
      </c>
      <c r="H143" s="98">
        <f t="shared" si="8"/>
        <v>1541184.1600000001</v>
      </c>
    </row>
    <row r="144" spans="1:8" x14ac:dyDescent="0.25">
      <c r="A144" s="82">
        <f>'A) Base RI'!A146</f>
        <v>5636</v>
      </c>
      <c r="B144" s="147" t="str">
        <f>'A) Base RI'!B146</f>
        <v>Etoy</v>
      </c>
      <c r="C144" s="18">
        <f>'B) D RI'!Y146</f>
        <v>958951.95000000007</v>
      </c>
      <c r="D144" s="61">
        <f>'B) D RI'!Z146</f>
        <v>448665.05</v>
      </c>
      <c r="E144" s="73">
        <f t="shared" si="6"/>
        <v>1407617</v>
      </c>
      <c r="F144" s="18">
        <f>'B) D RI'!U146</f>
        <v>141771.26016393444</v>
      </c>
      <c r="G144" s="346">
        <f t="shared" si="7"/>
        <v>9.9287895048145121</v>
      </c>
      <c r="H144" s="98">
        <f t="shared" si="8"/>
        <v>614075.49</v>
      </c>
    </row>
    <row r="145" spans="1:8" x14ac:dyDescent="0.25">
      <c r="A145" s="82">
        <f>'A) Base RI'!A147</f>
        <v>5637</v>
      </c>
      <c r="B145" s="147" t="str">
        <f>'A) Base RI'!B147</f>
        <v>Lavigny</v>
      </c>
      <c r="C145" s="18">
        <f>'B) D RI'!Y147</f>
        <v>133019.35</v>
      </c>
      <c r="D145" s="61">
        <f>'B) D RI'!Z147</f>
        <v>235219.1</v>
      </c>
      <c r="E145" s="73">
        <f t="shared" si="6"/>
        <v>368238.45</v>
      </c>
      <c r="F145" s="18">
        <f>'B) D RI'!U147</f>
        <v>30305.948814317679</v>
      </c>
      <c r="G145" s="346">
        <f t="shared" si="7"/>
        <v>12.150698605616011</v>
      </c>
      <c r="H145" s="98">
        <f t="shared" si="8"/>
        <v>137075.405</v>
      </c>
    </row>
    <row r="146" spans="1:8" x14ac:dyDescent="0.25">
      <c r="A146" s="82">
        <f>'A) Base RI'!A148</f>
        <v>5638</v>
      </c>
      <c r="B146" s="147" t="str">
        <f>'A) Base RI'!B148</f>
        <v>Lonay</v>
      </c>
      <c r="C146" s="18">
        <f>'B) D RI'!Y148</f>
        <v>2326309.2999999998</v>
      </c>
      <c r="D146" s="61">
        <f>'B) D RI'!Z148</f>
        <v>148917.65</v>
      </c>
      <c r="E146" s="73">
        <f t="shared" si="6"/>
        <v>2475226.9499999997</v>
      </c>
      <c r="F146" s="18">
        <f>'B) D RI'!U148</f>
        <v>131856.2218181818</v>
      </c>
      <c r="G146" s="346">
        <f t="shared" si="7"/>
        <v>18.772166499758512</v>
      </c>
      <c r="H146" s="98">
        <f t="shared" si="8"/>
        <v>1207829.9449999998</v>
      </c>
    </row>
    <row r="147" spans="1:8" x14ac:dyDescent="0.25">
      <c r="A147" s="82">
        <f>'A) Base RI'!A149</f>
        <v>5639</v>
      </c>
      <c r="B147" s="147" t="str">
        <f>'A) Base RI'!B149</f>
        <v>Lully</v>
      </c>
      <c r="C147" s="18">
        <f>'B) D RI'!Y149</f>
        <v>116952.65000000001</v>
      </c>
      <c r="D147" s="61">
        <f>'B) D RI'!Z149</f>
        <v>1891.1</v>
      </c>
      <c r="E147" s="73">
        <f t="shared" si="6"/>
        <v>118843.75000000001</v>
      </c>
      <c r="F147" s="18">
        <f>'B) D RI'!U149</f>
        <v>41983.035245901636</v>
      </c>
      <c r="G147" s="346">
        <f t="shared" si="7"/>
        <v>2.8307565020945331</v>
      </c>
      <c r="H147" s="98">
        <f t="shared" si="8"/>
        <v>59043.655000000006</v>
      </c>
    </row>
    <row r="148" spans="1:8" x14ac:dyDescent="0.25">
      <c r="A148" s="82">
        <f>'A) Base RI'!A150</f>
        <v>5640</v>
      </c>
      <c r="B148" s="147" t="str">
        <f>'A) Base RI'!B150</f>
        <v>Lussy-sur-Morges</v>
      </c>
      <c r="C148" s="18">
        <f>'B) D RI'!Y150</f>
        <v>209440.25</v>
      </c>
      <c r="D148" s="61">
        <f>'B) D RI'!Z150</f>
        <v>25777.95</v>
      </c>
      <c r="E148" s="73">
        <f t="shared" si="6"/>
        <v>235218.2</v>
      </c>
      <c r="F148" s="18">
        <f>'B) D RI'!U150</f>
        <v>50734.215909090912</v>
      </c>
      <c r="G148" s="346">
        <f t="shared" si="7"/>
        <v>4.6362833402506958</v>
      </c>
      <c r="H148" s="98">
        <f t="shared" si="8"/>
        <v>112453.51</v>
      </c>
    </row>
    <row r="149" spans="1:8" x14ac:dyDescent="0.25">
      <c r="A149" s="82">
        <f>'A) Base RI'!A151</f>
        <v>5642</v>
      </c>
      <c r="B149" s="147" t="str">
        <f>'A) Base RI'!B151</f>
        <v>Morges</v>
      </c>
      <c r="C149" s="18">
        <f>'B) D RI'!Y151</f>
        <v>4739676.1499999994</v>
      </c>
      <c r="D149" s="61">
        <f>'B) D RI'!Z151</f>
        <v>1159592.3999999999</v>
      </c>
      <c r="E149" s="73">
        <f t="shared" si="6"/>
        <v>5899268.5499999989</v>
      </c>
      <c r="F149" s="18">
        <f>'B) D RI'!U151</f>
        <v>722363.52321167884</v>
      </c>
      <c r="G149" s="346">
        <f t="shared" si="7"/>
        <v>8.1666202132846326</v>
      </c>
      <c r="H149" s="98">
        <f t="shared" si="8"/>
        <v>2717715.7949999999</v>
      </c>
    </row>
    <row r="150" spans="1:8" x14ac:dyDescent="0.25">
      <c r="A150" s="82">
        <f>'A) Base RI'!A152</f>
        <v>5643</v>
      </c>
      <c r="B150" s="147" t="str">
        <f>'A) Base RI'!B152</f>
        <v>Préverenges</v>
      </c>
      <c r="C150" s="18">
        <f>'B) D RI'!Y152</f>
        <v>2332993.9500000002</v>
      </c>
      <c r="D150" s="61">
        <f>'B) D RI'!Z152</f>
        <v>135457.95000000001</v>
      </c>
      <c r="E150" s="73">
        <f t="shared" si="6"/>
        <v>2468451.9000000004</v>
      </c>
      <c r="F150" s="18">
        <f>'B) D RI'!U152</f>
        <v>265909.61515625002</v>
      </c>
      <c r="G150" s="346">
        <f t="shared" si="7"/>
        <v>9.2830486725706542</v>
      </c>
      <c r="H150" s="98">
        <f t="shared" si="8"/>
        <v>1207134.3600000001</v>
      </c>
    </row>
    <row r="151" spans="1:8" x14ac:dyDescent="0.25">
      <c r="A151" s="82">
        <f>'A) Base RI'!A153</f>
        <v>5644</v>
      </c>
      <c r="B151" s="147" t="str">
        <f>'A) Base RI'!B153</f>
        <v>Reverolle</v>
      </c>
      <c r="C151" s="18">
        <f>'B) D RI'!Y153</f>
        <v>40181.9</v>
      </c>
      <c r="D151" s="61">
        <f>'B) D RI'!Z153</f>
        <v>5586.45</v>
      </c>
      <c r="E151" s="73">
        <f t="shared" si="6"/>
        <v>45768.35</v>
      </c>
      <c r="F151" s="18">
        <f>'B) D RI'!U153</f>
        <v>14878.554871794875</v>
      </c>
      <c r="G151" s="346">
        <f t="shared" si="7"/>
        <v>3.0761287231438446</v>
      </c>
      <c r="H151" s="98">
        <f t="shared" si="8"/>
        <v>21766.885000000002</v>
      </c>
    </row>
    <row r="152" spans="1:8" x14ac:dyDescent="0.25">
      <c r="A152" s="82">
        <f>'A) Base RI'!A154</f>
        <v>5645</v>
      </c>
      <c r="B152" s="147" t="str">
        <f>'A) Base RI'!B154</f>
        <v>Romanel-sur-Morges</v>
      </c>
      <c r="C152" s="18">
        <f>'B) D RI'!Y154</f>
        <v>150200.5</v>
      </c>
      <c r="D152" s="61">
        <f>'B) D RI'!Z154</f>
        <v>52238.05</v>
      </c>
      <c r="E152" s="73">
        <f t="shared" si="6"/>
        <v>202438.55</v>
      </c>
      <c r="F152" s="18">
        <f>'B) D RI'!U154</f>
        <v>25051.786919642858</v>
      </c>
      <c r="G152" s="346">
        <f t="shared" si="7"/>
        <v>8.0808028045803759</v>
      </c>
      <c r="H152" s="98">
        <f t="shared" si="8"/>
        <v>90771.665000000008</v>
      </c>
    </row>
    <row r="153" spans="1:8" x14ac:dyDescent="0.25">
      <c r="A153" s="82">
        <f>'A) Base RI'!A155</f>
        <v>5646</v>
      </c>
      <c r="B153" s="147" t="str">
        <f>'A) Base RI'!B155</f>
        <v>Saint-Prex</v>
      </c>
      <c r="C153" s="18">
        <f>'B) D RI'!Y155</f>
        <v>9748177.5500000007</v>
      </c>
      <c r="D153" s="61">
        <f>'B) D RI'!Z155</f>
        <v>356352.95</v>
      </c>
      <c r="E153" s="73">
        <f t="shared" si="6"/>
        <v>10104530.5</v>
      </c>
      <c r="F153" s="18">
        <f>'B) D RI'!U155</f>
        <v>375526.35254545452</v>
      </c>
      <c r="G153" s="346">
        <f t="shared" si="7"/>
        <v>26.907646910816801</v>
      </c>
      <c r="H153" s="98">
        <f t="shared" si="8"/>
        <v>4980994.66</v>
      </c>
    </row>
    <row r="154" spans="1:8" x14ac:dyDescent="0.25">
      <c r="A154" s="82">
        <f>'A) Base RI'!A156</f>
        <v>5648</v>
      </c>
      <c r="B154" s="147" t="str">
        <f>'A) Base RI'!B156</f>
        <v>Saint-Sulpice</v>
      </c>
      <c r="C154" s="18">
        <f>'B) D RI'!Y156</f>
        <v>1680812.2799999998</v>
      </c>
      <c r="D154" s="61">
        <f>'B) D RI'!Z156</f>
        <v>67714.899999999994</v>
      </c>
      <c r="E154" s="73">
        <f t="shared" si="6"/>
        <v>1748527.1799999997</v>
      </c>
      <c r="F154" s="18">
        <f>'B) D RI'!U156</f>
        <v>290036.18604545452</v>
      </c>
      <c r="G154" s="346">
        <f t="shared" si="7"/>
        <v>6.028651817004552</v>
      </c>
      <c r="H154" s="98">
        <f t="shared" si="8"/>
        <v>860720.60999999987</v>
      </c>
    </row>
    <row r="155" spans="1:8" x14ac:dyDescent="0.25">
      <c r="A155" s="82">
        <f>'A) Base RI'!A157</f>
        <v>5649</v>
      </c>
      <c r="B155" s="147" t="str">
        <f>'A) Base RI'!B157</f>
        <v>Tolochenaz</v>
      </c>
      <c r="C155" s="18">
        <f>'B) D RI'!Y157</f>
        <v>478735.05</v>
      </c>
      <c r="D155" s="61">
        <f>'B) D RI'!Z157</f>
        <v>451792.15</v>
      </c>
      <c r="E155" s="73">
        <f t="shared" si="6"/>
        <v>930527.2</v>
      </c>
      <c r="F155" s="18">
        <f>'B) D RI'!U157</f>
        <v>103201.6483076923</v>
      </c>
      <c r="G155" s="346">
        <f t="shared" si="7"/>
        <v>9.0165924213309445</v>
      </c>
      <c r="H155" s="98">
        <f t="shared" si="8"/>
        <v>374905.17</v>
      </c>
    </row>
    <row r="156" spans="1:8" x14ac:dyDescent="0.25">
      <c r="A156" s="82">
        <f>'A) Base RI'!A158</f>
        <v>5650</v>
      </c>
      <c r="B156" s="147" t="str">
        <f>'A) Base RI'!B158</f>
        <v>Vaux-sur-Morges</v>
      </c>
      <c r="C156" s="18">
        <f>'B) D RI'!Y158</f>
        <v>145262.9</v>
      </c>
      <c r="D156" s="61">
        <f>'B) D RI'!Z158</f>
        <v>0</v>
      </c>
      <c r="E156" s="73">
        <f t="shared" si="6"/>
        <v>145262.9</v>
      </c>
      <c r="F156" s="18">
        <f>'B) D RI'!U158</f>
        <v>157222.88974358974</v>
      </c>
      <c r="G156" s="346">
        <f t="shared" si="7"/>
        <v>0.92392971683006875</v>
      </c>
      <c r="H156" s="98">
        <f t="shared" si="8"/>
        <v>72631.45</v>
      </c>
    </row>
    <row r="157" spans="1:8" x14ac:dyDescent="0.25">
      <c r="A157" s="82">
        <f>'A) Base RI'!A159</f>
        <v>5651</v>
      </c>
      <c r="B157" s="147" t="str">
        <f>'A) Base RI'!B159</f>
        <v>Villars-Sainte-Croix</v>
      </c>
      <c r="C157" s="18">
        <f>'B) D RI'!Y159</f>
        <v>90097.549999999988</v>
      </c>
      <c r="D157" s="61">
        <f>'B) D RI'!Z159</f>
        <v>159281.15</v>
      </c>
      <c r="E157" s="73">
        <f t="shared" si="6"/>
        <v>249378.69999999998</v>
      </c>
      <c r="F157" s="18">
        <f>'B) D RI'!U159</f>
        <v>47709.999830508481</v>
      </c>
      <c r="G157" s="346">
        <f t="shared" si="7"/>
        <v>5.2269692074182963</v>
      </c>
      <c r="H157" s="98">
        <f t="shared" si="8"/>
        <v>92833.12</v>
      </c>
    </row>
    <row r="158" spans="1:8" x14ac:dyDescent="0.25">
      <c r="A158" s="82">
        <f>'A) Base RI'!A160</f>
        <v>5652</v>
      </c>
      <c r="B158" s="147" t="str">
        <f>'A) Base RI'!B160</f>
        <v>Villars-sous-Yens</v>
      </c>
      <c r="C158" s="18">
        <f>'B) D RI'!Y160</f>
        <v>45405.1</v>
      </c>
      <c r="D158" s="61">
        <f>'B) D RI'!Z160</f>
        <v>1152.3499999999999</v>
      </c>
      <c r="E158" s="73">
        <f t="shared" si="6"/>
        <v>46557.45</v>
      </c>
      <c r="F158" s="18">
        <f>'B) D RI'!U160</f>
        <v>24426.645087719295</v>
      </c>
      <c r="G158" s="346">
        <f t="shared" si="7"/>
        <v>1.9060108268166207</v>
      </c>
      <c r="H158" s="98">
        <f t="shared" si="8"/>
        <v>23048.255000000001</v>
      </c>
    </row>
    <row r="159" spans="1:8" x14ac:dyDescent="0.25">
      <c r="A159" s="82">
        <f>'A) Base RI'!A161</f>
        <v>5653</v>
      </c>
      <c r="B159" s="147" t="str">
        <f>'A) Base RI'!B161</f>
        <v>Vufflens-le-Château</v>
      </c>
      <c r="C159" s="18">
        <f>'B) D RI'!Y161</f>
        <v>211375.90000000002</v>
      </c>
      <c r="D159" s="61">
        <f>'B) D RI'!Z161</f>
        <v>4508.5</v>
      </c>
      <c r="E159" s="73">
        <f t="shared" si="6"/>
        <v>215884.40000000002</v>
      </c>
      <c r="F159" s="18">
        <f>'B) D RI'!U161</f>
        <v>54206.67831818181</v>
      </c>
      <c r="G159" s="346">
        <f t="shared" si="7"/>
        <v>3.982616288214599</v>
      </c>
      <c r="H159" s="98">
        <f t="shared" si="8"/>
        <v>107040.50000000001</v>
      </c>
    </row>
    <row r="160" spans="1:8" x14ac:dyDescent="0.25">
      <c r="A160" s="82">
        <f>'A) Base RI'!A162</f>
        <v>5654</v>
      </c>
      <c r="B160" s="147" t="str">
        <f>'A) Base RI'!B162</f>
        <v>Vullierens</v>
      </c>
      <c r="C160" s="18">
        <f>'B) D RI'!Y162</f>
        <v>134631.79999999999</v>
      </c>
      <c r="D160" s="61">
        <f>'B) D RI'!Z162</f>
        <v>1120.5999999999999</v>
      </c>
      <c r="E160" s="73">
        <f t="shared" si="6"/>
        <v>135752.4</v>
      </c>
      <c r="F160" s="18">
        <f>'B) D RI'!U162</f>
        <v>15860.891578947369</v>
      </c>
      <c r="G160" s="346">
        <f t="shared" si="7"/>
        <v>8.5589387787120472</v>
      </c>
      <c r="H160" s="98">
        <f t="shared" si="8"/>
        <v>67652.079999999987</v>
      </c>
    </row>
    <row r="161" spans="1:8" x14ac:dyDescent="0.25">
      <c r="A161" s="82">
        <f>'A) Base RI'!A163</f>
        <v>5655</v>
      </c>
      <c r="B161" s="147" t="str">
        <f>'A) Base RI'!B163</f>
        <v>Yens</v>
      </c>
      <c r="C161" s="18">
        <f>'B) D RI'!Y163</f>
        <v>381539.15</v>
      </c>
      <c r="D161" s="61">
        <f>'B) D RI'!Z163</f>
        <v>48761.35</v>
      </c>
      <c r="E161" s="73">
        <f t="shared" si="6"/>
        <v>430300.5</v>
      </c>
      <c r="F161" s="18">
        <f>'B) D RI'!U163</f>
        <v>73269.942328767123</v>
      </c>
      <c r="G161" s="346">
        <f t="shared" si="7"/>
        <v>5.8728106823015214</v>
      </c>
      <c r="H161" s="98">
        <f t="shared" si="8"/>
        <v>205397.98</v>
      </c>
    </row>
    <row r="162" spans="1:8" x14ac:dyDescent="0.25">
      <c r="A162" s="82">
        <f>'A) Base RI'!A164</f>
        <v>5661</v>
      </c>
      <c r="B162" s="147" t="str">
        <f>'A) Base RI'!B164</f>
        <v>Boulens</v>
      </c>
      <c r="C162" s="18">
        <f>'B) D RI'!Y164</f>
        <v>31185.03</v>
      </c>
      <c r="D162" s="61">
        <f>'B) D RI'!Z164</f>
        <v>23768.05</v>
      </c>
      <c r="E162" s="73">
        <f t="shared" si="6"/>
        <v>54953.08</v>
      </c>
      <c r="F162" s="18">
        <f>'B) D RI'!U164</f>
        <v>6901.8381012658238</v>
      </c>
      <c r="G162" s="346">
        <f t="shared" si="7"/>
        <v>7.9620934588311183</v>
      </c>
      <c r="H162" s="98">
        <f t="shared" si="8"/>
        <v>22722.93</v>
      </c>
    </row>
    <row r="163" spans="1:8" x14ac:dyDescent="0.25">
      <c r="A163" s="82">
        <f>'A) Base RI'!A165</f>
        <v>5662</v>
      </c>
      <c r="B163" s="147" t="str">
        <f>'A) Base RI'!B165</f>
        <v>Brenles</v>
      </c>
      <c r="C163" s="18">
        <f>'B) D RI'!Y165</f>
        <v>44509</v>
      </c>
      <c r="D163" s="61">
        <f>'B) D RI'!Z165</f>
        <v>0</v>
      </c>
      <c r="E163" s="73">
        <f t="shared" si="6"/>
        <v>44509</v>
      </c>
      <c r="F163" s="18">
        <f>'B) D RI'!U165</f>
        <v>4031.2468945868945</v>
      </c>
      <c r="G163" s="346">
        <f t="shared" si="7"/>
        <v>11.041000753331705</v>
      </c>
      <c r="H163" s="98">
        <f t="shared" si="8"/>
        <v>22254.5</v>
      </c>
    </row>
    <row r="164" spans="1:8" x14ac:dyDescent="0.25">
      <c r="A164" s="82">
        <f>'A) Base RI'!A166</f>
        <v>5663</v>
      </c>
      <c r="B164" s="147" t="str">
        <f>'A) Base RI'!B166</f>
        <v>Bussy-sur-Moudon</v>
      </c>
      <c r="C164" s="18">
        <f>'B) D RI'!Y166</f>
        <v>16845.849999999999</v>
      </c>
      <c r="D164" s="61">
        <f>'B) D RI'!Z166</f>
        <v>0</v>
      </c>
      <c r="E164" s="73">
        <f t="shared" si="6"/>
        <v>16845.849999999999</v>
      </c>
      <c r="F164" s="18">
        <f>'B) D RI'!U166</f>
        <v>5172.1214999999993</v>
      </c>
      <c r="G164" s="346">
        <f t="shared" si="7"/>
        <v>3.2570483891378035</v>
      </c>
      <c r="H164" s="98">
        <f t="shared" si="8"/>
        <v>8422.9249999999993</v>
      </c>
    </row>
    <row r="165" spans="1:8" x14ac:dyDescent="0.25">
      <c r="A165" s="82">
        <f>'A) Base RI'!A167</f>
        <v>5665</v>
      </c>
      <c r="B165" s="147" t="str">
        <f>'A) Base RI'!B167</f>
        <v>Chavannes-sur-Moudon</v>
      </c>
      <c r="C165" s="18">
        <f>'B) D RI'!Y167</f>
        <v>3951</v>
      </c>
      <c r="D165" s="61">
        <f>'B) D RI'!Z167</f>
        <v>0</v>
      </c>
      <c r="E165" s="73">
        <f t="shared" si="6"/>
        <v>3951</v>
      </c>
      <c r="F165" s="18">
        <f>'B) D RI'!U167</f>
        <v>3708.5273611111106</v>
      </c>
      <c r="G165" s="346">
        <f t="shared" si="7"/>
        <v>1.0653824592024157</v>
      </c>
      <c r="H165" s="98">
        <f t="shared" si="8"/>
        <v>1975.5</v>
      </c>
    </row>
    <row r="166" spans="1:8" x14ac:dyDescent="0.25">
      <c r="A166" s="82">
        <f>'A) Base RI'!A168</f>
        <v>5666</v>
      </c>
      <c r="B166" s="147" t="str">
        <f>'A) Base RI'!B168</f>
        <v>Chesalles-sur-Moudon</v>
      </c>
      <c r="C166" s="18">
        <f>'B) D RI'!Y168</f>
        <v>10468.65</v>
      </c>
      <c r="D166" s="61">
        <f>'B) D RI'!Z168</f>
        <v>0</v>
      </c>
      <c r="E166" s="73">
        <f t="shared" si="6"/>
        <v>10468.65</v>
      </c>
      <c r="F166" s="18">
        <f>'B) D RI'!U168</f>
        <v>3731.231866666667</v>
      </c>
      <c r="G166" s="346">
        <f t="shared" si="7"/>
        <v>2.8056819769156487</v>
      </c>
      <c r="H166" s="98">
        <f t="shared" si="8"/>
        <v>5234.3249999999998</v>
      </c>
    </row>
    <row r="167" spans="1:8" x14ac:dyDescent="0.25">
      <c r="A167" s="82">
        <f>'A) Base RI'!A169</f>
        <v>5668</v>
      </c>
      <c r="B167" s="147" t="str">
        <f>'A) Base RI'!B169</f>
        <v>Cremin</v>
      </c>
      <c r="C167" s="18">
        <f>'B) D RI'!Y169</f>
        <v>0</v>
      </c>
      <c r="D167" s="61">
        <f>'B) D RI'!Z169</f>
        <v>0</v>
      </c>
      <c r="E167" s="73">
        <f t="shared" si="6"/>
        <v>0</v>
      </c>
      <c r="F167" s="18">
        <f>'B) D RI'!U169</f>
        <v>1020.8936363636363</v>
      </c>
      <c r="G167" s="346">
        <f t="shared" si="7"/>
        <v>0</v>
      </c>
      <c r="H167" s="98">
        <f t="shared" si="8"/>
        <v>0</v>
      </c>
    </row>
    <row r="168" spans="1:8" x14ac:dyDescent="0.25">
      <c r="A168" s="82">
        <f>'A) Base RI'!A170</f>
        <v>5669</v>
      </c>
      <c r="B168" s="147" t="str">
        <f>'A) Base RI'!B170</f>
        <v>Curtilles</v>
      </c>
      <c r="C168" s="18">
        <f>'B) D RI'!Y170</f>
        <v>65848.45</v>
      </c>
      <c r="D168" s="61">
        <f>'B) D RI'!Z170</f>
        <v>0</v>
      </c>
      <c r="E168" s="73">
        <f t="shared" si="6"/>
        <v>65848.45</v>
      </c>
      <c r="F168" s="18">
        <f>'B) D RI'!U170</f>
        <v>8099.7640277777791</v>
      </c>
      <c r="G168" s="346">
        <f t="shared" si="7"/>
        <v>8.1296751083334868</v>
      </c>
      <c r="H168" s="98">
        <f t="shared" si="8"/>
        <v>32924.224999999999</v>
      </c>
    </row>
    <row r="169" spans="1:8" x14ac:dyDescent="0.25">
      <c r="A169" s="82">
        <f>'A) Base RI'!A171</f>
        <v>5671</v>
      </c>
      <c r="B169" s="147" t="str">
        <f>'A) Base RI'!B171</f>
        <v>Dompierre</v>
      </c>
      <c r="C169" s="18">
        <f>'B) D RI'!Y171</f>
        <v>6239</v>
      </c>
      <c r="D169" s="61">
        <f>'B) D RI'!Z171</f>
        <v>0</v>
      </c>
      <c r="E169" s="73">
        <f t="shared" si="6"/>
        <v>6239</v>
      </c>
      <c r="F169" s="18">
        <f>'B) D RI'!U171</f>
        <v>5882.5981250000004</v>
      </c>
      <c r="G169" s="346">
        <f t="shared" si="7"/>
        <v>1.0605857934583964</v>
      </c>
      <c r="H169" s="98">
        <f t="shared" si="8"/>
        <v>3119.5</v>
      </c>
    </row>
    <row r="170" spans="1:8" x14ac:dyDescent="0.25">
      <c r="A170" s="82">
        <f>'A) Base RI'!A172</f>
        <v>5672</v>
      </c>
      <c r="B170" s="147" t="str">
        <f>'A) Base RI'!B172</f>
        <v>Forel-sur-Lucens</v>
      </c>
      <c r="C170" s="18">
        <f>'B) D RI'!Y172</f>
        <v>28515.9</v>
      </c>
      <c r="D170" s="61">
        <f>'B) D RI'!Z172</f>
        <v>0</v>
      </c>
      <c r="E170" s="73">
        <f t="shared" ref="E170:E225" si="9">C170+D170</f>
        <v>28515.9</v>
      </c>
      <c r="F170" s="18">
        <f>'B) D RI'!U172</f>
        <v>3859.3261000000002</v>
      </c>
      <c r="G170" s="346">
        <f t="shared" ref="G170:G225" si="10">E170/F170</f>
        <v>7.3888288424240702</v>
      </c>
      <c r="H170" s="98">
        <f t="shared" si="8"/>
        <v>14257.95</v>
      </c>
    </row>
    <row r="171" spans="1:8" x14ac:dyDescent="0.25">
      <c r="A171" s="82">
        <f>'A) Base RI'!A173</f>
        <v>5673</v>
      </c>
      <c r="B171" s="147" t="str">
        <f>'A) Base RI'!B173</f>
        <v>Hermenches</v>
      </c>
      <c r="C171" s="18">
        <f>'B) D RI'!Y173</f>
        <v>114765.04999999999</v>
      </c>
      <c r="D171" s="61">
        <f>'B) D RI'!Z173</f>
        <v>9321.9500000000007</v>
      </c>
      <c r="E171" s="73">
        <f t="shared" si="9"/>
        <v>124086.99999999999</v>
      </c>
      <c r="F171" s="18">
        <f>'B) D RI'!U173</f>
        <v>9584.1538967136148</v>
      </c>
      <c r="G171" s="346">
        <f t="shared" si="10"/>
        <v>12.947100113088663</v>
      </c>
      <c r="H171" s="98">
        <f t="shared" ref="H171:H226" si="11">(C171*$C$4)+(D171*$D$4)</f>
        <v>60179.109999999993</v>
      </c>
    </row>
    <row r="172" spans="1:8" x14ac:dyDescent="0.25">
      <c r="A172" s="82">
        <f>'A) Base RI'!A174</f>
        <v>5674</v>
      </c>
      <c r="B172" s="147" t="str">
        <f>'A) Base RI'!B174</f>
        <v>Lovatens</v>
      </c>
      <c r="C172" s="18">
        <f>'B) D RI'!Y174</f>
        <v>3971.3500000000004</v>
      </c>
      <c r="D172" s="61">
        <f>'B) D RI'!Z174</f>
        <v>0</v>
      </c>
      <c r="E172" s="73">
        <f t="shared" si="9"/>
        <v>3971.3500000000004</v>
      </c>
      <c r="F172" s="18">
        <f>'B) D RI'!U174</f>
        <v>5762.0609054325942</v>
      </c>
      <c r="G172" s="346">
        <f t="shared" si="10"/>
        <v>0.68922388450558147</v>
      </c>
      <c r="H172" s="98">
        <f t="shared" si="11"/>
        <v>1985.6750000000002</v>
      </c>
    </row>
    <row r="173" spans="1:8" x14ac:dyDescent="0.25">
      <c r="A173" s="82">
        <f>'A) Base RI'!A175</f>
        <v>5675</v>
      </c>
      <c r="B173" s="147" t="str">
        <f>'A) Base RI'!B175</f>
        <v>Lucens</v>
      </c>
      <c r="C173" s="18">
        <f>'B) D RI'!Y175</f>
        <v>265234</v>
      </c>
      <c r="D173" s="61">
        <f>'B) D RI'!Z175</f>
        <v>37608.400000000001</v>
      </c>
      <c r="E173" s="73">
        <f t="shared" si="9"/>
        <v>302842.40000000002</v>
      </c>
      <c r="F173" s="18">
        <f>'B) D RI'!U175</f>
        <v>78725.785578512397</v>
      </c>
      <c r="G173" s="346">
        <f t="shared" si="10"/>
        <v>3.8468006101759187</v>
      </c>
      <c r="H173" s="98">
        <f t="shared" si="11"/>
        <v>143899.51999999999</v>
      </c>
    </row>
    <row r="174" spans="1:8" x14ac:dyDescent="0.25">
      <c r="A174" s="82">
        <f>'A) Base RI'!A176</f>
        <v>5678</v>
      </c>
      <c r="B174" s="147" t="str">
        <f>'A) Base RI'!B176</f>
        <v>Moudon</v>
      </c>
      <c r="C174" s="18">
        <f>'B) D RI'!Y176</f>
        <v>553914.9</v>
      </c>
      <c r="D174" s="61">
        <f>'B) D RI'!Z176</f>
        <v>63283.25</v>
      </c>
      <c r="E174" s="73">
        <f t="shared" si="9"/>
        <v>617198.15</v>
      </c>
      <c r="F174" s="18">
        <f>'B) D RI'!U176</f>
        <v>119060.24706666666</v>
      </c>
      <c r="G174" s="346">
        <f t="shared" si="10"/>
        <v>5.1839145743953123</v>
      </c>
      <c r="H174" s="98">
        <f t="shared" si="11"/>
        <v>295942.42499999999</v>
      </c>
    </row>
    <row r="175" spans="1:8" x14ac:dyDescent="0.25">
      <c r="A175" s="82">
        <f>'A) Base RI'!A177</f>
        <v>5680</v>
      </c>
      <c r="B175" s="147" t="str">
        <f>'A) Base RI'!B177</f>
        <v>Ogens</v>
      </c>
      <c r="C175" s="18">
        <f>'B) D RI'!Y177</f>
        <v>21792.95</v>
      </c>
      <c r="D175" s="61">
        <f>'B) D RI'!Z177</f>
        <v>0</v>
      </c>
      <c r="E175" s="73">
        <f t="shared" si="9"/>
        <v>21792.95</v>
      </c>
      <c r="F175" s="18">
        <f>'B) D RI'!U177</f>
        <v>6568.1873076923084</v>
      </c>
      <c r="G175" s="346">
        <f t="shared" si="10"/>
        <v>3.3179550124091723</v>
      </c>
      <c r="H175" s="98">
        <f t="shared" si="11"/>
        <v>10896.475</v>
      </c>
    </row>
    <row r="176" spans="1:8" x14ac:dyDescent="0.25">
      <c r="A176" s="82">
        <f>'A) Base RI'!A178</f>
        <v>5683</v>
      </c>
      <c r="B176" s="147" t="str">
        <f>'A) Base RI'!B178</f>
        <v>Prévonloup</v>
      </c>
      <c r="C176" s="18">
        <f>'B) D RI'!Y178</f>
        <v>8085</v>
      </c>
      <c r="D176" s="61">
        <f>'B) D RI'!Z178</f>
        <v>0</v>
      </c>
      <c r="E176" s="73">
        <f t="shared" si="9"/>
        <v>8085</v>
      </c>
      <c r="F176" s="18">
        <f>'B) D RI'!U178</f>
        <v>3760.4979729729735</v>
      </c>
      <c r="G176" s="346">
        <f t="shared" si="10"/>
        <v>2.1499812147507056</v>
      </c>
      <c r="H176" s="98">
        <f t="shared" si="11"/>
        <v>4042.5</v>
      </c>
    </row>
    <row r="177" spans="1:8" x14ac:dyDescent="0.25">
      <c r="A177" s="82">
        <f>'A) Base RI'!A179</f>
        <v>5684</v>
      </c>
      <c r="B177" s="147" t="str">
        <f>'A) Base RI'!B179</f>
        <v>Rossenges</v>
      </c>
      <c r="C177" s="18">
        <f>'B) D RI'!Y179</f>
        <v>0</v>
      </c>
      <c r="D177" s="61">
        <f>'B) D RI'!Z179</f>
        <v>0</v>
      </c>
      <c r="E177" s="73">
        <f t="shared" si="9"/>
        <v>0</v>
      </c>
      <c r="F177" s="18">
        <f>'B) D RI'!U179</f>
        <v>1257.3034166666666</v>
      </c>
      <c r="G177" s="346">
        <f t="shared" si="10"/>
        <v>0</v>
      </c>
      <c r="H177" s="98">
        <f t="shared" si="11"/>
        <v>0</v>
      </c>
    </row>
    <row r="178" spans="1:8" x14ac:dyDescent="0.25">
      <c r="A178" s="82">
        <f>'A) Base RI'!A180</f>
        <v>5686</v>
      </c>
      <c r="B178" s="147" t="str">
        <f>'A) Base RI'!B180</f>
        <v>Sarzens</v>
      </c>
      <c r="C178" s="18">
        <f>'B) D RI'!Y180</f>
        <v>20114.150000000001</v>
      </c>
      <c r="D178" s="61">
        <f>'B) D RI'!Z180</f>
        <v>0</v>
      </c>
      <c r="E178" s="73">
        <f t="shared" si="9"/>
        <v>20114.150000000001</v>
      </c>
      <c r="F178" s="18">
        <f>'B) D RI'!U180</f>
        <v>1531.7207894736844</v>
      </c>
      <c r="G178" s="346">
        <f t="shared" si="10"/>
        <v>13.131734019821875</v>
      </c>
      <c r="H178" s="98">
        <f t="shared" si="11"/>
        <v>10057.075000000001</v>
      </c>
    </row>
    <row r="179" spans="1:8" x14ac:dyDescent="0.25">
      <c r="A179" s="82">
        <f>'A) Base RI'!A181</f>
        <v>5688</v>
      </c>
      <c r="B179" s="147" t="str">
        <f>'A) Base RI'!B181</f>
        <v>Syens</v>
      </c>
      <c r="C179" s="18">
        <f>'B) D RI'!Y181</f>
        <v>4637.25</v>
      </c>
      <c r="D179" s="61">
        <f>'B) D RI'!Z181</f>
        <v>0</v>
      </c>
      <c r="E179" s="73">
        <f t="shared" si="9"/>
        <v>4637.25</v>
      </c>
      <c r="F179" s="18">
        <f>'B) D RI'!U181</f>
        <v>4602.8089947089957</v>
      </c>
      <c r="G179" s="346">
        <f t="shared" si="10"/>
        <v>1.0074826058023687</v>
      </c>
      <c r="H179" s="98">
        <f t="shared" si="11"/>
        <v>2318.625</v>
      </c>
    </row>
    <row r="180" spans="1:8" x14ac:dyDescent="0.25">
      <c r="A180" s="82">
        <f>'A) Base RI'!A182</f>
        <v>5690</v>
      </c>
      <c r="B180" s="147" t="str">
        <f>'A) Base RI'!B182</f>
        <v>Villars-le-Comte</v>
      </c>
      <c r="C180" s="18">
        <f>'B) D RI'!Y182</f>
        <v>494.5</v>
      </c>
      <c r="D180" s="61">
        <f>'B) D RI'!Z182</f>
        <v>0</v>
      </c>
      <c r="E180" s="73">
        <f t="shared" si="9"/>
        <v>494.5</v>
      </c>
      <c r="F180" s="18">
        <f>'B) D RI'!U182</f>
        <v>3143.0732894736843</v>
      </c>
      <c r="G180" s="346">
        <f t="shared" si="10"/>
        <v>0.15733008888342062</v>
      </c>
      <c r="H180" s="98">
        <f t="shared" si="11"/>
        <v>247.25</v>
      </c>
    </row>
    <row r="181" spans="1:8" x14ac:dyDescent="0.25">
      <c r="A181" s="82">
        <f>'A) Base RI'!A183</f>
        <v>5692</v>
      </c>
      <c r="B181" s="147" t="str">
        <f>'A) Base RI'!B183</f>
        <v>Vucherens</v>
      </c>
      <c r="C181" s="18">
        <f>'B) D RI'!Y183</f>
        <v>43434.7</v>
      </c>
      <c r="D181" s="61">
        <f>'B) D RI'!Z183</f>
        <v>9598.6</v>
      </c>
      <c r="E181" s="73">
        <f t="shared" si="9"/>
        <v>53033.299999999996</v>
      </c>
      <c r="F181" s="18">
        <f>'B) D RI'!U183</f>
        <v>15992.362531645569</v>
      </c>
      <c r="G181" s="346">
        <f t="shared" si="10"/>
        <v>3.316164193692964</v>
      </c>
      <c r="H181" s="98">
        <f t="shared" si="11"/>
        <v>24596.93</v>
      </c>
    </row>
    <row r="182" spans="1:8" x14ac:dyDescent="0.25">
      <c r="A182" s="82">
        <f>'A) Base RI'!A184</f>
        <v>5693</v>
      </c>
      <c r="B182" s="147" t="str">
        <f>'A) Base RI'!B184</f>
        <v>Montanaire</v>
      </c>
      <c r="C182" s="18">
        <f>'B) D RI'!Y184</f>
        <v>293291.09999999998</v>
      </c>
      <c r="D182" s="61">
        <f>'B) D RI'!Z184</f>
        <v>8948.9500000000007</v>
      </c>
      <c r="E182" s="73">
        <f>C182+D182</f>
        <v>302240.05</v>
      </c>
      <c r="F182" s="18">
        <f>'B) D RI'!U184</f>
        <v>59073.542638888895</v>
      </c>
      <c r="G182" s="346">
        <f>E182/F182</f>
        <v>5.1163352746180379</v>
      </c>
      <c r="H182" s="98">
        <f>(C182*$C$4)+(D182*$D$4)</f>
        <v>149330.23499999999</v>
      </c>
    </row>
    <row r="183" spans="1:8" x14ac:dyDescent="0.25">
      <c r="A183" s="82">
        <f>'A) Base RI'!A185</f>
        <v>5701</v>
      </c>
      <c r="B183" s="147" t="str">
        <f>'A) Base RI'!B185</f>
        <v>Arnex-sur-Nyon</v>
      </c>
      <c r="C183" s="18">
        <f>'B) D RI'!Y185</f>
        <v>36139.1</v>
      </c>
      <c r="D183" s="61">
        <f>'B) D RI'!Z185</f>
        <v>599.70000000000005</v>
      </c>
      <c r="E183" s="73">
        <f>C183+D183</f>
        <v>36738.799999999996</v>
      </c>
      <c r="F183" s="18">
        <f>'B) D RI'!U185</f>
        <v>14424.549365079363</v>
      </c>
      <c r="G183" s="346">
        <f>E183/F183</f>
        <v>2.5469634489200459</v>
      </c>
      <c r="H183" s="98">
        <f>(C183*$C$4)+(D183*$D$4)</f>
        <v>18249.46</v>
      </c>
    </row>
    <row r="184" spans="1:8" x14ac:dyDescent="0.25">
      <c r="A184" s="82">
        <f>'A) Base RI'!A186</f>
        <v>5702</v>
      </c>
      <c r="B184" s="147" t="str">
        <f>'A) Base RI'!B186</f>
        <v>Arzier-Le Muids</v>
      </c>
      <c r="C184" s="18">
        <f>'B) D RI'!Y186</f>
        <v>723947.75</v>
      </c>
      <c r="D184" s="61">
        <f>'B) D RI'!Z186</f>
        <v>58335.3</v>
      </c>
      <c r="E184" s="73">
        <f t="shared" si="9"/>
        <v>782283.05</v>
      </c>
      <c r="F184" s="18">
        <f>'B) D RI'!U186</f>
        <v>123913.10833333334</v>
      </c>
      <c r="G184" s="346">
        <f t="shared" si="10"/>
        <v>6.3131581518850615</v>
      </c>
      <c r="H184" s="98">
        <f t="shared" si="11"/>
        <v>379474.46500000003</v>
      </c>
    </row>
    <row r="185" spans="1:8" x14ac:dyDescent="0.25">
      <c r="A185" s="82">
        <f>'A) Base RI'!A187</f>
        <v>5703</v>
      </c>
      <c r="B185" s="147" t="str">
        <f>'A) Base RI'!B187</f>
        <v>Bassins</v>
      </c>
      <c r="C185" s="18">
        <f>'B) D RI'!Y187</f>
        <v>359435.2</v>
      </c>
      <c r="D185" s="61">
        <f>'B) D RI'!Z187</f>
        <v>34327.199999999997</v>
      </c>
      <c r="E185" s="73">
        <f t="shared" si="9"/>
        <v>393762.4</v>
      </c>
      <c r="F185" s="18">
        <f>'B) D RI'!U187</f>
        <v>52680.758714285716</v>
      </c>
      <c r="G185" s="346">
        <f t="shared" si="10"/>
        <v>7.4745013095876587</v>
      </c>
      <c r="H185" s="98">
        <f t="shared" si="11"/>
        <v>190015.76</v>
      </c>
    </row>
    <row r="186" spans="1:8" x14ac:dyDescent="0.25">
      <c r="A186" s="82">
        <f>'A) Base RI'!A188</f>
        <v>5704</v>
      </c>
      <c r="B186" s="147" t="str">
        <f>'A) Base RI'!B188</f>
        <v>Begnins</v>
      </c>
      <c r="C186" s="18">
        <f>'B) D RI'!Y188</f>
        <v>1439984.75</v>
      </c>
      <c r="D186" s="61">
        <f>'B) D RI'!Z188</f>
        <v>55254.7</v>
      </c>
      <c r="E186" s="73">
        <f t="shared" si="9"/>
        <v>1495239.45</v>
      </c>
      <c r="F186" s="18">
        <f>'B) D RI'!U188</f>
        <v>98583.13114427861</v>
      </c>
      <c r="G186" s="346">
        <f t="shared" si="10"/>
        <v>15.16729518168462</v>
      </c>
      <c r="H186" s="98">
        <f t="shared" si="11"/>
        <v>736568.78500000003</v>
      </c>
    </row>
    <row r="187" spans="1:8" x14ac:dyDescent="0.25">
      <c r="A187" s="82">
        <f>'A) Base RI'!A189</f>
        <v>5705</v>
      </c>
      <c r="B187" s="147" t="str">
        <f>'A) Base RI'!B189</f>
        <v>Bogis-Bossey</v>
      </c>
      <c r="C187" s="18">
        <f>'B) D RI'!Y189</f>
        <v>153906.70000000001</v>
      </c>
      <c r="D187" s="61">
        <f>'B) D RI'!Z189</f>
        <v>23316.55</v>
      </c>
      <c r="E187" s="73">
        <f t="shared" si="9"/>
        <v>177223.25</v>
      </c>
      <c r="F187" s="18">
        <f>'B) D RI'!U189</f>
        <v>43467.757968750004</v>
      </c>
      <c r="G187" s="346">
        <f t="shared" si="10"/>
        <v>4.0771196464149355</v>
      </c>
      <c r="H187" s="98">
        <f t="shared" si="11"/>
        <v>83948.315000000002</v>
      </c>
    </row>
    <row r="188" spans="1:8" x14ac:dyDescent="0.25">
      <c r="A188" s="82">
        <f>'A) Base RI'!A190</f>
        <v>5706</v>
      </c>
      <c r="B188" s="147" t="str">
        <f>'A) Base RI'!B190</f>
        <v>Borex</v>
      </c>
      <c r="C188" s="18">
        <f>'B) D RI'!Y190</f>
        <v>397659.55000000005</v>
      </c>
      <c r="D188" s="61">
        <f>'B) D RI'!Z190</f>
        <v>13308.1</v>
      </c>
      <c r="E188" s="73">
        <f t="shared" si="9"/>
        <v>410967.65</v>
      </c>
      <c r="F188" s="18">
        <f>'B) D RI'!U190</f>
        <v>92938.421228070161</v>
      </c>
      <c r="G188" s="346">
        <f t="shared" si="10"/>
        <v>4.4219349174383824</v>
      </c>
      <c r="H188" s="98">
        <f t="shared" si="11"/>
        <v>202822.20500000002</v>
      </c>
    </row>
    <row r="189" spans="1:8" x14ac:dyDescent="0.25">
      <c r="A189" s="82">
        <f>'A) Base RI'!A191</f>
        <v>5707</v>
      </c>
      <c r="B189" s="147" t="str">
        <f>'A) Base RI'!B191</f>
        <v>Chavannes-de-Bogis</v>
      </c>
      <c r="C189" s="18">
        <f>'B) D RI'!Y191</f>
        <v>324282.90000000002</v>
      </c>
      <c r="D189" s="61">
        <f>'B) D RI'!Z191</f>
        <v>500588.3</v>
      </c>
      <c r="E189" s="73">
        <f t="shared" si="9"/>
        <v>824871.2</v>
      </c>
      <c r="F189" s="18">
        <f>'B) D RI'!U191</f>
        <v>97999.943502824884</v>
      </c>
      <c r="G189" s="346">
        <f t="shared" si="10"/>
        <v>8.4170579136734176</v>
      </c>
      <c r="H189" s="98">
        <f t="shared" si="11"/>
        <v>312317.94</v>
      </c>
    </row>
    <row r="190" spans="1:8" x14ac:dyDescent="0.25">
      <c r="A190" s="82">
        <f>'A) Base RI'!A192</f>
        <v>5708</v>
      </c>
      <c r="B190" s="147" t="str">
        <f>'A) Base RI'!B192</f>
        <v>Chavannes-des-Bois</v>
      </c>
      <c r="C190" s="18">
        <f>'B) D RI'!Y192</f>
        <v>296339.15000000002</v>
      </c>
      <c r="D190" s="61">
        <f>'B) D RI'!Z192</f>
        <v>3614.65</v>
      </c>
      <c r="E190" s="73">
        <f t="shared" si="9"/>
        <v>299953.80000000005</v>
      </c>
      <c r="F190" s="18">
        <f>'B) D RI'!U192</f>
        <v>60199.422131147534</v>
      </c>
      <c r="G190" s="346">
        <f t="shared" si="10"/>
        <v>4.9826690918483454</v>
      </c>
      <c r="H190" s="98">
        <f t="shared" si="11"/>
        <v>149253.97</v>
      </c>
    </row>
    <row r="191" spans="1:8" x14ac:dyDescent="0.25">
      <c r="A191" s="82">
        <f>'A) Base RI'!A193</f>
        <v>5709</v>
      </c>
      <c r="B191" s="147" t="str">
        <f>'A) Base RI'!B193</f>
        <v>Chéserex</v>
      </c>
      <c r="C191" s="18">
        <f>'B) D RI'!Y193</f>
        <v>307152.19999999995</v>
      </c>
      <c r="D191" s="61">
        <f>'B) D RI'!Z193</f>
        <v>17582.150000000001</v>
      </c>
      <c r="E191" s="73">
        <f t="shared" si="9"/>
        <v>324734.34999999998</v>
      </c>
      <c r="F191" s="18">
        <f>'B) D RI'!U193</f>
        <v>145967.90288461538</v>
      </c>
      <c r="G191" s="346">
        <f t="shared" si="10"/>
        <v>2.2246969613360532</v>
      </c>
      <c r="H191" s="98">
        <f t="shared" si="11"/>
        <v>158850.74499999997</v>
      </c>
    </row>
    <row r="192" spans="1:8" x14ac:dyDescent="0.25">
      <c r="A192" s="82">
        <f>'A) Base RI'!A194</f>
        <v>5710</v>
      </c>
      <c r="B192" s="147" t="str">
        <f>'A) Base RI'!B194</f>
        <v>Coinsins</v>
      </c>
      <c r="C192" s="18">
        <f>'B) D RI'!Y194</f>
        <v>97856.400000000009</v>
      </c>
      <c r="D192" s="61">
        <f>'B) D RI'!Z194</f>
        <v>30789.45</v>
      </c>
      <c r="E192" s="73">
        <f t="shared" si="9"/>
        <v>128645.85</v>
      </c>
      <c r="F192" s="18">
        <f>'B) D RI'!U194</f>
        <v>102493.90717948719</v>
      </c>
      <c r="G192" s="346">
        <f t="shared" si="10"/>
        <v>1.2551560725918622</v>
      </c>
      <c r="H192" s="98">
        <f t="shared" si="11"/>
        <v>58165.035000000003</v>
      </c>
    </row>
    <row r="193" spans="1:8" x14ac:dyDescent="0.25">
      <c r="A193" s="82">
        <f>'A) Base RI'!A195</f>
        <v>5711</v>
      </c>
      <c r="B193" s="147" t="str">
        <f>'A) Base RI'!B195</f>
        <v>Commugny</v>
      </c>
      <c r="C193" s="18">
        <f>'B) D RI'!Y195</f>
        <v>1031319.3500000001</v>
      </c>
      <c r="D193" s="61">
        <f>'B) D RI'!Z195</f>
        <v>27071.55</v>
      </c>
      <c r="E193" s="73">
        <f t="shared" si="9"/>
        <v>1058390.9000000001</v>
      </c>
      <c r="F193" s="18">
        <f>'B) D RI'!U195</f>
        <v>235951.75200265253</v>
      </c>
      <c r="G193" s="346">
        <f t="shared" si="10"/>
        <v>4.4856242474016543</v>
      </c>
      <c r="H193" s="98">
        <f t="shared" si="11"/>
        <v>523781.14000000007</v>
      </c>
    </row>
    <row r="194" spans="1:8" x14ac:dyDescent="0.25">
      <c r="A194" s="82">
        <f>'A) Base RI'!A196</f>
        <v>5712</v>
      </c>
      <c r="B194" s="147" t="str">
        <f>'A) Base RI'!B196</f>
        <v>Coppet</v>
      </c>
      <c r="C194" s="18">
        <f>'B) D RI'!Y196</f>
        <v>2068068.85</v>
      </c>
      <c r="D194" s="61">
        <f>'B) D RI'!Z196</f>
        <v>118944.8</v>
      </c>
      <c r="E194" s="73">
        <f t="shared" si="9"/>
        <v>2187013.65</v>
      </c>
      <c r="F194" s="18">
        <f>'B) D RI'!U196</f>
        <v>292636.3057232704</v>
      </c>
      <c r="G194" s="346">
        <f t="shared" si="10"/>
        <v>7.4734870801305666</v>
      </c>
      <c r="H194" s="98">
        <f t="shared" si="11"/>
        <v>1069717.865</v>
      </c>
    </row>
    <row r="195" spans="1:8" x14ac:dyDescent="0.25">
      <c r="A195" s="82">
        <f>'A) Base RI'!A197</f>
        <v>5713</v>
      </c>
      <c r="B195" s="147" t="str">
        <f>'A) Base RI'!B197</f>
        <v>Crans-près-Céligny</v>
      </c>
      <c r="C195" s="18">
        <f>'B) D RI'!Y197</f>
        <v>1866965.55</v>
      </c>
      <c r="D195" s="61">
        <f>'B) D RI'!Z197</f>
        <v>27235.75</v>
      </c>
      <c r="E195" s="73">
        <f t="shared" si="9"/>
        <v>1894201.3</v>
      </c>
      <c r="F195" s="18">
        <f>'B) D RI'!U197</f>
        <v>335979.11377358483</v>
      </c>
      <c r="G195" s="346">
        <f t="shared" si="10"/>
        <v>5.6378543258986502</v>
      </c>
      <c r="H195" s="98">
        <f t="shared" si="11"/>
        <v>941653.5</v>
      </c>
    </row>
    <row r="196" spans="1:8" x14ac:dyDescent="0.25">
      <c r="A196" s="82">
        <f>'A) Base RI'!A198</f>
        <v>5714</v>
      </c>
      <c r="B196" s="147" t="str">
        <f>'A) Base RI'!B198</f>
        <v>Crassier</v>
      </c>
      <c r="C196" s="18">
        <f>'B) D RI'!Y198</f>
        <v>500682.95</v>
      </c>
      <c r="D196" s="61">
        <f>'B) D RI'!Z198</f>
        <v>96409.9</v>
      </c>
      <c r="E196" s="73">
        <f t="shared" si="9"/>
        <v>597092.85</v>
      </c>
      <c r="F196" s="18">
        <f>'B) D RI'!U198</f>
        <v>64394.622031249986</v>
      </c>
      <c r="G196" s="346">
        <f t="shared" si="10"/>
        <v>9.2724024330826502</v>
      </c>
      <c r="H196" s="98">
        <f t="shared" si="11"/>
        <v>279264.44500000001</v>
      </c>
    </row>
    <row r="197" spans="1:8" x14ac:dyDescent="0.25">
      <c r="A197" s="82">
        <f>'A) Base RI'!A199</f>
        <v>5715</v>
      </c>
      <c r="B197" s="147" t="str">
        <f>'A) Base RI'!B199</f>
        <v>Duillier</v>
      </c>
      <c r="C197" s="18">
        <f>'B) D RI'!Y199</f>
        <v>41597.9</v>
      </c>
      <c r="D197" s="61">
        <f>'B) D RI'!Z199</f>
        <v>40511.949999999997</v>
      </c>
      <c r="E197" s="73">
        <f t="shared" si="9"/>
        <v>82109.850000000006</v>
      </c>
      <c r="F197" s="18">
        <f>'B) D RI'!U199</f>
        <v>60430.509848484849</v>
      </c>
      <c r="G197" s="346">
        <f t="shared" si="10"/>
        <v>1.358748258220408</v>
      </c>
      <c r="H197" s="98">
        <f t="shared" si="11"/>
        <v>32952.535000000003</v>
      </c>
    </row>
    <row r="198" spans="1:8" x14ac:dyDescent="0.25">
      <c r="A198" s="82">
        <f>'A) Base RI'!A200</f>
        <v>5716</v>
      </c>
      <c r="B198" s="147" t="str">
        <f>'A) Base RI'!B200</f>
        <v>Eysins</v>
      </c>
      <c r="C198" s="18">
        <f>'B) D RI'!Y200</f>
        <v>623772.44999999995</v>
      </c>
      <c r="D198" s="61">
        <f>'B) D RI'!Z200</f>
        <v>622531.44999999995</v>
      </c>
      <c r="E198" s="73">
        <f t="shared" si="9"/>
        <v>1246303.8999999999</v>
      </c>
      <c r="F198" s="18">
        <f>'B) D RI'!U200</f>
        <v>137603.84967213115</v>
      </c>
      <c r="G198" s="346">
        <f t="shared" si="10"/>
        <v>9.0571877383486701</v>
      </c>
      <c r="H198" s="98">
        <f t="shared" si="11"/>
        <v>498645.65999999992</v>
      </c>
    </row>
    <row r="199" spans="1:8" x14ac:dyDescent="0.25">
      <c r="A199" s="82">
        <f>'A) Base RI'!A201</f>
        <v>5717</v>
      </c>
      <c r="B199" s="147" t="str">
        <f>'A) Base RI'!B201</f>
        <v>Founex</v>
      </c>
      <c r="C199" s="18">
        <f>'B) D RI'!Y201</f>
        <v>2578467.0999999996</v>
      </c>
      <c r="D199" s="61">
        <f>'B) D RI'!Z201</f>
        <v>171235.5</v>
      </c>
      <c r="E199" s="73">
        <f t="shared" si="9"/>
        <v>2749702.5999999996</v>
      </c>
      <c r="F199" s="18">
        <f>'B) D RI'!U201</f>
        <v>331728.2661403509</v>
      </c>
      <c r="G199" s="346">
        <f t="shared" si="10"/>
        <v>8.2890211075248796</v>
      </c>
      <c r="H199" s="98">
        <f t="shared" si="11"/>
        <v>1340604.1999999997</v>
      </c>
    </row>
    <row r="200" spans="1:8" x14ac:dyDescent="0.25">
      <c r="A200" s="82">
        <f>'A) Base RI'!A202</f>
        <v>5718</v>
      </c>
      <c r="B200" s="147" t="str">
        <f>'A) Base RI'!B202</f>
        <v>Genolier</v>
      </c>
      <c r="C200" s="18">
        <f>'B) D RI'!Y202</f>
        <v>1056595.05</v>
      </c>
      <c r="D200" s="61">
        <f>'B) D RI'!Z202</f>
        <v>308788.84999999998</v>
      </c>
      <c r="E200" s="73">
        <f t="shared" si="9"/>
        <v>1365383.9</v>
      </c>
      <c r="F200" s="18">
        <f>'B) D RI'!U202</f>
        <v>178659.63072727274</v>
      </c>
      <c r="G200" s="346">
        <f t="shared" si="10"/>
        <v>7.6423750258629148</v>
      </c>
      <c r="H200" s="98">
        <f t="shared" si="11"/>
        <v>620934.18000000005</v>
      </c>
    </row>
    <row r="201" spans="1:8" x14ac:dyDescent="0.25">
      <c r="A201" s="82">
        <f>'A) Base RI'!A203</f>
        <v>5719</v>
      </c>
      <c r="B201" s="147" t="str">
        <f>'A) Base RI'!B203</f>
        <v>Gingins</v>
      </c>
      <c r="C201" s="18">
        <f>'B) D RI'!Y203</f>
        <v>411229</v>
      </c>
      <c r="D201" s="61">
        <f>'B) D RI'!Z203</f>
        <v>91397.2</v>
      </c>
      <c r="E201" s="73">
        <f t="shared" si="9"/>
        <v>502626.2</v>
      </c>
      <c r="F201" s="18">
        <f>'B) D RI'!U203</f>
        <v>96095.319738562102</v>
      </c>
      <c r="G201" s="346">
        <f t="shared" si="10"/>
        <v>5.2304961507745631</v>
      </c>
      <c r="H201" s="98">
        <f t="shared" si="11"/>
        <v>233033.66</v>
      </c>
    </row>
    <row r="202" spans="1:8" x14ac:dyDescent="0.25">
      <c r="A202" s="82">
        <f>'A) Base RI'!A204</f>
        <v>5720</v>
      </c>
      <c r="B202" s="147" t="str">
        <f>'A) Base RI'!B204</f>
        <v>Givrins</v>
      </c>
      <c r="C202" s="18">
        <f>'B) D RI'!Y204</f>
        <v>313513.15000000002</v>
      </c>
      <c r="D202" s="61">
        <f>'B) D RI'!Z204</f>
        <v>23964.05</v>
      </c>
      <c r="E202" s="73">
        <f t="shared" si="9"/>
        <v>337477.2</v>
      </c>
      <c r="F202" s="18">
        <f>'B) D RI'!U204</f>
        <v>74875.243533697634</v>
      </c>
      <c r="G202" s="346">
        <f t="shared" si="10"/>
        <v>4.5071933535430606</v>
      </c>
      <c r="H202" s="98">
        <f t="shared" si="11"/>
        <v>163945.79</v>
      </c>
    </row>
    <row r="203" spans="1:8" x14ac:dyDescent="0.25">
      <c r="A203" s="82">
        <f>'A) Base RI'!A205</f>
        <v>5721</v>
      </c>
      <c r="B203" s="147" t="str">
        <f>'A) Base RI'!B205</f>
        <v>Gland</v>
      </c>
      <c r="C203" s="18">
        <f>'B) D RI'!Y205</f>
        <v>2647284.7000000002</v>
      </c>
      <c r="D203" s="61">
        <f>'B) D RI'!Z205</f>
        <v>1634077.65</v>
      </c>
      <c r="E203" s="73">
        <f t="shared" si="9"/>
        <v>4281362.3499999996</v>
      </c>
      <c r="F203" s="18">
        <f>'B) D RI'!U205</f>
        <v>545180.59375999996</v>
      </c>
      <c r="G203" s="346">
        <f t="shared" si="10"/>
        <v>7.8531084910273714</v>
      </c>
      <c r="H203" s="98">
        <f t="shared" si="11"/>
        <v>1813865.645</v>
      </c>
    </row>
    <row r="204" spans="1:8" x14ac:dyDescent="0.25">
      <c r="A204" s="82">
        <f>'A) Base RI'!A206</f>
        <v>5722</v>
      </c>
      <c r="B204" s="147" t="str">
        <f>'A) Base RI'!B206</f>
        <v>Grens</v>
      </c>
      <c r="C204" s="18">
        <f>'B) D RI'!Y206</f>
        <v>46546.85</v>
      </c>
      <c r="D204" s="61">
        <f>'B) D RI'!Z206</f>
        <v>10774.3</v>
      </c>
      <c r="E204" s="73">
        <f t="shared" si="9"/>
        <v>57321.149999999994</v>
      </c>
      <c r="F204" s="18">
        <f>'B) D RI'!U206</f>
        <v>17973.033684210524</v>
      </c>
      <c r="G204" s="346">
        <f t="shared" si="10"/>
        <v>3.1892862945200595</v>
      </c>
      <c r="H204" s="98">
        <f t="shared" si="11"/>
        <v>26505.715</v>
      </c>
    </row>
    <row r="205" spans="1:8" x14ac:dyDescent="0.25">
      <c r="A205" s="82">
        <f>'A) Base RI'!A207</f>
        <v>5723</v>
      </c>
      <c r="B205" s="147" t="str">
        <f>'A) Base RI'!B207</f>
        <v>Mies</v>
      </c>
      <c r="C205" s="18">
        <f>'B) D RI'!Y207</f>
        <v>5974284.75</v>
      </c>
      <c r="D205" s="61">
        <f>'B) D RI'!Z207</f>
        <v>168885.8</v>
      </c>
      <c r="E205" s="73">
        <f t="shared" si="9"/>
        <v>6143170.5499999998</v>
      </c>
      <c r="F205" s="18">
        <f>'B) D RI'!U207</f>
        <v>194683.98403846152</v>
      </c>
      <c r="G205" s="346">
        <f t="shared" si="10"/>
        <v>31.554575895603012</v>
      </c>
      <c r="H205" s="98">
        <f t="shared" si="11"/>
        <v>3037808.1150000002</v>
      </c>
    </row>
    <row r="206" spans="1:8" x14ac:dyDescent="0.25">
      <c r="A206" s="82">
        <f>'A) Base RI'!A208</f>
        <v>5724</v>
      </c>
      <c r="B206" s="147" t="str">
        <f>'A) Base RI'!B208</f>
        <v>Nyon</v>
      </c>
      <c r="C206" s="18">
        <f>'B) D RI'!Y208</f>
        <v>5442981.5</v>
      </c>
      <c r="D206" s="61">
        <f>'B) D RI'!Z208</f>
        <v>3818619.2</v>
      </c>
      <c r="E206" s="73">
        <f t="shared" si="9"/>
        <v>9261600.6999999993</v>
      </c>
      <c r="F206" s="18">
        <f>'B) D RI'!U208</f>
        <v>1278048.420189155</v>
      </c>
      <c r="G206" s="346">
        <f t="shared" si="10"/>
        <v>7.2466743463672953</v>
      </c>
      <c r="H206" s="98">
        <f t="shared" si="11"/>
        <v>3867076.51</v>
      </c>
    </row>
    <row r="207" spans="1:8" x14ac:dyDescent="0.25">
      <c r="A207" s="82">
        <f>'A) Base RI'!A209</f>
        <v>5725</v>
      </c>
      <c r="B207" s="147" t="str">
        <f>'A) Base RI'!B209</f>
        <v>Prangins</v>
      </c>
      <c r="C207" s="18">
        <f>'B) D RI'!Y209</f>
        <v>2641211.0499999998</v>
      </c>
      <c r="D207" s="61">
        <f>'B) D RI'!Z209</f>
        <v>393665.75</v>
      </c>
      <c r="E207" s="73">
        <f t="shared" si="9"/>
        <v>3034876.8</v>
      </c>
      <c r="F207" s="18">
        <f>'B) D RI'!U209</f>
        <v>330908.64043367346</v>
      </c>
      <c r="G207" s="346">
        <f t="shared" si="10"/>
        <v>9.1713434742067523</v>
      </c>
      <c r="H207" s="98">
        <f t="shared" si="11"/>
        <v>1438705.25</v>
      </c>
    </row>
    <row r="208" spans="1:8" x14ac:dyDescent="0.25">
      <c r="A208" s="82">
        <f>'A) Base RI'!A210</f>
        <v>5726</v>
      </c>
      <c r="B208" s="147" t="str">
        <f>'A) Base RI'!B210</f>
        <v>La Rippe</v>
      </c>
      <c r="C208" s="18">
        <f>'B) D RI'!Y210</f>
        <v>228118.5</v>
      </c>
      <c r="D208" s="61">
        <f>'B) D RI'!Z210</f>
        <v>17871.650000000001</v>
      </c>
      <c r="E208" s="73">
        <f t="shared" si="9"/>
        <v>245990.15</v>
      </c>
      <c r="F208" s="18">
        <f>'B) D RI'!U210</f>
        <v>52407.476615384607</v>
      </c>
      <c r="G208" s="346">
        <f t="shared" si="10"/>
        <v>4.6937987838129906</v>
      </c>
      <c r="H208" s="98">
        <f t="shared" si="11"/>
        <v>119420.745</v>
      </c>
    </row>
    <row r="209" spans="1:8" x14ac:dyDescent="0.25">
      <c r="A209" s="82">
        <f>'A) Base RI'!A211</f>
        <v>5727</v>
      </c>
      <c r="B209" s="147" t="str">
        <f>'A) Base RI'!B211</f>
        <v>Saint-Cergue</v>
      </c>
      <c r="C209" s="18">
        <f>'B) D RI'!Y211</f>
        <v>605404.69999999995</v>
      </c>
      <c r="D209" s="61">
        <f>'B) D RI'!Z211</f>
        <v>128781.25</v>
      </c>
      <c r="E209" s="73">
        <f t="shared" si="9"/>
        <v>734185.95</v>
      </c>
      <c r="F209" s="18">
        <f>'B) D RI'!U211</f>
        <v>86282.692626262622</v>
      </c>
      <c r="G209" s="346">
        <f t="shared" si="10"/>
        <v>8.5090755475163427</v>
      </c>
      <c r="H209" s="98">
        <f t="shared" si="11"/>
        <v>341336.72499999998</v>
      </c>
    </row>
    <row r="210" spans="1:8" x14ac:dyDescent="0.25">
      <c r="A210" s="82">
        <f>'A) Base RI'!A212</f>
        <v>5728</v>
      </c>
      <c r="B210" s="147" t="str">
        <f>'A) Base RI'!B212</f>
        <v>Signy-Avenex</v>
      </c>
      <c r="C210" s="18">
        <f>'B) D RI'!Y212</f>
        <v>194297.5</v>
      </c>
      <c r="D210" s="61">
        <f>'B) D RI'!Z212</f>
        <v>174685.55</v>
      </c>
      <c r="E210" s="73">
        <f t="shared" si="9"/>
        <v>368983.05</v>
      </c>
      <c r="F210" s="18">
        <f>'B) D RI'!U212</f>
        <v>39079.357857142866</v>
      </c>
      <c r="G210" s="346">
        <f t="shared" si="10"/>
        <v>9.4418913265883617</v>
      </c>
      <c r="H210" s="98">
        <f t="shared" si="11"/>
        <v>149554.41499999998</v>
      </c>
    </row>
    <row r="211" spans="1:8" x14ac:dyDescent="0.25">
      <c r="A211" s="82">
        <f>'A) Base RI'!A213</f>
        <v>5729</v>
      </c>
      <c r="B211" s="147" t="str">
        <f>'A) Base RI'!B213</f>
        <v>Tannay</v>
      </c>
      <c r="C211" s="18">
        <f>'B) D RI'!Y213</f>
        <v>892448.25</v>
      </c>
      <c r="D211" s="61">
        <f>'B) D RI'!Z213</f>
        <v>10805.5</v>
      </c>
      <c r="E211" s="73">
        <f t="shared" si="9"/>
        <v>903253.75</v>
      </c>
      <c r="F211" s="18">
        <f>'B) D RI'!U213</f>
        <v>152150.21945355195</v>
      </c>
      <c r="G211" s="346">
        <f t="shared" si="10"/>
        <v>5.9365918317044759</v>
      </c>
      <c r="H211" s="98">
        <f t="shared" si="11"/>
        <v>449465.77500000002</v>
      </c>
    </row>
    <row r="212" spans="1:8" x14ac:dyDescent="0.25">
      <c r="A212" s="82">
        <f>'A) Base RI'!A214</f>
        <v>5730</v>
      </c>
      <c r="B212" s="147" t="str">
        <f>'A) Base RI'!B214</f>
        <v>Trélex</v>
      </c>
      <c r="C212" s="18">
        <f>'B) D RI'!Y214</f>
        <v>360089.44999999995</v>
      </c>
      <c r="D212" s="61">
        <f>'B) D RI'!Z214</f>
        <v>11764.75</v>
      </c>
      <c r="E212" s="73">
        <f t="shared" si="9"/>
        <v>371854.19999999995</v>
      </c>
      <c r="F212" s="18">
        <f>'B) D RI'!U214</f>
        <v>142541.33792452831</v>
      </c>
      <c r="G212" s="346">
        <f t="shared" si="10"/>
        <v>2.6087463848338959</v>
      </c>
      <c r="H212" s="98">
        <f t="shared" si="11"/>
        <v>183574.14999999997</v>
      </c>
    </row>
    <row r="213" spans="1:8" x14ac:dyDescent="0.25">
      <c r="A213" s="82">
        <f>'A) Base RI'!A215</f>
        <v>5731</v>
      </c>
      <c r="B213" s="147" t="str">
        <f>'A) Base RI'!B215</f>
        <v>Le Vaud</v>
      </c>
      <c r="C213" s="18">
        <f>'B) D RI'!Y215</f>
        <v>135190.70000000001</v>
      </c>
      <c r="D213" s="61">
        <f>'B) D RI'!Z215</f>
        <v>16404.900000000001</v>
      </c>
      <c r="E213" s="73">
        <f t="shared" si="9"/>
        <v>151595.6</v>
      </c>
      <c r="F213" s="18">
        <f>'B) D RI'!U215</f>
        <v>44154.497155555553</v>
      </c>
      <c r="G213" s="346">
        <f t="shared" si="10"/>
        <v>3.4332992054225246</v>
      </c>
      <c r="H213" s="98">
        <f t="shared" si="11"/>
        <v>72516.820000000007</v>
      </c>
    </row>
    <row r="214" spans="1:8" x14ac:dyDescent="0.25">
      <c r="A214" s="82">
        <f>'A) Base RI'!A216</f>
        <v>5732</v>
      </c>
      <c r="B214" s="147" t="str">
        <f>'A) Base RI'!B216</f>
        <v>Vich</v>
      </c>
      <c r="C214" s="18">
        <f>'B) D RI'!Y216</f>
        <v>510864.25</v>
      </c>
      <c r="D214" s="61">
        <f>'B) D RI'!Z216</f>
        <v>90334.1</v>
      </c>
      <c r="E214" s="73">
        <f t="shared" si="9"/>
        <v>601198.35</v>
      </c>
      <c r="F214" s="18">
        <f>'B) D RI'!U216</f>
        <v>40390.161857142848</v>
      </c>
      <c r="G214" s="346">
        <f t="shared" si="10"/>
        <v>14.884771992902532</v>
      </c>
      <c r="H214" s="98">
        <f t="shared" si="11"/>
        <v>282532.35499999998</v>
      </c>
    </row>
    <row r="215" spans="1:8" x14ac:dyDescent="0.25">
      <c r="A215" s="82">
        <f>'A) Base RI'!A217</f>
        <v>5741</v>
      </c>
      <c r="B215" s="147" t="str">
        <f>'A) Base RI'!B217</f>
        <v>L'Abergement</v>
      </c>
      <c r="C215" s="18">
        <f>'B) D RI'!Y217</f>
        <v>40293</v>
      </c>
      <c r="D215" s="61">
        <f>'B) D RI'!Z217</f>
        <v>13788.45</v>
      </c>
      <c r="E215" s="73">
        <f t="shared" si="9"/>
        <v>54081.45</v>
      </c>
      <c r="F215" s="18">
        <f>'B) D RI'!U217</f>
        <v>5658.7408436213982</v>
      </c>
      <c r="G215" s="346">
        <f t="shared" si="10"/>
        <v>9.5571526412914398</v>
      </c>
      <c r="H215" s="98">
        <f t="shared" si="11"/>
        <v>24283.035</v>
      </c>
    </row>
    <row r="216" spans="1:8" x14ac:dyDescent="0.25">
      <c r="A216" s="82">
        <f>'A) Base RI'!A218</f>
        <v>5742</v>
      </c>
      <c r="B216" s="147" t="str">
        <f>'A) Base RI'!B218</f>
        <v>Agiez</v>
      </c>
      <c r="C216" s="18">
        <f>'B) D RI'!Y218</f>
        <v>63905.2</v>
      </c>
      <c r="D216" s="61">
        <f>'B) D RI'!Z218</f>
        <v>3852.35</v>
      </c>
      <c r="E216" s="73">
        <f t="shared" si="9"/>
        <v>67757.55</v>
      </c>
      <c r="F216" s="18">
        <f>'B) D RI'!U218</f>
        <v>8497.199342105263</v>
      </c>
      <c r="G216" s="346">
        <f t="shared" si="10"/>
        <v>7.9741038514005744</v>
      </c>
      <c r="H216" s="98">
        <f t="shared" si="11"/>
        <v>33108.305</v>
      </c>
    </row>
    <row r="217" spans="1:8" x14ac:dyDescent="0.25">
      <c r="A217" s="82">
        <f>'A) Base RI'!A219</f>
        <v>5743</v>
      </c>
      <c r="B217" s="147" t="str">
        <f>'A) Base RI'!B219</f>
        <v>Arnex-sur-Orbe</v>
      </c>
      <c r="C217" s="18">
        <f>'B) D RI'!Y219</f>
        <v>120805.70000000001</v>
      </c>
      <c r="D217" s="61">
        <f>'B) D RI'!Z219</f>
        <v>27744.9</v>
      </c>
      <c r="E217" s="73">
        <f t="shared" si="9"/>
        <v>148550.6</v>
      </c>
      <c r="F217" s="18">
        <f>'B) D RI'!U219</f>
        <v>14235.259246575342</v>
      </c>
      <c r="G217" s="346">
        <f t="shared" si="10"/>
        <v>10.435398290040814</v>
      </c>
      <c r="H217" s="98">
        <f t="shared" si="11"/>
        <v>68726.320000000007</v>
      </c>
    </row>
    <row r="218" spans="1:8" x14ac:dyDescent="0.25">
      <c r="A218" s="82">
        <f>'A) Base RI'!A220</f>
        <v>5744</v>
      </c>
      <c r="B218" s="147" t="str">
        <f>'A) Base RI'!B220</f>
        <v>Ballaigues</v>
      </c>
      <c r="C218" s="18">
        <f>'B) D RI'!Y220</f>
        <v>166145.70000000001</v>
      </c>
      <c r="D218" s="61">
        <f>'B) D RI'!Z220</f>
        <v>817380.1</v>
      </c>
      <c r="E218" s="73">
        <f t="shared" si="9"/>
        <v>983525.8</v>
      </c>
      <c r="F218" s="18">
        <f>'B) D RI'!U220</f>
        <v>99800.089242424234</v>
      </c>
      <c r="G218" s="346">
        <f t="shared" si="10"/>
        <v>9.8549591234424572</v>
      </c>
      <c r="H218" s="98">
        <f t="shared" si="11"/>
        <v>328286.88</v>
      </c>
    </row>
    <row r="219" spans="1:8" x14ac:dyDescent="0.25">
      <c r="A219" s="82">
        <f>'A) Base RI'!A221</f>
        <v>5745</v>
      </c>
      <c r="B219" s="147" t="str">
        <f>'A) Base RI'!B221</f>
        <v>Baulmes</v>
      </c>
      <c r="C219" s="18">
        <f>'B) D RI'!Y221</f>
        <v>51941.7</v>
      </c>
      <c r="D219" s="61">
        <f>'B) D RI'!Z221</f>
        <v>199337.60000000001</v>
      </c>
      <c r="E219" s="73">
        <f t="shared" si="9"/>
        <v>251279.3</v>
      </c>
      <c r="F219" s="18">
        <f>'B) D RI'!U221</f>
        <v>27286.676794871797</v>
      </c>
      <c r="G219" s="346">
        <f t="shared" si="10"/>
        <v>9.2088641606670443</v>
      </c>
      <c r="H219" s="98">
        <f t="shared" si="11"/>
        <v>85772.13</v>
      </c>
    </row>
    <row r="220" spans="1:8" x14ac:dyDescent="0.25">
      <c r="A220" s="82">
        <f>'A) Base RI'!A222</f>
        <v>5746</v>
      </c>
      <c r="B220" s="147" t="str">
        <f>'A) Base RI'!B222</f>
        <v>Bavois</v>
      </c>
      <c r="C220" s="18">
        <f>'B) D RI'!Y222</f>
        <v>115752.45</v>
      </c>
      <c r="D220" s="61">
        <f>'B) D RI'!Z222</f>
        <v>20393.25</v>
      </c>
      <c r="E220" s="73">
        <f t="shared" si="9"/>
        <v>136145.70000000001</v>
      </c>
      <c r="F220" s="18">
        <f>'B) D RI'!U222</f>
        <v>24960.640433789951</v>
      </c>
      <c r="G220" s="346">
        <f t="shared" si="10"/>
        <v>5.4544153368635362</v>
      </c>
      <c r="H220" s="98">
        <f t="shared" si="11"/>
        <v>63994.2</v>
      </c>
    </row>
    <row r="221" spans="1:8" x14ac:dyDescent="0.25">
      <c r="A221" s="82">
        <f>'A) Base RI'!A223</f>
        <v>5747</v>
      </c>
      <c r="B221" s="147" t="str">
        <f>'A) Base RI'!B223</f>
        <v>Bofflens</v>
      </c>
      <c r="C221" s="18">
        <f>'B) D RI'!Y223</f>
        <v>27575.25</v>
      </c>
      <c r="D221" s="61">
        <f>'B) D RI'!Z223</f>
        <v>2262.3000000000002</v>
      </c>
      <c r="E221" s="73">
        <f t="shared" si="9"/>
        <v>29837.55</v>
      </c>
      <c r="F221" s="18">
        <f>'B) D RI'!U223</f>
        <v>5444.2446376811595</v>
      </c>
      <c r="G221" s="346">
        <f t="shared" si="10"/>
        <v>5.4805674589796833</v>
      </c>
      <c r="H221" s="98">
        <f t="shared" si="11"/>
        <v>14466.315000000001</v>
      </c>
    </row>
    <row r="222" spans="1:8" x14ac:dyDescent="0.25">
      <c r="A222" s="82">
        <f>'A) Base RI'!A224</f>
        <v>5748</v>
      </c>
      <c r="B222" s="147" t="str">
        <f>'A) Base RI'!B224</f>
        <v>Bretonnières</v>
      </c>
      <c r="C222" s="18">
        <f>'B) D RI'!Y224</f>
        <v>40561.5</v>
      </c>
      <c r="D222" s="61">
        <f>'B) D RI'!Z224</f>
        <v>4947.1499999999996</v>
      </c>
      <c r="E222" s="73">
        <f t="shared" si="9"/>
        <v>45508.65</v>
      </c>
      <c r="F222" s="18">
        <f>'B) D RI'!U224</f>
        <v>4853.6245714285715</v>
      </c>
      <c r="G222" s="346">
        <f t="shared" si="10"/>
        <v>9.3762196334450731</v>
      </c>
      <c r="H222" s="98">
        <f t="shared" si="11"/>
        <v>21764.895</v>
      </c>
    </row>
    <row r="223" spans="1:8" x14ac:dyDescent="0.25">
      <c r="A223" s="82">
        <f>'A) Base RI'!A225</f>
        <v>5749</v>
      </c>
      <c r="B223" s="147" t="str">
        <f>'A) Base RI'!B225</f>
        <v>Chavornay</v>
      </c>
      <c r="C223" s="18">
        <f>'B) D RI'!Y225</f>
        <v>631291.19999999995</v>
      </c>
      <c r="D223" s="61">
        <f>'B) D RI'!Z225</f>
        <v>663349.94999999995</v>
      </c>
      <c r="E223" s="73">
        <f t="shared" si="9"/>
        <v>1294641.1499999999</v>
      </c>
      <c r="F223" s="18">
        <f>'B) D RI'!U225</f>
        <v>122489.22791666667</v>
      </c>
      <c r="G223" s="346">
        <f t="shared" si="10"/>
        <v>10.569428610332865</v>
      </c>
      <c r="H223" s="98">
        <f t="shared" si="11"/>
        <v>514650.58499999996</v>
      </c>
    </row>
    <row r="224" spans="1:8" x14ac:dyDescent="0.25">
      <c r="A224" s="82">
        <f>'A) Base RI'!A226</f>
        <v>5750</v>
      </c>
      <c r="B224" s="147" t="str">
        <f>'A) Base RI'!B226</f>
        <v>Les Clées</v>
      </c>
      <c r="C224" s="18">
        <f>'B) D RI'!Y226</f>
        <v>3323.5</v>
      </c>
      <c r="D224" s="61">
        <f>'B) D RI'!Z226</f>
        <v>4404.8500000000004</v>
      </c>
      <c r="E224" s="73">
        <f t="shared" si="9"/>
        <v>7728.35</v>
      </c>
      <c r="F224" s="18">
        <f>'B) D RI'!U226</f>
        <v>4745.5921666666673</v>
      </c>
      <c r="G224" s="346">
        <f t="shared" si="10"/>
        <v>1.6285322734398477</v>
      </c>
      <c r="H224" s="98">
        <f t="shared" si="11"/>
        <v>2983.2049999999999</v>
      </c>
    </row>
    <row r="225" spans="1:8" x14ac:dyDescent="0.25">
      <c r="A225" s="82">
        <f>'A) Base RI'!A227</f>
        <v>5751</v>
      </c>
      <c r="B225" s="147" t="str">
        <f>'A) Base RI'!B227</f>
        <v>Corcelles-sur-Chavornay</v>
      </c>
      <c r="C225" s="18">
        <f>'B) D RI'!Y227</f>
        <v>74210.7</v>
      </c>
      <c r="D225" s="61">
        <f>'B) D RI'!Z227</f>
        <v>14894.5</v>
      </c>
      <c r="E225" s="73">
        <f t="shared" si="9"/>
        <v>89105.2</v>
      </c>
      <c r="F225" s="18">
        <f>'B) D RI'!U227</f>
        <v>8378.5938157894743</v>
      </c>
      <c r="G225" s="346">
        <f t="shared" si="10"/>
        <v>10.634863314662789</v>
      </c>
      <c r="H225" s="98">
        <f t="shared" si="11"/>
        <v>41573.699999999997</v>
      </c>
    </row>
    <row r="226" spans="1:8" x14ac:dyDescent="0.25">
      <c r="A226" s="82">
        <f>'A) Base RI'!A228</f>
        <v>5752</v>
      </c>
      <c r="B226" s="147" t="str">
        <f>'A) Base RI'!B228</f>
        <v>Croy</v>
      </c>
      <c r="C226" s="18">
        <f>'B) D RI'!Y228</f>
        <v>15004</v>
      </c>
      <c r="D226" s="61">
        <f>'B) D RI'!Z228</f>
        <v>22455.75</v>
      </c>
      <c r="E226" s="73">
        <f t="shared" ref="E226:E272" si="12">C226+D226</f>
        <v>37459.75</v>
      </c>
      <c r="F226" s="18">
        <f>'B) D RI'!U228</f>
        <v>8127.3322007722018</v>
      </c>
      <c r="G226" s="346">
        <f t="shared" ref="G226:G272" si="13">E226/F226</f>
        <v>4.6091077704982748</v>
      </c>
      <c r="H226" s="98">
        <f t="shared" si="11"/>
        <v>14238.724999999999</v>
      </c>
    </row>
    <row r="227" spans="1:8" x14ac:dyDescent="0.25">
      <c r="A227" s="82">
        <f>'A) Base RI'!A229</f>
        <v>5754</v>
      </c>
      <c r="B227" s="147" t="str">
        <f>'A) Base RI'!B229</f>
        <v>Juriens</v>
      </c>
      <c r="C227" s="18">
        <f>'B) D RI'!Y229</f>
        <v>2667</v>
      </c>
      <c r="D227" s="61">
        <f>'B) D RI'!Z229</f>
        <v>6558.8</v>
      </c>
      <c r="E227" s="73">
        <f t="shared" si="12"/>
        <v>9225.7999999999993</v>
      </c>
      <c r="F227" s="18">
        <f>'B) D RI'!U229</f>
        <v>6779.1981012658243</v>
      </c>
      <c r="G227" s="346">
        <f t="shared" si="13"/>
        <v>1.3608984222304024</v>
      </c>
      <c r="H227" s="98">
        <f t="shared" ref="H227:H273" si="14">(C227*$C$4)+(D227*$D$4)</f>
        <v>3301.14</v>
      </c>
    </row>
    <row r="228" spans="1:8" x14ac:dyDescent="0.25">
      <c r="A228" s="82">
        <f>'A) Base RI'!A230</f>
        <v>5755</v>
      </c>
      <c r="B228" s="147" t="str">
        <f>'A) Base RI'!B230</f>
        <v>Lignerolle</v>
      </c>
      <c r="C228" s="18">
        <f>'B) D RI'!Y230</f>
        <v>79247</v>
      </c>
      <c r="D228" s="61">
        <f>'B) D RI'!Z230</f>
        <v>13879.35</v>
      </c>
      <c r="E228" s="73">
        <f t="shared" si="12"/>
        <v>93126.35</v>
      </c>
      <c r="F228" s="18">
        <f>'B) D RI'!U230</f>
        <v>8994.3248324514989</v>
      </c>
      <c r="G228" s="346">
        <f t="shared" si="13"/>
        <v>10.353901124851573</v>
      </c>
      <c r="H228" s="98">
        <f t="shared" si="14"/>
        <v>43787.305</v>
      </c>
    </row>
    <row r="229" spans="1:8" x14ac:dyDescent="0.25">
      <c r="A229" s="82">
        <f>'A) Base RI'!A231</f>
        <v>5756</v>
      </c>
      <c r="B229" s="147" t="str">
        <f>'A) Base RI'!B231</f>
        <v>Montcherand</v>
      </c>
      <c r="C229" s="18">
        <f>'B) D RI'!Y231</f>
        <v>68385</v>
      </c>
      <c r="D229" s="61">
        <f>'B) D RI'!Z231</f>
        <v>20928.900000000001</v>
      </c>
      <c r="E229" s="73">
        <f t="shared" si="12"/>
        <v>89313.9</v>
      </c>
      <c r="F229" s="18">
        <f>'B) D RI'!U231</f>
        <v>15693.326135265701</v>
      </c>
      <c r="G229" s="346">
        <f t="shared" si="13"/>
        <v>5.6912026953480401</v>
      </c>
      <c r="H229" s="98">
        <f t="shared" si="14"/>
        <v>40471.17</v>
      </c>
    </row>
    <row r="230" spans="1:8" x14ac:dyDescent="0.25">
      <c r="A230" s="82">
        <f>'A) Base RI'!A232</f>
        <v>5757</v>
      </c>
      <c r="B230" s="147" t="str">
        <f>'A) Base RI'!B232</f>
        <v>Orbe</v>
      </c>
      <c r="C230" s="18">
        <f>'B) D RI'!Y232</f>
        <v>750568.95</v>
      </c>
      <c r="D230" s="61">
        <f>'B) D RI'!Z232</f>
        <v>2518020.6</v>
      </c>
      <c r="E230" s="73">
        <f t="shared" si="12"/>
        <v>3268589.55</v>
      </c>
      <c r="F230" s="18">
        <f>'B) D RI'!U232</f>
        <v>203617.2094202899</v>
      </c>
      <c r="G230" s="346">
        <f t="shared" si="13"/>
        <v>16.052619320861265</v>
      </c>
      <c r="H230" s="98">
        <f t="shared" si="14"/>
        <v>1130690.655</v>
      </c>
    </row>
    <row r="231" spans="1:8" x14ac:dyDescent="0.25">
      <c r="A231" s="82">
        <f>'A) Base RI'!A233</f>
        <v>5758</v>
      </c>
      <c r="B231" s="147" t="str">
        <f>'A) Base RI'!B233</f>
        <v>La Praz</v>
      </c>
      <c r="C231" s="18">
        <f>'B) D RI'!Y233</f>
        <v>25135.95</v>
      </c>
      <c r="D231" s="61">
        <f>'B) D RI'!Z233</f>
        <v>0</v>
      </c>
      <c r="E231" s="73">
        <f t="shared" si="12"/>
        <v>25135.95</v>
      </c>
      <c r="F231" s="18">
        <f>'B) D RI'!U233</f>
        <v>3854.1398125836677</v>
      </c>
      <c r="G231" s="346">
        <f t="shared" si="13"/>
        <v>6.5218054409784951</v>
      </c>
      <c r="H231" s="98">
        <f t="shared" si="14"/>
        <v>12567.975</v>
      </c>
    </row>
    <row r="232" spans="1:8" x14ac:dyDescent="0.25">
      <c r="A232" s="82">
        <f>'A) Base RI'!A234</f>
        <v>5759</v>
      </c>
      <c r="B232" s="147" t="str">
        <f>'A) Base RI'!B234</f>
        <v>Premier</v>
      </c>
      <c r="C232" s="18">
        <f>'B) D RI'!Y234</f>
        <v>25841.5</v>
      </c>
      <c r="D232" s="61">
        <f>'B) D RI'!Z234</f>
        <v>3172.5</v>
      </c>
      <c r="E232" s="73">
        <f t="shared" si="12"/>
        <v>29014</v>
      </c>
      <c r="F232" s="18">
        <f>'B) D RI'!U234</f>
        <v>3885.6082716049386</v>
      </c>
      <c r="G232" s="346">
        <f t="shared" si="13"/>
        <v>7.4670419589198209</v>
      </c>
      <c r="H232" s="98">
        <f t="shared" si="14"/>
        <v>13872.5</v>
      </c>
    </row>
    <row r="233" spans="1:8" x14ac:dyDescent="0.25">
      <c r="A233" s="82">
        <f>'A) Base RI'!A235</f>
        <v>5760</v>
      </c>
      <c r="B233" s="147" t="str">
        <f>'A) Base RI'!B235</f>
        <v>Rances</v>
      </c>
      <c r="C233" s="18">
        <f>'B) D RI'!Y235</f>
        <v>55481.1</v>
      </c>
      <c r="D233" s="61">
        <f>'B) D RI'!Z235</f>
        <v>7799.35</v>
      </c>
      <c r="E233" s="73">
        <f t="shared" si="12"/>
        <v>63280.45</v>
      </c>
      <c r="F233" s="18">
        <f>'B) D RI'!U235</f>
        <v>11324.841153846155</v>
      </c>
      <c r="G233" s="346">
        <f t="shared" si="13"/>
        <v>5.5877560789017</v>
      </c>
      <c r="H233" s="98">
        <f t="shared" si="14"/>
        <v>30080.355</v>
      </c>
    </row>
    <row r="234" spans="1:8" x14ac:dyDescent="0.25">
      <c r="A234" s="82">
        <f>'A) Base RI'!A236</f>
        <v>5761</v>
      </c>
      <c r="B234" s="147" t="str">
        <f>'A) Base RI'!B236</f>
        <v>Romainmôtier-Envy</v>
      </c>
      <c r="C234" s="18">
        <f>'B) D RI'!Y236</f>
        <v>70746.600000000006</v>
      </c>
      <c r="D234" s="61">
        <f>'B) D RI'!Z236</f>
        <v>41477.599999999999</v>
      </c>
      <c r="E234" s="73">
        <f t="shared" si="12"/>
        <v>112224.20000000001</v>
      </c>
      <c r="F234" s="18">
        <f>'B) D RI'!U236</f>
        <v>12066.350855263157</v>
      </c>
      <c r="G234" s="346">
        <f t="shared" si="13"/>
        <v>9.3005914833853467</v>
      </c>
      <c r="H234" s="98">
        <f t="shared" si="14"/>
        <v>47816.58</v>
      </c>
    </row>
    <row r="235" spans="1:8" x14ac:dyDescent="0.25">
      <c r="A235" s="82">
        <f>'A) Base RI'!A237</f>
        <v>5762</v>
      </c>
      <c r="B235" s="147" t="str">
        <f>'A) Base RI'!B237</f>
        <v>Sergey</v>
      </c>
      <c r="C235" s="18">
        <f>'B) D RI'!Y237</f>
        <v>4943.95</v>
      </c>
      <c r="D235" s="61">
        <f>'B) D RI'!Z237</f>
        <v>9317.75</v>
      </c>
      <c r="E235" s="73">
        <f t="shared" si="12"/>
        <v>14261.7</v>
      </c>
      <c r="F235" s="18">
        <f>'B) D RI'!U237</f>
        <v>4226.1104938271601</v>
      </c>
      <c r="G235" s="346">
        <f t="shared" si="13"/>
        <v>3.3746633034870377</v>
      </c>
      <c r="H235" s="98">
        <f t="shared" si="14"/>
        <v>5267.2999999999993</v>
      </c>
    </row>
    <row r="236" spans="1:8" x14ac:dyDescent="0.25">
      <c r="A236" s="82">
        <f>'A) Base RI'!A238</f>
        <v>5763</v>
      </c>
      <c r="B236" s="147" t="str">
        <f>'A) Base RI'!B238</f>
        <v>Valeyres-sous-Rances</v>
      </c>
      <c r="C236" s="18">
        <f>'B) D RI'!Y238</f>
        <v>102559.15</v>
      </c>
      <c r="D236" s="61">
        <f>'B) D RI'!Z238</f>
        <v>66847.600000000006</v>
      </c>
      <c r="E236" s="73">
        <f t="shared" si="12"/>
        <v>169406.75</v>
      </c>
      <c r="F236" s="18">
        <f>'B) D RI'!U238</f>
        <v>15753.099264705883</v>
      </c>
      <c r="G236" s="346">
        <f t="shared" si="13"/>
        <v>10.753867994696655</v>
      </c>
      <c r="H236" s="98">
        <f t="shared" si="14"/>
        <v>71333.854999999996</v>
      </c>
    </row>
    <row r="237" spans="1:8" x14ac:dyDescent="0.25">
      <c r="A237" s="82">
        <f>'A) Base RI'!A239</f>
        <v>5764</v>
      </c>
      <c r="B237" s="147" t="str">
        <f>'A) Base RI'!B239</f>
        <v>Vallorbe</v>
      </c>
      <c r="C237" s="18">
        <f>'B) D RI'!Y239</f>
        <v>329846.75</v>
      </c>
      <c r="D237" s="61">
        <f>'B) D RI'!Z239</f>
        <v>2155776.85</v>
      </c>
      <c r="E237" s="73">
        <f t="shared" si="12"/>
        <v>2485623.6</v>
      </c>
      <c r="F237" s="18">
        <f>'B) D RI'!U239</f>
        <v>79459.361216216217</v>
      </c>
      <c r="G237" s="346">
        <f t="shared" si="13"/>
        <v>31.281696227539385</v>
      </c>
      <c r="H237" s="98">
        <f t="shared" si="14"/>
        <v>811656.43</v>
      </c>
    </row>
    <row r="238" spans="1:8" x14ac:dyDescent="0.25">
      <c r="A238" s="82">
        <f>'A) Base RI'!A240</f>
        <v>5765</v>
      </c>
      <c r="B238" s="147" t="str">
        <f>'A) Base RI'!B240</f>
        <v>Vaulion</v>
      </c>
      <c r="C238" s="18">
        <f>'B) D RI'!Y240</f>
        <v>49506.600000000006</v>
      </c>
      <c r="D238" s="61">
        <f>'B) D RI'!Z240</f>
        <v>52333.35</v>
      </c>
      <c r="E238" s="73">
        <f t="shared" si="12"/>
        <v>101839.95000000001</v>
      </c>
      <c r="F238" s="18">
        <f>'B) D RI'!U240</f>
        <v>10213.279999999997</v>
      </c>
      <c r="G238" s="346">
        <f t="shared" si="13"/>
        <v>9.9713265473971191</v>
      </c>
      <c r="H238" s="98">
        <f t="shared" si="14"/>
        <v>40453.305</v>
      </c>
    </row>
    <row r="239" spans="1:8" x14ac:dyDescent="0.25">
      <c r="A239" s="82">
        <f>'A) Base RI'!A241</f>
        <v>5766</v>
      </c>
      <c r="B239" s="147" t="str">
        <f>'A) Base RI'!B241</f>
        <v>Vuiteboeuf</v>
      </c>
      <c r="C239" s="18">
        <f>'B) D RI'!Y241</f>
        <v>36120.949999999997</v>
      </c>
      <c r="D239" s="61">
        <f>'B) D RI'!Z241</f>
        <v>17981.55</v>
      </c>
      <c r="E239" s="73">
        <f t="shared" si="12"/>
        <v>54102.5</v>
      </c>
      <c r="F239" s="18">
        <f>'B) D RI'!U241</f>
        <v>13186.718497217067</v>
      </c>
      <c r="G239" s="346">
        <f t="shared" si="13"/>
        <v>4.1028023773630888</v>
      </c>
      <c r="H239" s="98">
        <f t="shared" si="14"/>
        <v>23454.94</v>
      </c>
    </row>
    <row r="240" spans="1:8" x14ac:dyDescent="0.25">
      <c r="A240" s="82">
        <f>'A) Base RI'!A242</f>
        <v>5782</v>
      </c>
      <c r="B240" s="147" t="str">
        <f>'A) Base RI'!B242</f>
        <v>Carrouge</v>
      </c>
      <c r="C240" s="18">
        <f>'B) D RI'!Y242</f>
        <v>142845.15</v>
      </c>
      <c r="D240" s="61">
        <f>'B) D RI'!Z242</f>
        <v>6588.75</v>
      </c>
      <c r="E240" s="73">
        <f t="shared" si="12"/>
        <v>149433.9</v>
      </c>
      <c r="F240" s="18">
        <f>'B) D RI'!U242</f>
        <v>30558.004133333339</v>
      </c>
      <c r="G240" s="346">
        <f t="shared" si="13"/>
        <v>4.8901721247231009</v>
      </c>
      <c r="H240" s="98">
        <f t="shared" si="14"/>
        <v>73399.199999999997</v>
      </c>
    </row>
    <row r="241" spans="1:8" x14ac:dyDescent="0.25">
      <c r="A241" s="82">
        <f>'A) Base RI'!A243</f>
        <v>5785</v>
      </c>
      <c r="B241" s="147" t="str">
        <f>'A) Base RI'!B243</f>
        <v>Corcelles-le-Jorat</v>
      </c>
      <c r="C241" s="18">
        <f>'B) D RI'!Y243</f>
        <v>84230.25</v>
      </c>
      <c r="D241" s="61">
        <f>'B) D RI'!Z243</f>
        <v>0</v>
      </c>
      <c r="E241" s="73">
        <f t="shared" si="12"/>
        <v>84230.25</v>
      </c>
      <c r="F241" s="18">
        <f>'B) D RI'!U243</f>
        <v>15220.93759493671</v>
      </c>
      <c r="G241" s="346">
        <f t="shared" si="13"/>
        <v>5.5338410971489331</v>
      </c>
      <c r="H241" s="98">
        <f t="shared" si="14"/>
        <v>42115.125</v>
      </c>
    </row>
    <row r="242" spans="1:8" x14ac:dyDescent="0.25">
      <c r="A242" s="82">
        <f>'A) Base RI'!A244</f>
        <v>5788</v>
      </c>
      <c r="B242" s="147" t="str">
        <f>'A) Base RI'!B244</f>
        <v>Essertes</v>
      </c>
      <c r="C242" s="18">
        <f>'B) D RI'!Y244</f>
        <v>8992.5</v>
      </c>
      <c r="D242" s="61">
        <f>'B) D RI'!Z244</f>
        <v>0</v>
      </c>
      <c r="E242" s="73">
        <f t="shared" si="12"/>
        <v>8992.5</v>
      </c>
      <c r="F242" s="18">
        <f>'B) D RI'!U244</f>
        <v>9308.1854285714289</v>
      </c>
      <c r="G242" s="346">
        <f t="shared" si="13"/>
        <v>0.96608518051193581</v>
      </c>
      <c r="H242" s="98">
        <f t="shared" si="14"/>
        <v>4496.25</v>
      </c>
    </row>
    <row r="243" spans="1:8" x14ac:dyDescent="0.25">
      <c r="A243" s="82">
        <f>'A) Base RI'!A245</f>
        <v>5789</v>
      </c>
      <c r="B243" s="147" t="str">
        <f>'A) Base RI'!B245</f>
        <v>Ferlens</v>
      </c>
      <c r="C243" s="18">
        <f>'B) D RI'!Y245</f>
        <v>17380.95</v>
      </c>
      <c r="D243" s="61">
        <f>'B) D RI'!Z245</f>
        <v>0</v>
      </c>
      <c r="E243" s="73">
        <f t="shared" si="12"/>
        <v>17380.95</v>
      </c>
      <c r="F243" s="18">
        <f>'B) D RI'!U245</f>
        <v>9496.6311688311671</v>
      </c>
      <c r="G243" s="346">
        <f t="shared" si="13"/>
        <v>1.8302227064525689</v>
      </c>
      <c r="H243" s="98">
        <f t="shared" si="14"/>
        <v>8690.4750000000004</v>
      </c>
    </row>
    <row r="244" spans="1:8" x14ac:dyDescent="0.25">
      <c r="A244" s="82">
        <f>'A) Base RI'!A246</f>
        <v>5790</v>
      </c>
      <c r="B244" s="147" t="str">
        <f>'A) Base RI'!B246</f>
        <v>Maracon</v>
      </c>
      <c r="C244" s="18">
        <f>'B) D RI'!Y246</f>
        <v>64200.25</v>
      </c>
      <c r="D244" s="61">
        <f>'B) D RI'!Z246</f>
        <v>0</v>
      </c>
      <c r="E244" s="73">
        <f t="shared" si="12"/>
        <v>64200.25</v>
      </c>
      <c r="F244" s="18">
        <f>'B) D RI'!U246</f>
        <v>11539.028947368422</v>
      </c>
      <c r="G244" s="346">
        <f t="shared" si="13"/>
        <v>5.5637480669152355</v>
      </c>
      <c r="H244" s="98">
        <f t="shared" si="14"/>
        <v>32100.125</v>
      </c>
    </row>
    <row r="245" spans="1:8" x14ac:dyDescent="0.25">
      <c r="A245" s="82">
        <f>'A) Base RI'!A247</f>
        <v>5791</v>
      </c>
      <c r="B245" s="147" t="str">
        <f>'A) Base RI'!B247</f>
        <v>Mézières</v>
      </c>
      <c r="C245" s="18">
        <f>'B) D RI'!Y247</f>
        <v>193240.5</v>
      </c>
      <c r="D245" s="61">
        <f>'B) D RI'!Z247</f>
        <v>1315.9</v>
      </c>
      <c r="E245" s="73">
        <f t="shared" si="12"/>
        <v>194556.4</v>
      </c>
      <c r="F245" s="18">
        <f>'B) D RI'!U247</f>
        <v>41636.080964912282</v>
      </c>
      <c r="G245" s="346">
        <f t="shared" si="13"/>
        <v>4.6727836888384697</v>
      </c>
      <c r="H245" s="98">
        <f t="shared" si="14"/>
        <v>97015.02</v>
      </c>
    </row>
    <row r="246" spans="1:8" x14ac:dyDescent="0.25">
      <c r="A246" s="82">
        <f>'A) Base RI'!A248</f>
        <v>5792</v>
      </c>
      <c r="B246" s="147" t="str">
        <f>'A) Base RI'!B248</f>
        <v>Montpreveyres</v>
      </c>
      <c r="C246" s="18">
        <f>'B) D RI'!Y248</f>
        <v>86782.55</v>
      </c>
      <c r="D246" s="61">
        <f>'B) D RI'!Z248</f>
        <v>4256.2</v>
      </c>
      <c r="E246" s="73">
        <f t="shared" si="12"/>
        <v>91038.75</v>
      </c>
      <c r="F246" s="18">
        <f>'B) D RI'!U248</f>
        <v>17052.817341772152</v>
      </c>
      <c r="G246" s="346">
        <f t="shared" si="13"/>
        <v>5.338633973225865</v>
      </c>
      <c r="H246" s="98">
        <f t="shared" si="14"/>
        <v>44668.135000000002</v>
      </c>
    </row>
    <row r="247" spans="1:8" x14ac:dyDescent="0.25">
      <c r="A247" s="82">
        <f>'A) Base RI'!A249</f>
        <v>5798</v>
      </c>
      <c r="B247" s="147" t="str">
        <f>'A) Base RI'!B249</f>
        <v>Ropraz</v>
      </c>
      <c r="C247" s="18">
        <f>'B) D RI'!Y249</f>
        <v>96043.5</v>
      </c>
      <c r="D247" s="61">
        <f>'B) D RI'!Z249</f>
        <v>0</v>
      </c>
      <c r="E247" s="73">
        <f t="shared" si="12"/>
        <v>96043.5</v>
      </c>
      <c r="F247" s="18">
        <f>'B) D RI'!U249</f>
        <v>11308.746838709676</v>
      </c>
      <c r="G247" s="346">
        <f t="shared" si="13"/>
        <v>8.4928508321757192</v>
      </c>
      <c r="H247" s="98">
        <f t="shared" si="14"/>
        <v>48021.75</v>
      </c>
    </row>
    <row r="248" spans="1:8" x14ac:dyDescent="0.25">
      <c r="A248" s="82">
        <f>'A) Base RI'!A250</f>
        <v>5799</v>
      </c>
      <c r="B248" s="147" t="str">
        <f>'A) Base RI'!B250</f>
        <v>Servion</v>
      </c>
      <c r="C248" s="18">
        <f>'B) D RI'!Y250</f>
        <v>639686.75</v>
      </c>
      <c r="D248" s="61">
        <f>'B) D RI'!Z250</f>
        <v>14494.2</v>
      </c>
      <c r="E248" s="73">
        <f t="shared" si="12"/>
        <v>654180.94999999995</v>
      </c>
      <c r="F248" s="18">
        <f>'B) D RI'!U250</f>
        <v>68357.530144927528</v>
      </c>
      <c r="G248" s="346">
        <f t="shared" si="13"/>
        <v>9.5699910253200322</v>
      </c>
      <c r="H248" s="98">
        <f t="shared" si="14"/>
        <v>324191.63500000001</v>
      </c>
    </row>
    <row r="249" spans="1:8" x14ac:dyDescent="0.25">
      <c r="A249" s="82">
        <f>'A) Base RI'!A251</f>
        <v>5803</v>
      </c>
      <c r="B249" s="147" t="str">
        <f>'A) Base RI'!B251</f>
        <v>Vulliens</v>
      </c>
      <c r="C249" s="18">
        <f>'B) D RI'!Y251</f>
        <v>201153.75</v>
      </c>
      <c r="D249" s="61">
        <f>'B) D RI'!Z251</f>
        <v>0</v>
      </c>
      <c r="E249" s="73">
        <f t="shared" si="12"/>
        <v>201153.75</v>
      </c>
      <c r="F249" s="18">
        <f>'B) D RI'!U251</f>
        <v>12093.749506172839</v>
      </c>
      <c r="G249" s="346">
        <f t="shared" si="13"/>
        <v>16.63286889622842</v>
      </c>
      <c r="H249" s="98">
        <f t="shared" si="14"/>
        <v>100576.875</v>
      </c>
    </row>
    <row r="250" spans="1:8" x14ac:dyDescent="0.25">
      <c r="A250" s="82">
        <f>'A) Base RI'!A252</f>
        <v>5804</v>
      </c>
      <c r="B250" s="147" t="str">
        <f>'A) Base RI'!B252</f>
        <v>Jorat-Menthue</v>
      </c>
      <c r="C250" s="18">
        <f>'B) D RI'!Y252</f>
        <v>104568.95000000001</v>
      </c>
      <c r="D250" s="61">
        <f>'B) D RI'!Z252</f>
        <v>5331.85</v>
      </c>
      <c r="E250" s="73">
        <f>C250+D250</f>
        <v>109900.80000000002</v>
      </c>
      <c r="F250" s="18">
        <f>'B) D RI'!U252</f>
        <v>42711.248333333329</v>
      </c>
      <c r="G250" s="346">
        <f>E250/F250</f>
        <v>2.5731114001233641</v>
      </c>
      <c r="H250" s="98">
        <f>(C250*$C$4)+(D250*$D$4)</f>
        <v>53884.030000000006</v>
      </c>
    </row>
    <row r="251" spans="1:8" x14ac:dyDescent="0.25">
      <c r="A251" s="82">
        <f>'A) Base RI'!A253</f>
        <v>5805</v>
      </c>
      <c r="B251" s="147" t="str">
        <f>'A) Base RI'!B253</f>
        <v>Oron</v>
      </c>
      <c r="C251" s="18">
        <f>'B) D RI'!Y253</f>
        <v>590679.05000000005</v>
      </c>
      <c r="D251" s="61">
        <f>'B) D RI'!Z253</f>
        <v>37668.9</v>
      </c>
      <c r="E251" s="73">
        <f>C251+D251</f>
        <v>628347.95000000007</v>
      </c>
      <c r="F251" s="18">
        <f>'B) D RI'!U253</f>
        <v>145299.16422924903</v>
      </c>
      <c r="G251" s="346">
        <f>E251/F251</f>
        <v>4.3245117983515025</v>
      </c>
      <c r="H251" s="98">
        <f>(C251*$C$4)+(D251*$D$4)</f>
        <v>306640.19500000001</v>
      </c>
    </row>
    <row r="252" spans="1:8" x14ac:dyDescent="0.25">
      <c r="A252" s="82">
        <f>'A) Base RI'!A254</f>
        <v>5812</v>
      </c>
      <c r="B252" s="147" t="str">
        <f>'A) Base RI'!B254</f>
        <v>Champtauroz</v>
      </c>
      <c r="C252" s="18">
        <f>'B) D RI'!Y254</f>
        <v>14170.45</v>
      </c>
      <c r="D252" s="61">
        <f>'B) D RI'!Z254</f>
        <v>0</v>
      </c>
      <c r="E252" s="73">
        <f t="shared" si="12"/>
        <v>14170.45</v>
      </c>
      <c r="F252" s="18">
        <f>'B) D RI'!U254</f>
        <v>2756.1429220779223</v>
      </c>
      <c r="G252" s="346">
        <f t="shared" si="13"/>
        <v>5.1414060883738779</v>
      </c>
      <c r="H252" s="98">
        <f t="shared" si="14"/>
        <v>7085.2250000000004</v>
      </c>
    </row>
    <row r="253" spans="1:8" x14ac:dyDescent="0.25">
      <c r="A253" s="82">
        <f>'A) Base RI'!A255</f>
        <v>5813</v>
      </c>
      <c r="B253" s="147" t="str">
        <f>'A) Base RI'!B255</f>
        <v>Chevroux</v>
      </c>
      <c r="C253" s="18">
        <f>'B) D RI'!Y255</f>
        <v>69769.7</v>
      </c>
      <c r="D253" s="61">
        <f>'B) D RI'!Z255</f>
        <v>0</v>
      </c>
      <c r="E253" s="73">
        <f t="shared" si="12"/>
        <v>69769.7</v>
      </c>
      <c r="F253" s="18">
        <f>'B) D RI'!U255</f>
        <v>11438.318904761907</v>
      </c>
      <c r="G253" s="346">
        <f t="shared" si="13"/>
        <v>6.0996463362246391</v>
      </c>
      <c r="H253" s="98">
        <f t="shared" si="14"/>
        <v>34884.85</v>
      </c>
    </row>
    <row r="254" spans="1:8" x14ac:dyDescent="0.25">
      <c r="A254" s="82">
        <f>'A) Base RI'!A256</f>
        <v>5816</v>
      </c>
      <c r="B254" s="147" t="str">
        <f>'A) Base RI'!B256</f>
        <v>Corcelles-près-Payerne</v>
      </c>
      <c r="C254" s="18">
        <f>'B) D RI'!Y256</f>
        <v>429157.10000000003</v>
      </c>
      <c r="D254" s="61">
        <f>'B) D RI'!Z256</f>
        <v>9817.15</v>
      </c>
      <c r="E254" s="73">
        <f t="shared" si="12"/>
        <v>438974.25000000006</v>
      </c>
      <c r="F254" s="18">
        <f>'B) D RI'!U256</f>
        <v>51319.201507936508</v>
      </c>
      <c r="G254" s="346">
        <f t="shared" si="13"/>
        <v>8.5538012498521194</v>
      </c>
      <c r="H254" s="98">
        <f t="shared" si="14"/>
        <v>217523.69500000001</v>
      </c>
    </row>
    <row r="255" spans="1:8" x14ac:dyDescent="0.25">
      <c r="A255" s="82">
        <f>'A) Base RI'!A257</f>
        <v>5817</v>
      </c>
      <c r="B255" s="147" t="str">
        <f>'A) Base RI'!B257</f>
        <v>Grandcour</v>
      </c>
      <c r="C255" s="18">
        <f>'B) D RI'!Y257</f>
        <v>84818.5</v>
      </c>
      <c r="D255" s="61">
        <f>'B) D RI'!Z257</f>
        <v>0</v>
      </c>
      <c r="E255" s="73">
        <f t="shared" si="12"/>
        <v>84818.5</v>
      </c>
      <c r="F255" s="18">
        <f>'B) D RI'!U257</f>
        <v>20100.413081761009</v>
      </c>
      <c r="G255" s="346">
        <f t="shared" si="13"/>
        <v>4.2197391493891132</v>
      </c>
      <c r="H255" s="98">
        <f t="shared" si="14"/>
        <v>42409.25</v>
      </c>
    </row>
    <row r="256" spans="1:8" x14ac:dyDescent="0.25">
      <c r="A256" s="82">
        <f>'A) Base RI'!A258</f>
        <v>5819</v>
      </c>
      <c r="B256" s="147" t="str">
        <f>'A) Base RI'!B258</f>
        <v>Henniez</v>
      </c>
      <c r="C256" s="18">
        <f>'B) D RI'!Y258</f>
        <v>9864.4</v>
      </c>
      <c r="D256" s="61">
        <f>'B) D RI'!Z258</f>
        <v>14211.7</v>
      </c>
      <c r="E256" s="73">
        <f t="shared" si="12"/>
        <v>24076.1</v>
      </c>
      <c r="F256" s="18">
        <f>'B) D RI'!U258</f>
        <v>9884.2255223880602</v>
      </c>
      <c r="G256" s="346">
        <f t="shared" si="13"/>
        <v>2.4358104684547035</v>
      </c>
      <c r="H256" s="98">
        <f t="shared" si="14"/>
        <v>9195.7099999999991</v>
      </c>
    </row>
    <row r="257" spans="1:8" x14ac:dyDescent="0.25">
      <c r="A257" s="82">
        <f>'A) Base RI'!A259</f>
        <v>5821</v>
      </c>
      <c r="B257" s="147" t="str">
        <f>'A) Base RI'!B259</f>
        <v>Missy</v>
      </c>
      <c r="C257" s="18">
        <f>'B) D RI'!Y259</f>
        <v>71530.5</v>
      </c>
      <c r="D257" s="61">
        <f>'B) D RI'!Z259</f>
        <v>0</v>
      </c>
      <c r="E257" s="73">
        <f t="shared" si="12"/>
        <v>71530.5</v>
      </c>
      <c r="F257" s="18">
        <f>'B) D RI'!U259</f>
        <v>7497.2731944444431</v>
      </c>
      <c r="G257" s="346">
        <f t="shared" si="13"/>
        <v>9.5408688125443852</v>
      </c>
      <c r="H257" s="98">
        <f t="shared" si="14"/>
        <v>35765.25</v>
      </c>
    </row>
    <row r="258" spans="1:8" x14ac:dyDescent="0.25">
      <c r="A258" s="82">
        <f>'A) Base RI'!A260</f>
        <v>5822</v>
      </c>
      <c r="B258" s="147" t="str">
        <f>'A) Base RI'!B260</f>
        <v>Payerne</v>
      </c>
      <c r="C258" s="18">
        <f>'B) D RI'!Y260</f>
        <v>1688272</v>
      </c>
      <c r="D258" s="61">
        <f>'B) D RI'!Z260</f>
        <v>22324.45</v>
      </c>
      <c r="E258" s="73">
        <f t="shared" si="12"/>
        <v>1710596.45</v>
      </c>
      <c r="F258" s="18">
        <f>'B) D RI'!U260</f>
        <v>232171.67534246575</v>
      </c>
      <c r="G258" s="346">
        <f t="shared" si="13"/>
        <v>7.3678085299456875</v>
      </c>
      <c r="H258" s="98">
        <f t="shared" si="14"/>
        <v>850833.33499999996</v>
      </c>
    </row>
    <row r="259" spans="1:8" x14ac:dyDescent="0.25">
      <c r="A259" s="82">
        <f>'A) Base RI'!A261</f>
        <v>5827</v>
      </c>
      <c r="B259" s="147" t="str">
        <f>'A) Base RI'!B261</f>
        <v>Trey</v>
      </c>
      <c r="C259" s="18">
        <f>'B) D RI'!Y261</f>
        <v>23382.3</v>
      </c>
      <c r="D259" s="61">
        <f>'B) D RI'!Z261</f>
        <v>6013.45</v>
      </c>
      <c r="E259" s="73">
        <f t="shared" si="12"/>
        <v>29395.75</v>
      </c>
      <c r="F259" s="18">
        <f>'B) D RI'!U261</f>
        <v>6148.4623749999992</v>
      </c>
      <c r="G259" s="346">
        <f t="shared" si="13"/>
        <v>4.7809920931654073</v>
      </c>
      <c r="H259" s="98">
        <f t="shared" si="14"/>
        <v>13495.184999999999</v>
      </c>
    </row>
    <row r="260" spans="1:8" x14ac:dyDescent="0.25">
      <c r="A260" s="82">
        <f>'A) Base RI'!A262</f>
        <v>5828</v>
      </c>
      <c r="B260" s="147" t="str">
        <f>'A) Base RI'!B262</f>
        <v>Treytorrens</v>
      </c>
      <c r="C260" s="18">
        <f>'B) D RI'!Y262</f>
        <v>23283.5</v>
      </c>
      <c r="D260" s="61">
        <f>'B) D RI'!Z262</f>
        <v>0</v>
      </c>
      <c r="E260" s="73">
        <f t="shared" si="12"/>
        <v>23283.5</v>
      </c>
      <c r="F260" s="18">
        <f>'B) D RI'!U262</f>
        <v>2457.9002380952379</v>
      </c>
      <c r="G260" s="346">
        <f t="shared" si="13"/>
        <v>9.4729231232117321</v>
      </c>
      <c r="H260" s="98">
        <f t="shared" si="14"/>
        <v>11641.75</v>
      </c>
    </row>
    <row r="261" spans="1:8" x14ac:dyDescent="0.25">
      <c r="A261" s="82">
        <f>'A) Base RI'!A263</f>
        <v>5830</v>
      </c>
      <c r="B261" s="147" t="str">
        <f>'A) Base RI'!B263</f>
        <v>Villarzel</v>
      </c>
      <c r="C261" s="18">
        <f>'B) D RI'!Y263</f>
        <v>56979.05</v>
      </c>
      <c r="D261" s="61">
        <f>'B) D RI'!Z263</f>
        <v>0</v>
      </c>
      <c r="E261" s="73">
        <f t="shared" si="12"/>
        <v>56979.05</v>
      </c>
      <c r="F261" s="18">
        <f>'B) D RI'!U263</f>
        <v>9888.3237037037015</v>
      </c>
      <c r="G261" s="346">
        <f t="shared" si="13"/>
        <v>5.7622557379122137</v>
      </c>
      <c r="H261" s="98">
        <f t="shared" si="14"/>
        <v>28489.525000000001</v>
      </c>
    </row>
    <row r="262" spans="1:8" x14ac:dyDescent="0.25">
      <c r="A262" s="82">
        <f>'A) Base RI'!A264</f>
        <v>5831</v>
      </c>
      <c r="B262" s="147" t="str">
        <f>'A) Base RI'!B264</f>
        <v>Valbroye</v>
      </c>
      <c r="C262" s="18">
        <f>'B) D RI'!Y264</f>
        <v>273834.25</v>
      </c>
      <c r="D262" s="61">
        <f>'B) D RI'!Z264</f>
        <v>16971.599999999999</v>
      </c>
      <c r="E262" s="73">
        <f>C262+D262</f>
        <v>290805.84999999998</v>
      </c>
      <c r="F262" s="18">
        <f>'B) D RI'!U264</f>
        <v>72189.06751111109</v>
      </c>
      <c r="G262" s="346">
        <f>E262/F262</f>
        <v>4.0283918330880244</v>
      </c>
      <c r="H262" s="98">
        <f>(C262*$C$4)+(D262*$D$4)</f>
        <v>142008.60500000001</v>
      </c>
    </row>
    <row r="263" spans="1:8" x14ac:dyDescent="0.25">
      <c r="A263" s="82">
        <f>'A) Base RI'!A265</f>
        <v>5841</v>
      </c>
      <c r="B263" s="147" t="str">
        <f>'A) Base RI'!B265</f>
        <v>Château-d'Oex</v>
      </c>
      <c r="C263" s="18">
        <f>'B) D RI'!Y265</f>
        <v>956825.90000000014</v>
      </c>
      <c r="D263" s="61">
        <f>'B) D RI'!Z265</f>
        <v>9161.9500000000007</v>
      </c>
      <c r="E263" s="73">
        <f>C263+D263</f>
        <v>965987.85000000009</v>
      </c>
      <c r="F263" s="18">
        <f>'B) D RI'!U265</f>
        <v>107402.16457831326</v>
      </c>
      <c r="G263" s="346">
        <f>E263/F263</f>
        <v>8.9941190086131027</v>
      </c>
      <c r="H263" s="98">
        <f>(C263*$C$4)+(D263*$D$4)</f>
        <v>481161.53500000009</v>
      </c>
    </row>
    <row r="264" spans="1:8" x14ac:dyDescent="0.25">
      <c r="A264" s="82">
        <f>'A) Base RI'!A266</f>
        <v>5842</v>
      </c>
      <c r="B264" s="147" t="str">
        <f>'A) Base RI'!B266</f>
        <v>Rossinière</v>
      </c>
      <c r="C264" s="18">
        <f>'B) D RI'!Y266</f>
        <v>85342.9</v>
      </c>
      <c r="D264" s="61">
        <f>'B) D RI'!Z266</f>
        <v>0</v>
      </c>
      <c r="E264" s="73">
        <f t="shared" si="12"/>
        <v>85342.9</v>
      </c>
      <c r="F264" s="18">
        <f>'B) D RI'!U266</f>
        <v>14557.548271604937</v>
      </c>
      <c r="G264" s="346">
        <f t="shared" si="13"/>
        <v>5.8624500779753301</v>
      </c>
      <c r="H264" s="98">
        <f t="shared" si="14"/>
        <v>42671.45</v>
      </c>
    </row>
    <row r="265" spans="1:8" x14ac:dyDescent="0.25">
      <c r="A265" s="82">
        <f>'A) Base RI'!A267</f>
        <v>5843</v>
      </c>
      <c r="B265" s="147" t="str">
        <f>'A) Base RI'!B267</f>
        <v>Rougemont</v>
      </c>
      <c r="C265" s="18">
        <f>'B) D RI'!Y267</f>
        <v>1543139.1</v>
      </c>
      <c r="D265" s="61">
        <f>'B) D RI'!Z267</f>
        <v>0</v>
      </c>
      <c r="E265" s="73">
        <f t="shared" si="12"/>
        <v>1543139.1</v>
      </c>
      <c r="F265" s="18">
        <f>'B) D RI'!U267</f>
        <v>80469.50922705316</v>
      </c>
      <c r="G265" s="346">
        <f t="shared" si="13"/>
        <v>19.176693319277881</v>
      </c>
      <c r="H265" s="98">
        <f t="shared" si="14"/>
        <v>771569.55</v>
      </c>
    </row>
    <row r="266" spans="1:8" x14ac:dyDescent="0.25">
      <c r="A266" s="82">
        <f>'A) Base RI'!A268</f>
        <v>5851</v>
      </c>
      <c r="B266" s="147" t="str">
        <f>'A) Base RI'!B268</f>
        <v>Allaman</v>
      </c>
      <c r="C266" s="18">
        <f>'B) D RI'!Y268</f>
        <v>730981.15</v>
      </c>
      <c r="D266" s="61">
        <f>'B) D RI'!Z268</f>
        <v>39239.050000000003</v>
      </c>
      <c r="E266" s="73">
        <f t="shared" si="12"/>
        <v>770220.20000000007</v>
      </c>
      <c r="F266" s="18">
        <f>'B) D RI'!U268</f>
        <v>24671.087704918031</v>
      </c>
      <c r="G266" s="346">
        <f t="shared" si="13"/>
        <v>31.219547723729317</v>
      </c>
      <c r="H266" s="98">
        <f t="shared" si="14"/>
        <v>377262.29000000004</v>
      </c>
    </row>
    <row r="267" spans="1:8" x14ac:dyDescent="0.25">
      <c r="A267" s="82">
        <f>'A) Base RI'!A269</f>
        <v>5852</v>
      </c>
      <c r="B267" s="147" t="str">
        <f>'A) Base RI'!B269</f>
        <v>Bursinel</v>
      </c>
      <c r="C267" s="18">
        <f>'B) D RI'!Y269</f>
        <v>109111.3</v>
      </c>
      <c r="D267" s="61">
        <f>'B) D RI'!Z269</f>
        <v>5664.7</v>
      </c>
      <c r="E267" s="73">
        <f t="shared" si="12"/>
        <v>114776</v>
      </c>
      <c r="F267" s="18">
        <f>'B) D RI'!U269</f>
        <v>29914.872845528454</v>
      </c>
      <c r="G267" s="346">
        <f t="shared" si="13"/>
        <v>3.8367537309173696</v>
      </c>
      <c r="H267" s="98">
        <f t="shared" si="14"/>
        <v>56255.06</v>
      </c>
    </row>
    <row r="268" spans="1:8" x14ac:dyDescent="0.25">
      <c r="A268" s="82">
        <f>'A) Base RI'!A270</f>
        <v>5853</v>
      </c>
      <c r="B268" s="147" t="str">
        <f>'A) Base RI'!B270</f>
        <v>Bursins</v>
      </c>
      <c r="C268" s="18">
        <f>'B) D RI'!Y270</f>
        <v>218775.1</v>
      </c>
      <c r="D268" s="61">
        <f>'B) D RI'!Z270</f>
        <v>43123.35</v>
      </c>
      <c r="E268" s="73">
        <f t="shared" si="12"/>
        <v>261898.45</v>
      </c>
      <c r="F268" s="18">
        <f>'B) D RI'!U270</f>
        <v>35670.275774647889</v>
      </c>
      <c r="G268" s="346">
        <f t="shared" si="13"/>
        <v>7.3422042390303126</v>
      </c>
      <c r="H268" s="98">
        <f t="shared" si="14"/>
        <v>122324.55500000001</v>
      </c>
    </row>
    <row r="269" spans="1:8" x14ac:dyDescent="0.25">
      <c r="A269" s="82">
        <f>'A) Base RI'!A271</f>
        <v>5854</v>
      </c>
      <c r="B269" s="147" t="str">
        <f>'A) Base RI'!B271</f>
        <v>Burtigny</v>
      </c>
      <c r="C269" s="18">
        <f>'B) D RI'!Y271</f>
        <v>27843.8</v>
      </c>
      <c r="D269" s="61">
        <f>'B) D RI'!Z271</f>
        <v>22875.65</v>
      </c>
      <c r="E269" s="73">
        <f t="shared" si="12"/>
        <v>50719.45</v>
      </c>
      <c r="F269" s="18">
        <f>'B) D RI'!U271</f>
        <v>10927.480438596491</v>
      </c>
      <c r="G269" s="346">
        <f t="shared" si="13"/>
        <v>4.6414587777120131</v>
      </c>
      <c r="H269" s="98">
        <f t="shared" si="14"/>
        <v>20784.595000000001</v>
      </c>
    </row>
    <row r="270" spans="1:8" x14ac:dyDescent="0.25">
      <c r="A270" s="82">
        <f>'A) Base RI'!A272</f>
        <v>5855</v>
      </c>
      <c r="B270" s="147" t="str">
        <f>'A) Base RI'!B272</f>
        <v>Dully</v>
      </c>
      <c r="C270" s="18">
        <f>'B) D RI'!Y272</f>
        <v>623880.5</v>
      </c>
      <c r="D270" s="61">
        <f>'B) D RI'!Z272</f>
        <v>5255.75</v>
      </c>
      <c r="E270" s="73">
        <f t="shared" si="12"/>
        <v>629136.25</v>
      </c>
      <c r="F270" s="18">
        <f>'B) D RI'!U272</f>
        <v>80286.552448979593</v>
      </c>
      <c r="G270" s="346">
        <f t="shared" si="13"/>
        <v>7.8361348296752782</v>
      </c>
      <c r="H270" s="98">
        <f t="shared" si="14"/>
        <v>313516.97499999998</v>
      </c>
    </row>
    <row r="271" spans="1:8" x14ac:dyDescent="0.25">
      <c r="A271" s="82">
        <f>'A) Base RI'!A273</f>
        <v>5856</v>
      </c>
      <c r="B271" s="147" t="str">
        <f>'A) Base RI'!B273</f>
        <v>Essertines-sur-Rolle</v>
      </c>
      <c r="C271" s="18">
        <f>'B) D RI'!Y273</f>
        <v>99969.049999999988</v>
      </c>
      <c r="D271" s="61">
        <f>'B) D RI'!Z273</f>
        <v>0</v>
      </c>
      <c r="E271" s="73">
        <f t="shared" si="12"/>
        <v>99969.049999999988</v>
      </c>
      <c r="F271" s="18">
        <f>'B) D RI'!U273</f>
        <v>37372.082975113124</v>
      </c>
      <c r="G271" s="346">
        <f t="shared" si="13"/>
        <v>2.6749659650111433</v>
      </c>
      <c r="H271" s="98">
        <f t="shared" si="14"/>
        <v>49984.524999999994</v>
      </c>
    </row>
    <row r="272" spans="1:8" x14ac:dyDescent="0.25">
      <c r="A272" s="82">
        <f>'A) Base RI'!A274</f>
        <v>5857</v>
      </c>
      <c r="B272" s="147" t="str">
        <f>'A) Base RI'!B274</f>
        <v>Gilly</v>
      </c>
      <c r="C272" s="18">
        <f>'B) D RI'!Y274</f>
        <v>719418.1</v>
      </c>
      <c r="D272" s="61">
        <f>'B) D RI'!Z274</f>
        <v>53061.45</v>
      </c>
      <c r="E272" s="73">
        <f t="shared" si="12"/>
        <v>772479.54999999993</v>
      </c>
      <c r="F272" s="18">
        <f>'B) D RI'!U274</f>
        <v>64256.086818181808</v>
      </c>
      <c r="G272" s="346">
        <f t="shared" si="13"/>
        <v>12.021889104230672</v>
      </c>
      <c r="H272" s="98">
        <f t="shared" si="14"/>
        <v>375627.48499999999</v>
      </c>
    </row>
    <row r="273" spans="1:8" x14ac:dyDescent="0.25">
      <c r="A273" s="82">
        <f>'A) Base RI'!A275</f>
        <v>5858</v>
      </c>
      <c r="B273" s="147" t="str">
        <f>'A) Base RI'!B275</f>
        <v>Luins</v>
      </c>
      <c r="C273" s="18">
        <f>'B) D RI'!Y275</f>
        <v>109447.75</v>
      </c>
      <c r="D273" s="61">
        <f>'B) D RI'!Z275</f>
        <v>21719.200000000001</v>
      </c>
      <c r="E273" s="73">
        <f t="shared" ref="E273:E322" si="15">C273+D273</f>
        <v>131166.95000000001</v>
      </c>
      <c r="F273" s="18">
        <f>'B) D RI'!U275</f>
        <v>35566.654611111124</v>
      </c>
      <c r="G273" s="346">
        <f t="shared" ref="G273:G323" si="16">E273/F273</f>
        <v>3.6879192444212361</v>
      </c>
      <c r="H273" s="98">
        <f t="shared" si="14"/>
        <v>61239.635000000002</v>
      </c>
    </row>
    <row r="274" spans="1:8" x14ac:dyDescent="0.25">
      <c r="A274" s="82">
        <f>'A) Base RI'!A276</f>
        <v>5859</v>
      </c>
      <c r="B274" s="147" t="str">
        <f>'A) Base RI'!B276</f>
        <v>Mont-sur-Rolle</v>
      </c>
      <c r="C274" s="18">
        <f>'B) D RI'!Y276</f>
        <v>795222.4</v>
      </c>
      <c r="D274" s="61">
        <f>'B) D RI'!Z276</f>
        <v>42193.1</v>
      </c>
      <c r="E274" s="73">
        <f t="shared" si="15"/>
        <v>837415.5</v>
      </c>
      <c r="F274" s="18">
        <f>'B) D RI'!U276</f>
        <v>135944.39825396828</v>
      </c>
      <c r="G274" s="346">
        <f t="shared" si="16"/>
        <v>6.1599853377964067</v>
      </c>
      <c r="H274" s="98">
        <f t="shared" ref="H274:H323" si="17">(C274*$C$4)+(D274*$D$4)</f>
        <v>410269.13</v>
      </c>
    </row>
    <row r="275" spans="1:8" x14ac:dyDescent="0.25">
      <c r="A275" s="82">
        <f>'A) Base RI'!A277</f>
        <v>5860</v>
      </c>
      <c r="B275" s="147" t="str">
        <f>'A) Base RI'!B277</f>
        <v>Perroy</v>
      </c>
      <c r="C275" s="18">
        <f>'B) D RI'!Y277</f>
        <v>372976.7</v>
      </c>
      <c r="D275" s="61">
        <f>'B) D RI'!Z277</f>
        <v>11862.45</v>
      </c>
      <c r="E275" s="73">
        <f t="shared" si="15"/>
        <v>384839.15</v>
      </c>
      <c r="F275" s="18">
        <f>'B) D RI'!U277</f>
        <v>70993.86</v>
      </c>
      <c r="G275" s="346">
        <f t="shared" si="16"/>
        <v>5.420738497667263</v>
      </c>
      <c r="H275" s="98">
        <f t="shared" si="17"/>
        <v>190047.08499999999</v>
      </c>
    </row>
    <row r="276" spans="1:8" x14ac:dyDescent="0.25">
      <c r="A276" s="82">
        <f>'A) Base RI'!A278</f>
        <v>5861</v>
      </c>
      <c r="B276" s="147" t="str">
        <f>'A) Base RI'!B278</f>
        <v>Rolle</v>
      </c>
      <c r="C276" s="18">
        <f>'B) D RI'!Y278</f>
        <v>2078022.4</v>
      </c>
      <c r="D276" s="61">
        <f>'B) D RI'!Z278</f>
        <v>782086.7</v>
      </c>
      <c r="E276" s="73">
        <f t="shared" si="15"/>
        <v>2860109.0999999996</v>
      </c>
      <c r="F276" s="18">
        <f>'B) D RI'!U278</f>
        <v>356530.16436974786</v>
      </c>
      <c r="G276" s="346">
        <f t="shared" si="16"/>
        <v>8.0220676560591304</v>
      </c>
      <c r="H276" s="98">
        <f t="shared" si="17"/>
        <v>1273637.21</v>
      </c>
    </row>
    <row r="277" spans="1:8" x14ac:dyDescent="0.25">
      <c r="A277" s="82">
        <f>'A) Base RI'!A279</f>
        <v>5862</v>
      </c>
      <c r="B277" s="147" t="str">
        <f>'A) Base RI'!B279</f>
        <v>Tartegnin</v>
      </c>
      <c r="C277" s="18">
        <f>'B) D RI'!Y279</f>
        <v>101178.2</v>
      </c>
      <c r="D277" s="61">
        <f>'B) D RI'!Z279</f>
        <v>6303.8</v>
      </c>
      <c r="E277" s="73">
        <f t="shared" si="15"/>
        <v>107482</v>
      </c>
      <c r="F277" s="18">
        <f>'B) D RI'!U279</f>
        <v>7735.2980158730161</v>
      </c>
      <c r="G277" s="346">
        <f t="shared" si="16"/>
        <v>13.895004404412651</v>
      </c>
      <c r="H277" s="98">
        <f t="shared" si="17"/>
        <v>52480.24</v>
      </c>
    </row>
    <row r="278" spans="1:8" x14ac:dyDescent="0.25">
      <c r="A278" s="82">
        <f>'A) Base RI'!A280</f>
        <v>5863</v>
      </c>
      <c r="B278" s="147" t="str">
        <f>'A) Base RI'!B280</f>
        <v>Vinzel</v>
      </c>
      <c r="C278" s="18">
        <f>'B) D RI'!Y280</f>
        <v>473.4</v>
      </c>
      <c r="D278" s="61">
        <f>'B) D RI'!Z280</f>
        <v>15226</v>
      </c>
      <c r="E278" s="73">
        <f t="shared" si="15"/>
        <v>15699.4</v>
      </c>
      <c r="F278" s="18">
        <f>'B) D RI'!U280</f>
        <v>21110.455753424656</v>
      </c>
      <c r="G278" s="346">
        <f t="shared" si="16"/>
        <v>0.74367887568951019</v>
      </c>
      <c r="H278" s="98">
        <f t="shared" si="17"/>
        <v>4804.5</v>
      </c>
    </row>
    <row r="279" spans="1:8" x14ac:dyDescent="0.25">
      <c r="A279" s="82">
        <f>'A) Base RI'!A281</f>
        <v>5871</v>
      </c>
      <c r="B279" s="147" t="str">
        <f>'A) Base RI'!B281</f>
        <v>L'Abbaye</v>
      </c>
      <c r="C279" s="18">
        <f>'B) D RI'!Y281</f>
        <v>247741.85</v>
      </c>
      <c r="D279" s="61">
        <f>'B) D RI'!Z281</f>
        <v>514317.1</v>
      </c>
      <c r="E279" s="73">
        <f t="shared" si="15"/>
        <v>762058.95</v>
      </c>
      <c r="F279" s="18">
        <f>'B) D RI'!U281</f>
        <v>60910.131722525337</v>
      </c>
      <c r="G279" s="346">
        <f t="shared" si="16"/>
        <v>12.51120180582668</v>
      </c>
      <c r="H279" s="98">
        <f t="shared" si="17"/>
        <v>278166.05499999999</v>
      </c>
    </row>
    <row r="280" spans="1:8" x14ac:dyDescent="0.25">
      <c r="A280" s="82">
        <f>'A) Base RI'!A282</f>
        <v>5872</v>
      </c>
      <c r="B280" s="147" t="str">
        <f>'A) Base RI'!B282</f>
        <v>Le Chenit</v>
      </c>
      <c r="C280" s="18">
        <f>'B) D RI'!Y282</f>
        <v>510761.6</v>
      </c>
      <c r="D280" s="61">
        <f>'B) D RI'!Z282</f>
        <v>7230843.5499999998</v>
      </c>
      <c r="E280" s="73">
        <f t="shared" si="15"/>
        <v>7741605.1499999994</v>
      </c>
      <c r="F280" s="18">
        <f>'B) D RI'!U282</f>
        <v>373754.29606892174</v>
      </c>
      <c r="G280" s="346">
        <f t="shared" si="16"/>
        <v>20.713086729503217</v>
      </c>
      <c r="H280" s="98">
        <f t="shared" si="17"/>
        <v>2424633.8649999998</v>
      </c>
    </row>
    <row r="281" spans="1:8" x14ac:dyDescent="0.25">
      <c r="A281" s="82">
        <f>'A) Base RI'!A283</f>
        <v>5873</v>
      </c>
      <c r="B281" s="147" t="str">
        <f>'A) Base RI'!B283</f>
        <v>Le Lieu</v>
      </c>
      <c r="C281" s="18">
        <f>'B) D RI'!Y283</f>
        <v>74050.100000000006</v>
      </c>
      <c r="D281" s="61">
        <f>'B) D RI'!Z283</f>
        <v>1028944.9</v>
      </c>
      <c r="E281" s="73">
        <f t="shared" si="15"/>
        <v>1102995</v>
      </c>
      <c r="F281" s="18">
        <f>'B) D RI'!U283</f>
        <v>39370.007846153843</v>
      </c>
      <c r="G281" s="346">
        <f t="shared" si="16"/>
        <v>28.016123448849005</v>
      </c>
      <c r="H281" s="98">
        <f t="shared" si="17"/>
        <v>345708.51999999996</v>
      </c>
    </row>
    <row r="282" spans="1:8" x14ac:dyDescent="0.25">
      <c r="A282" s="82">
        <f>'A) Base RI'!A284</f>
        <v>5881</v>
      </c>
      <c r="B282" s="147" t="str">
        <f>'A) Base RI'!B284</f>
        <v>Blonay</v>
      </c>
      <c r="C282" s="18">
        <f>'B) D RI'!Y284</f>
        <v>1494486.1</v>
      </c>
      <c r="D282" s="61">
        <f>'B) D RI'!Z284</f>
        <v>69846</v>
      </c>
      <c r="E282" s="73">
        <f t="shared" si="15"/>
        <v>1564332.1</v>
      </c>
      <c r="F282" s="18">
        <f>'B) D RI'!U284</f>
        <v>331887.5422222222</v>
      </c>
      <c r="G282" s="346">
        <f t="shared" si="16"/>
        <v>4.7134402500488228</v>
      </c>
      <c r="H282" s="98">
        <f t="shared" si="17"/>
        <v>768196.85000000009</v>
      </c>
    </row>
    <row r="283" spans="1:8" x14ac:dyDescent="0.25">
      <c r="A283" s="82">
        <f>'A) Base RI'!A285</f>
        <v>5882</v>
      </c>
      <c r="B283" s="147" t="str">
        <f>'A) Base RI'!B285</f>
        <v>Chardonne</v>
      </c>
      <c r="C283" s="18">
        <f>'B) D RI'!Y285</f>
        <v>3046681.05</v>
      </c>
      <c r="D283" s="61">
        <f>'B) D RI'!Z285</f>
        <v>0</v>
      </c>
      <c r="E283" s="73">
        <f t="shared" si="15"/>
        <v>3046681.05</v>
      </c>
      <c r="F283" s="18">
        <f>'B) D RI'!U285</f>
        <v>161225.34606060604</v>
      </c>
      <c r="G283" s="346">
        <f t="shared" si="16"/>
        <v>18.897035264261273</v>
      </c>
      <c r="H283" s="98">
        <f t="shared" si="17"/>
        <v>1523340.5249999999</v>
      </c>
    </row>
    <row r="284" spans="1:8" x14ac:dyDescent="0.25">
      <c r="A284" s="82">
        <f>'A) Base RI'!A286</f>
        <v>5883</v>
      </c>
      <c r="B284" s="147" t="str">
        <f>'A) Base RI'!B286</f>
        <v>Corseaux</v>
      </c>
      <c r="C284" s="18">
        <f>'B) D RI'!Y286</f>
        <v>886814.6</v>
      </c>
      <c r="D284" s="61">
        <f>'B) D RI'!Z286</f>
        <v>8506.4</v>
      </c>
      <c r="E284" s="73">
        <f t="shared" si="15"/>
        <v>895321</v>
      </c>
      <c r="F284" s="18">
        <f>'B) D RI'!U286</f>
        <v>159212.38328124999</v>
      </c>
      <c r="G284" s="346">
        <f t="shared" si="16"/>
        <v>5.6234382122049391</v>
      </c>
      <c r="H284" s="98">
        <f t="shared" si="17"/>
        <v>445959.22</v>
      </c>
    </row>
    <row r="285" spans="1:8" x14ac:dyDescent="0.25">
      <c r="A285" s="82">
        <f>'A) Base RI'!A287</f>
        <v>5884</v>
      </c>
      <c r="B285" s="147" t="str">
        <f>'A) Base RI'!B287</f>
        <v>Corsier-sur-Vevey</v>
      </c>
      <c r="C285" s="18">
        <f>'B) D RI'!Y287</f>
        <v>359317.45</v>
      </c>
      <c r="D285" s="61">
        <f>'B) D RI'!Z287</f>
        <v>322802.95</v>
      </c>
      <c r="E285" s="73">
        <f t="shared" si="15"/>
        <v>682120.4</v>
      </c>
      <c r="F285" s="18">
        <f>'B) D RI'!U287</f>
        <v>121405.28277777777</v>
      </c>
      <c r="G285" s="346">
        <f t="shared" si="16"/>
        <v>5.6185396911315992</v>
      </c>
      <c r="H285" s="98">
        <f t="shared" si="17"/>
        <v>276499.61</v>
      </c>
    </row>
    <row r="286" spans="1:8" x14ac:dyDescent="0.25">
      <c r="A286" s="82">
        <f>'A) Base RI'!A288</f>
        <v>5885</v>
      </c>
      <c r="B286" s="147" t="str">
        <f>'A) Base RI'!B288</f>
        <v>Jongny</v>
      </c>
      <c r="C286" s="18">
        <f>'B) D RI'!Y288</f>
        <v>398701.8</v>
      </c>
      <c r="D286" s="61">
        <f>'B) D RI'!Z288</f>
        <v>0</v>
      </c>
      <c r="E286" s="73">
        <f t="shared" si="15"/>
        <v>398701.8</v>
      </c>
      <c r="F286" s="18">
        <f>'B) D RI'!U288</f>
        <v>76199.638309178743</v>
      </c>
      <c r="G286" s="346">
        <f t="shared" si="16"/>
        <v>5.2323319223940956</v>
      </c>
      <c r="H286" s="98">
        <f t="shared" si="17"/>
        <v>199350.9</v>
      </c>
    </row>
    <row r="287" spans="1:8" x14ac:dyDescent="0.25">
      <c r="A287" s="82">
        <f>'A) Base RI'!A289</f>
        <v>5886</v>
      </c>
      <c r="B287" s="147" t="str">
        <f>'A) Base RI'!B289</f>
        <v>Montreux</v>
      </c>
      <c r="C287" s="18">
        <f>'B) D RI'!Y289</f>
        <v>10105834.350000001</v>
      </c>
      <c r="D287" s="61">
        <f>'B) D RI'!Z289</f>
        <v>653740.44999999995</v>
      </c>
      <c r="E287" s="73">
        <f t="shared" si="15"/>
        <v>10759574.800000001</v>
      </c>
      <c r="F287" s="18">
        <f>'B) D RI'!U289</f>
        <v>1119854.9833838383</v>
      </c>
      <c r="G287" s="346">
        <f t="shared" si="16"/>
        <v>9.6080072506245919</v>
      </c>
      <c r="H287" s="98">
        <f t="shared" si="17"/>
        <v>5249039.3100000005</v>
      </c>
    </row>
    <row r="288" spans="1:8" x14ac:dyDescent="0.25">
      <c r="A288" s="82">
        <f>'A) Base RI'!A290</f>
        <v>5888</v>
      </c>
      <c r="B288" s="147" t="str">
        <f>'A) Base RI'!B290</f>
        <v>St-Légier-La Chiésaz</v>
      </c>
      <c r="C288" s="18">
        <f>'B) D RI'!Y290</f>
        <v>1110375.2</v>
      </c>
      <c r="D288" s="61">
        <f>'B) D RI'!Z290</f>
        <v>154439.4</v>
      </c>
      <c r="E288" s="73">
        <f t="shared" si="15"/>
        <v>1264814.5999999999</v>
      </c>
      <c r="F288" s="18">
        <f>'B) D RI'!U290</f>
        <v>357526.04545454547</v>
      </c>
      <c r="G288" s="346">
        <f t="shared" si="16"/>
        <v>3.5376852010654525</v>
      </c>
      <c r="H288" s="98">
        <f t="shared" si="17"/>
        <v>601519.41999999993</v>
      </c>
    </row>
    <row r="289" spans="1:8" x14ac:dyDescent="0.25">
      <c r="A289" s="82">
        <f>'A) Base RI'!A291</f>
        <v>5889</v>
      </c>
      <c r="B289" s="147" t="str">
        <f>'A) Base RI'!B291</f>
        <v>La Tour-de-Peilz</v>
      </c>
      <c r="C289" s="18">
        <f>'B) D RI'!Y291</f>
        <v>2782515.35</v>
      </c>
      <c r="D289" s="61">
        <f>'B) D RI'!Z291</f>
        <v>92592.15</v>
      </c>
      <c r="E289" s="73">
        <f t="shared" si="15"/>
        <v>2875107.5</v>
      </c>
      <c r="F289" s="18">
        <f>'B) D RI'!U291</f>
        <v>593029.02942708356</v>
      </c>
      <c r="G289" s="346">
        <f t="shared" si="16"/>
        <v>4.8481732888819931</v>
      </c>
      <c r="H289" s="98">
        <f t="shared" si="17"/>
        <v>1419035.32</v>
      </c>
    </row>
    <row r="290" spans="1:8" x14ac:dyDescent="0.25">
      <c r="A290" s="82">
        <f>'A) Base RI'!A292</f>
        <v>5890</v>
      </c>
      <c r="B290" s="147" t="str">
        <f>'A) Base RI'!B292</f>
        <v>Vevey</v>
      </c>
      <c r="C290" s="18">
        <f>'B) D RI'!Y292</f>
        <v>3825604.3</v>
      </c>
      <c r="D290" s="61">
        <f>'B) D RI'!Z292</f>
        <v>1000064.15</v>
      </c>
      <c r="E290" s="73">
        <f t="shared" si="15"/>
        <v>4825668.45</v>
      </c>
      <c r="F290" s="18">
        <f>'B) D RI'!U292</f>
        <v>920050.18059360737</v>
      </c>
      <c r="G290" s="346">
        <f t="shared" si="16"/>
        <v>5.2450057092391704</v>
      </c>
      <c r="H290" s="98">
        <f t="shared" si="17"/>
        <v>2212821.395</v>
      </c>
    </row>
    <row r="291" spans="1:8" x14ac:dyDescent="0.25">
      <c r="A291" s="82">
        <f>'A) Base RI'!A293</f>
        <v>5891</v>
      </c>
      <c r="B291" s="147" t="str">
        <f>'A) Base RI'!B293</f>
        <v>Veytaux</v>
      </c>
      <c r="C291" s="18">
        <f>'B) D RI'!Y293</f>
        <v>603790.94999999995</v>
      </c>
      <c r="D291" s="61">
        <f>'B) D RI'!Z293</f>
        <v>0</v>
      </c>
      <c r="E291" s="73">
        <f t="shared" si="15"/>
        <v>603790.94999999995</v>
      </c>
      <c r="F291" s="18">
        <f>'B) D RI'!U293</f>
        <v>37637.543719806752</v>
      </c>
      <c r="G291" s="346">
        <f t="shared" si="16"/>
        <v>16.042251707362482</v>
      </c>
      <c r="H291" s="98">
        <f t="shared" si="17"/>
        <v>301895.47499999998</v>
      </c>
    </row>
    <row r="292" spans="1:8" x14ac:dyDescent="0.25">
      <c r="A292" s="82">
        <f>'A) Base RI'!A294</f>
        <v>5902</v>
      </c>
      <c r="B292" s="147" t="str">
        <f>'A) Base RI'!B294</f>
        <v>Belmont-sur-Yverdon</v>
      </c>
      <c r="C292" s="18">
        <f>'B) D RI'!Y294</f>
        <v>89893.95</v>
      </c>
      <c r="D292" s="61">
        <f>'B) D RI'!Z294</f>
        <v>0</v>
      </c>
      <c r="E292" s="73">
        <f t="shared" si="15"/>
        <v>89893.95</v>
      </c>
      <c r="F292" s="18">
        <f>'B) D RI'!U294</f>
        <v>8809.0856578947369</v>
      </c>
      <c r="G292" s="346">
        <f t="shared" si="16"/>
        <v>10.204685649689045</v>
      </c>
      <c r="H292" s="98">
        <f t="shared" si="17"/>
        <v>44946.974999999999</v>
      </c>
    </row>
    <row r="293" spans="1:8" x14ac:dyDescent="0.25">
      <c r="A293" s="82">
        <f>'A) Base RI'!A295</f>
        <v>5903</v>
      </c>
      <c r="B293" s="147" t="str">
        <f>'A) Base RI'!B295</f>
        <v>Bioley-Magnoux</v>
      </c>
      <c r="C293" s="18">
        <f>'B) D RI'!Y295</f>
        <v>15792</v>
      </c>
      <c r="D293" s="61">
        <f>'B) D RI'!Z295</f>
        <v>0</v>
      </c>
      <c r="E293" s="73">
        <f t="shared" si="15"/>
        <v>15792</v>
      </c>
      <c r="F293" s="18">
        <f>'B) D RI'!U295</f>
        <v>6088.8460038610028</v>
      </c>
      <c r="G293" s="346">
        <f t="shared" si="16"/>
        <v>2.5935949094436159</v>
      </c>
      <c r="H293" s="98">
        <f t="shared" si="17"/>
        <v>7896</v>
      </c>
    </row>
    <row r="294" spans="1:8" x14ac:dyDescent="0.25">
      <c r="A294" s="82">
        <f>'A) Base RI'!A296</f>
        <v>5904</v>
      </c>
      <c r="B294" s="147" t="str">
        <f>'A) Base RI'!B296</f>
        <v>Chamblon</v>
      </c>
      <c r="C294" s="18">
        <f>'B) D RI'!Y296</f>
        <v>35506.699999999997</v>
      </c>
      <c r="D294" s="61">
        <f>'B) D RI'!Z296</f>
        <v>37386.25</v>
      </c>
      <c r="E294" s="73">
        <f t="shared" si="15"/>
        <v>72892.95</v>
      </c>
      <c r="F294" s="18">
        <f>'B) D RI'!U296</f>
        <v>21622.015909090911</v>
      </c>
      <c r="G294" s="346">
        <f t="shared" si="16"/>
        <v>3.3712374603032447</v>
      </c>
      <c r="H294" s="98">
        <f t="shared" si="17"/>
        <v>28969.224999999999</v>
      </c>
    </row>
    <row r="295" spans="1:8" x14ac:dyDescent="0.25">
      <c r="A295" s="82">
        <f>'A) Base RI'!A297</f>
        <v>5905</v>
      </c>
      <c r="B295" s="147" t="str">
        <f>'A) Base RI'!B297</f>
        <v>Champvent</v>
      </c>
      <c r="C295" s="18">
        <f>'B) D RI'!Y297</f>
        <v>68296.299999999988</v>
      </c>
      <c r="D295" s="61">
        <f>'B) D RI'!Z297</f>
        <v>87676.25</v>
      </c>
      <c r="E295" s="73">
        <f t="shared" si="15"/>
        <v>155972.54999999999</v>
      </c>
      <c r="F295" s="18">
        <f>'B) D RI'!U297</f>
        <v>20315.716338028171</v>
      </c>
      <c r="G295" s="346">
        <f t="shared" si="16"/>
        <v>7.6774329491912257</v>
      </c>
      <c r="H295" s="98">
        <f t="shared" si="17"/>
        <v>60451.024999999994</v>
      </c>
    </row>
    <row r="296" spans="1:8" x14ac:dyDescent="0.25">
      <c r="A296" s="82">
        <f>'A) Base RI'!A298</f>
        <v>5907</v>
      </c>
      <c r="B296" s="147" t="str">
        <f>'A) Base RI'!B298</f>
        <v>Chavannes-le-Chêne</v>
      </c>
      <c r="C296" s="18">
        <f>'B) D RI'!Y298</f>
        <v>19357.05</v>
      </c>
      <c r="D296" s="61">
        <f>'B) D RI'!Z298</f>
        <v>3609.65</v>
      </c>
      <c r="E296" s="73">
        <f t="shared" si="15"/>
        <v>22966.7</v>
      </c>
      <c r="F296" s="18">
        <f>'B) D RI'!U298</f>
        <v>6770.541794871795</v>
      </c>
      <c r="G296" s="346">
        <f t="shared" si="16"/>
        <v>3.3921509822737739</v>
      </c>
      <c r="H296" s="98">
        <f t="shared" si="17"/>
        <v>10761.42</v>
      </c>
    </row>
    <row r="297" spans="1:8" x14ac:dyDescent="0.25">
      <c r="A297" s="82">
        <f>'A) Base RI'!A299</f>
        <v>5908</v>
      </c>
      <c r="B297" s="147" t="str">
        <f>'A) Base RI'!B299</f>
        <v>Chêne-Pâquier</v>
      </c>
      <c r="C297" s="18">
        <f>'B) D RI'!Y299</f>
        <v>35535.15</v>
      </c>
      <c r="D297" s="61">
        <f>'B) D RI'!Z299</f>
        <v>0</v>
      </c>
      <c r="E297" s="73">
        <f t="shared" si="15"/>
        <v>35535.15</v>
      </c>
      <c r="F297" s="18">
        <f>'B) D RI'!U299</f>
        <v>3326.5444303797472</v>
      </c>
      <c r="G297" s="346">
        <f t="shared" si="16"/>
        <v>10.682301332119417</v>
      </c>
      <c r="H297" s="98">
        <f t="shared" si="17"/>
        <v>17767.575000000001</v>
      </c>
    </row>
    <row r="298" spans="1:8" x14ac:dyDescent="0.25">
      <c r="A298" s="82">
        <f>'A) Base RI'!A300</f>
        <v>5909</v>
      </c>
      <c r="B298" s="147" t="str">
        <f>'A) Base RI'!B300</f>
        <v>Cheseaux-Noréaz</v>
      </c>
      <c r="C298" s="18">
        <f>'B) D RI'!Y300</f>
        <v>329322.40000000002</v>
      </c>
      <c r="D298" s="61">
        <f>'B) D RI'!Z300</f>
        <v>8210.9</v>
      </c>
      <c r="E298" s="73">
        <f t="shared" si="15"/>
        <v>337533.30000000005</v>
      </c>
      <c r="F298" s="18">
        <f>'B) D RI'!U300</f>
        <v>30671.321093750001</v>
      </c>
      <c r="G298" s="346">
        <f t="shared" si="16"/>
        <v>11.004850393248315</v>
      </c>
      <c r="H298" s="98">
        <f t="shared" si="17"/>
        <v>167124.47</v>
      </c>
    </row>
    <row r="299" spans="1:8" x14ac:dyDescent="0.25">
      <c r="A299" s="82">
        <f>'A) Base RI'!A301</f>
        <v>5910</v>
      </c>
      <c r="B299" s="147" t="str">
        <f>'A) Base RI'!B301</f>
        <v>Cronay</v>
      </c>
      <c r="C299" s="18">
        <f>'B) D RI'!Y301</f>
        <v>43609.899999999994</v>
      </c>
      <c r="D299" s="61">
        <f>'B) D RI'!Z301</f>
        <v>0</v>
      </c>
      <c r="E299" s="73">
        <f t="shared" si="15"/>
        <v>43609.899999999994</v>
      </c>
      <c r="F299" s="18">
        <f>'B) D RI'!U301</f>
        <v>9292.7018518518507</v>
      </c>
      <c r="G299" s="346">
        <f t="shared" si="16"/>
        <v>4.6929193140216166</v>
      </c>
      <c r="H299" s="98">
        <f t="shared" si="17"/>
        <v>21804.949999999997</v>
      </c>
    </row>
    <row r="300" spans="1:8" x14ac:dyDescent="0.25">
      <c r="A300" s="82">
        <f>'A) Base RI'!A302</f>
        <v>5911</v>
      </c>
      <c r="B300" s="147" t="str">
        <f>'A) Base RI'!B302</f>
        <v>Cuarny</v>
      </c>
      <c r="C300" s="18">
        <f>'B) D RI'!Y302</f>
        <v>22173.5</v>
      </c>
      <c r="D300" s="61">
        <f>'B) D RI'!Z302</f>
        <v>0</v>
      </c>
      <c r="E300" s="73">
        <f t="shared" si="15"/>
        <v>22173.5</v>
      </c>
      <c r="F300" s="18">
        <f>'B) D RI'!U302</f>
        <v>6815.3613580246902</v>
      </c>
      <c r="G300" s="346">
        <f t="shared" si="16"/>
        <v>3.2534591836267048</v>
      </c>
      <c r="H300" s="98">
        <f t="shared" si="17"/>
        <v>11086.75</v>
      </c>
    </row>
    <row r="301" spans="1:8" x14ac:dyDescent="0.25">
      <c r="A301" s="82">
        <f>'A) Base RI'!A303</f>
        <v>5912</v>
      </c>
      <c r="B301" s="147" t="str">
        <f>'A) Base RI'!B303</f>
        <v>Démoret</v>
      </c>
      <c r="C301" s="18">
        <f>'B) D RI'!Y303</f>
        <v>-514.6</v>
      </c>
      <c r="D301" s="61">
        <f>'B) D RI'!Z303</f>
        <v>0</v>
      </c>
      <c r="E301" s="73">
        <f t="shared" si="15"/>
        <v>-514.6</v>
      </c>
      <c r="F301" s="18">
        <f>'B) D RI'!U303</f>
        <v>3149.2327160493824</v>
      </c>
      <c r="G301" s="346">
        <f t="shared" si="16"/>
        <v>-0.16340488188676963</v>
      </c>
      <c r="H301" s="98">
        <f t="shared" si="17"/>
        <v>-257.3</v>
      </c>
    </row>
    <row r="302" spans="1:8" x14ac:dyDescent="0.25">
      <c r="A302" s="82">
        <f>'A) Base RI'!A304</f>
        <v>5913</v>
      </c>
      <c r="B302" s="147" t="str">
        <f>'A) Base RI'!B304</f>
        <v>Donneloye</v>
      </c>
      <c r="C302" s="18">
        <f>'B) D RI'!Y304</f>
        <v>81292.95</v>
      </c>
      <c r="D302" s="61">
        <f>'B) D RI'!Z304</f>
        <v>7966.35</v>
      </c>
      <c r="E302" s="73">
        <f t="shared" si="15"/>
        <v>89259.3</v>
      </c>
      <c r="F302" s="18">
        <f>'B) D RI'!U304</f>
        <v>23147.804931506846</v>
      </c>
      <c r="G302" s="346">
        <f t="shared" si="16"/>
        <v>3.8560589336273416</v>
      </c>
      <c r="H302" s="98">
        <f t="shared" si="17"/>
        <v>43036.38</v>
      </c>
    </row>
    <row r="303" spans="1:8" x14ac:dyDescent="0.25">
      <c r="A303" s="82">
        <f>'A) Base RI'!A305</f>
        <v>5914</v>
      </c>
      <c r="B303" s="147" t="str">
        <f>'A) Base RI'!B305</f>
        <v>Ependes</v>
      </c>
      <c r="C303" s="18">
        <f>'B) D RI'!Y305</f>
        <v>9606.5</v>
      </c>
      <c r="D303" s="61">
        <f>'B) D RI'!Z305</f>
        <v>0</v>
      </c>
      <c r="E303" s="73">
        <f t="shared" si="15"/>
        <v>9606.5</v>
      </c>
      <c r="F303" s="18">
        <f>'B) D RI'!U305</f>
        <v>8718.0938666666661</v>
      </c>
      <c r="G303" s="346">
        <f t="shared" si="16"/>
        <v>1.1019037127748905</v>
      </c>
      <c r="H303" s="98">
        <f t="shared" si="17"/>
        <v>4803.25</v>
      </c>
    </row>
    <row r="304" spans="1:8" x14ac:dyDescent="0.25">
      <c r="A304" s="82">
        <f>'A) Base RI'!A306</f>
        <v>5915</v>
      </c>
      <c r="B304" s="147" t="str">
        <f>'A) Base RI'!B306</f>
        <v>Essert-Pittet</v>
      </c>
      <c r="C304" s="18">
        <f>'B) D RI'!Y306</f>
        <v>27034.25</v>
      </c>
      <c r="D304" s="61">
        <f>'B) D RI'!Z306</f>
        <v>0</v>
      </c>
      <c r="E304" s="73">
        <f t="shared" si="15"/>
        <v>27034.25</v>
      </c>
      <c r="F304" s="18">
        <f>'B) D RI'!U306</f>
        <v>3469.1017098039219</v>
      </c>
      <c r="G304" s="346">
        <f t="shared" si="16"/>
        <v>7.7928675090728348</v>
      </c>
      <c r="H304" s="98">
        <f t="shared" si="17"/>
        <v>13517.125</v>
      </c>
    </row>
    <row r="305" spans="1:8" x14ac:dyDescent="0.25">
      <c r="A305" s="82">
        <f>'A) Base RI'!A307</f>
        <v>5919</v>
      </c>
      <c r="B305" s="147" t="str">
        <f>'A) Base RI'!B307</f>
        <v>Mathod</v>
      </c>
      <c r="C305" s="18">
        <f>'B) D RI'!Y307</f>
        <v>108693.65</v>
      </c>
      <c r="D305" s="61">
        <f>'B) D RI'!Z307</f>
        <v>10074.6</v>
      </c>
      <c r="E305" s="73">
        <f t="shared" si="15"/>
        <v>118768.25</v>
      </c>
      <c r="F305" s="18">
        <f>'B) D RI'!U307</f>
        <v>14691.435202702703</v>
      </c>
      <c r="G305" s="346">
        <f t="shared" si="16"/>
        <v>8.0841829515846655</v>
      </c>
      <c r="H305" s="98">
        <f t="shared" si="17"/>
        <v>57369.204999999994</v>
      </c>
    </row>
    <row r="306" spans="1:8" x14ac:dyDescent="0.25">
      <c r="A306" s="82">
        <f>'A) Base RI'!A308</f>
        <v>5921</v>
      </c>
      <c r="B306" s="147" t="str">
        <f>'A) Base RI'!B308</f>
        <v>Molondin</v>
      </c>
      <c r="C306" s="18">
        <f>'B) D RI'!Y308</f>
        <v>0</v>
      </c>
      <c r="D306" s="61">
        <f>'B) D RI'!Z308</f>
        <v>3436.8</v>
      </c>
      <c r="E306" s="73">
        <f t="shared" si="15"/>
        <v>3436.8</v>
      </c>
      <c r="F306" s="18">
        <f>'B) D RI'!U308</f>
        <v>4662.1348148148145</v>
      </c>
      <c r="G306" s="346">
        <f t="shared" si="16"/>
        <v>0.73717301976745042</v>
      </c>
      <c r="H306" s="98">
        <f t="shared" si="17"/>
        <v>1031.04</v>
      </c>
    </row>
    <row r="307" spans="1:8" x14ac:dyDescent="0.25">
      <c r="A307" s="82">
        <f>'A) Base RI'!A309</f>
        <v>5922</v>
      </c>
      <c r="B307" s="147" t="str">
        <f>'A) Base RI'!B309</f>
        <v>Montagny-près-Yverdon</v>
      </c>
      <c r="C307" s="18">
        <f>'B) D RI'!Y309</f>
        <v>128404.25</v>
      </c>
      <c r="D307" s="61">
        <f>'B) D RI'!Z309</f>
        <v>174125.75</v>
      </c>
      <c r="E307" s="73">
        <f t="shared" si="15"/>
        <v>302530</v>
      </c>
      <c r="F307" s="18">
        <f>'B) D RI'!U309</f>
        <v>45740.98344262295</v>
      </c>
      <c r="G307" s="346">
        <f t="shared" si="16"/>
        <v>6.6139811003296582</v>
      </c>
      <c r="H307" s="98">
        <f t="shared" si="17"/>
        <v>116439.85</v>
      </c>
    </row>
    <row r="308" spans="1:8" x14ac:dyDescent="0.25">
      <c r="A308" s="82">
        <f>'A) Base RI'!A310</f>
        <v>5923</v>
      </c>
      <c r="B308" s="147" t="str">
        <f>'A) Base RI'!B310</f>
        <v>Oppens</v>
      </c>
      <c r="C308" s="18">
        <f>'B) D RI'!Y310</f>
        <v>11242.05</v>
      </c>
      <c r="D308" s="61">
        <f>'B) D RI'!Z310</f>
        <v>10209.25</v>
      </c>
      <c r="E308" s="73">
        <f t="shared" si="15"/>
        <v>21451.3</v>
      </c>
      <c r="F308" s="18">
        <f>'B) D RI'!U310</f>
        <v>4470.86061728395</v>
      </c>
      <c r="G308" s="346">
        <f t="shared" si="16"/>
        <v>4.798024773367163</v>
      </c>
      <c r="H308" s="98">
        <f t="shared" si="17"/>
        <v>8683.7999999999993</v>
      </c>
    </row>
    <row r="309" spans="1:8" x14ac:dyDescent="0.25">
      <c r="A309" s="82">
        <f>'A) Base RI'!A311</f>
        <v>5924</v>
      </c>
      <c r="B309" s="147" t="str">
        <f>'A) Base RI'!B311</f>
        <v>Orges</v>
      </c>
      <c r="C309" s="18">
        <f>'B) D RI'!Y311</f>
        <v>28557.85</v>
      </c>
      <c r="D309" s="61">
        <f>'B) D RI'!Z311</f>
        <v>15308.95</v>
      </c>
      <c r="E309" s="73">
        <f t="shared" si="15"/>
        <v>43866.8</v>
      </c>
      <c r="F309" s="18">
        <f>'B) D RI'!U311</f>
        <v>7786.4310810810803</v>
      </c>
      <c r="G309" s="346">
        <f t="shared" si="16"/>
        <v>5.6337492161953957</v>
      </c>
      <c r="H309" s="98">
        <f t="shared" si="17"/>
        <v>18871.61</v>
      </c>
    </row>
    <row r="310" spans="1:8" x14ac:dyDescent="0.25">
      <c r="A310" s="82">
        <f>'A) Base RI'!A312</f>
        <v>5925</v>
      </c>
      <c r="B310" s="147" t="str">
        <f>'A) Base RI'!B312</f>
        <v>Orzens</v>
      </c>
      <c r="C310" s="18">
        <f>'B) D RI'!Y312</f>
        <v>0</v>
      </c>
      <c r="D310" s="61">
        <f>'B) D RI'!Z312</f>
        <v>0</v>
      </c>
      <c r="E310" s="73">
        <f t="shared" si="15"/>
        <v>0</v>
      </c>
      <c r="F310" s="18">
        <f>'B) D RI'!U312</f>
        <v>5069.9973417721512</v>
      </c>
      <c r="G310" s="346">
        <f t="shared" si="16"/>
        <v>0</v>
      </c>
      <c r="H310" s="98">
        <f t="shared" si="17"/>
        <v>0</v>
      </c>
    </row>
    <row r="311" spans="1:8" x14ac:dyDescent="0.25">
      <c r="A311" s="82">
        <f>'A) Base RI'!A313</f>
        <v>5926</v>
      </c>
      <c r="B311" s="147" t="str">
        <f>'A) Base RI'!B313</f>
        <v>Pomy</v>
      </c>
      <c r="C311" s="18">
        <f>'B) D RI'!Y313</f>
        <v>90063.5</v>
      </c>
      <c r="D311" s="61">
        <f>'B) D RI'!Z313</f>
        <v>6559.65</v>
      </c>
      <c r="E311" s="73">
        <f t="shared" si="15"/>
        <v>96623.15</v>
      </c>
      <c r="F311" s="18">
        <f>'B) D RI'!U313</f>
        <v>22116.912816901407</v>
      </c>
      <c r="G311" s="346">
        <f t="shared" si="16"/>
        <v>4.3687448967182281</v>
      </c>
      <c r="H311" s="98">
        <f t="shared" si="17"/>
        <v>46999.644999999997</v>
      </c>
    </row>
    <row r="312" spans="1:8" x14ac:dyDescent="0.25">
      <c r="A312" s="82">
        <f>'A) Base RI'!A314</f>
        <v>5928</v>
      </c>
      <c r="B312" s="147" t="str">
        <f>'A) Base RI'!B314</f>
        <v>Rovray</v>
      </c>
      <c r="C312" s="18">
        <f>'B) D RI'!Y314</f>
        <v>18020.650000000001</v>
      </c>
      <c r="D312" s="61">
        <f>'B) D RI'!Z314</f>
        <v>0</v>
      </c>
      <c r="E312" s="73">
        <f t="shared" si="15"/>
        <v>18020.650000000001</v>
      </c>
      <c r="F312" s="18">
        <f>'B) D RI'!U314</f>
        <v>4108.2366666666667</v>
      </c>
      <c r="G312" s="346">
        <f t="shared" si="16"/>
        <v>4.3864683225812211</v>
      </c>
      <c r="H312" s="98">
        <f t="shared" si="17"/>
        <v>9010.3250000000007</v>
      </c>
    </row>
    <row r="313" spans="1:8" x14ac:dyDescent="0.25">
      <c r="A313" s="82">
        <f>'A) Base RI'!A315</f>
        <v>5929</v>
      </c>
      <c r="B313" s="147" t="str">
        <f>'A) Base RI'!B315</f>
        <v>Suchy</v>
      </c>
      <c r="C313" s="18">
        <f>'B) D RI'!Y315</f>
        <v>14567.249999999998</v>
      </c>
      <c r="D313" s="61">
        <f>'B) D RI'!Z315</f>
        <v>13489.85</v>
      </c>
      <c r="E313" s="73">
        <f t="shared" si="15"/>
        <v>28057.1</v>
      </c>
      <c r="F313" s="18">
        <f>'B) D RI'!U315</f>
        <v>16171.057696078431</v>
      </c>
      <c r="G313" s="346">
        <f t="shared" si="16"/>
        <v>1.7350194728947135</v>
      </c>
      <c r="H313" s="98">
        <f t="shared" si="17"/>
        <v>11330.579999999998</v>
      </c>
    </row>
    <row r="314" spans="1:8" x14ac:dyDescent="0.25">
      <c r="A314" s="82">
        <f>'A) Base RI'!A316</f>
        <v>5930</v>
      </c>
      <c r="B314" s="147" t="str">
        <f>'A) Base RI'!B316</f>
        <v>Suscévaz</v>
      </c>
      <c r="C314" s="18">
        <f>'B) D RI'!Y316</f>
        <v>139906.29999999999</v>
      </c>
      <c r="D314" s="61">
        <f>'B) D RI'!Z316</f>
        <v>8738.75</v>
      </c>
      <c r="E314" s="73">
        <f t="shared" si="15"/>
        <v>148645.04999999999</v>
      </c>
      <c r="F314" s="18">
        <f>'B) D RI'!U316</f>
        <v>4973.4774242424237</v>
      </c>
      <c r="G314" s="346">
        <f t="shared" si="16"/>
        <v>29.887548956280241</v>
      </c>
      <c r="H314" s="98">
        <f t="shared" si="17"/>
        <v>72574.774999999994</v>
      </c>
    </row>
    <row r="315" spans="1:8" x14ac:dyDescent="0.25">
      <c r="A315" s="82">
        <f>'A) Base RI'!A317</f>
        <v>5931</v>
      </c>
      <c r="B315" s="147" t="str">
        <f>'A) Base RI'!B317</f>
        <v>Treycovagnes</v>
      </c>
      <c r="C315" s="18">
        <f>'B) D RI'!Y317</f>
        <v>18084</v>
      </c>
      <c r="D315" s="61">
        <f>'B) D RI'!Z317</f>
        <v>4957.5</v>
      </c>
      <c r="E315" s="73">
        <f t="shared" si="15"/>
        <v>23041.5</v>
      </c>
      <c r="F315" s="18">
        <f>'B) D RI'!U317</f>
        <v>11474.723896103897</v>
      </c>
      <c r="G315" s="346">
        <f t="shared" si="16"/>
        <v>2.008022171916787</v>
      </c>
      <c r="H315" s="98">
        <f t="shared" si="17"/>
        <v>10529.25</v>
      </c>
    </row>
    <row r="316" spans="1:8" x14ac:dyDescent="0.25">
      <c r="A316" s="82">
        <f>'A) Base RI'!A318</f>
        <v>5932</v>
      </c>
      <c r="B316" s="147" t="str">
        <f>'A) Base RI'!B318</f>
        <v>Ursins</v>
      </c>
      <c r="C316" s="18">
        <f>'B) D RI'!Y318</f>
        <v>-2770.2000000000007</v>
      </c>
      <c r="D316" s="61">
        <f>'B) D RI'!Z318</f>
        <v>0</v>
      </c>
      <c r="E316" s="73">
        <f t="shared" si="15"/>
        <v>-2770.2000000000007</v>
      </c>
      <c r="F316" s="18">
        <f>'B) D RI'!U318</f>
        <v>5257.3797435897432</v>
      </c>
      <c r="G316" s="346">
        <f t="shared" si="16"/>
        <v>-0.5269164745760796</v>
      </c>
      <c r="H316" s="98">
        <f t="shared" si="17"/>
        <v>-1385.1000000000004</v>
      </c>
    </row>
    <row r="317" spans="1:8" x14ac:dyDescent="0.25">
      <c r="A317" s="82">
        <f>'A) Base RI'!A319</f>
        <v>5933</v>
      </c>
      <c r="B317" s="147" t="str">
        <f>'A) Base RI'!B319</f>
        <v>Valeyres-sous-Montagny</v>
      </c>
      <c r="C317" s="18">
        <f>'B) D RI'!Y319</f>
        <v>16849.150000000001</v>
      </c>
      <c r="D317" s="61">
        <f>'B) D RI'!Z319</f>
        <v>8464.1</v>
      </c>
      <c r="E317" s="73">
        <f t="shared" si="15"/>
        <v>25313.25</v>
      </c>
      <c r="F317" s="18">
        <f>'B) D RI'!U319</f>
        <v>19712.293888888889</v>
      </c>
      <c r="G317" s="346">
        <f t="shared" si="16"/>
        <v>1.2841351768942613</v>
      </c>
      <c r="H317" s="98">
        <f t="shared" si="17"/>
        <v>10963.805</v>
      </c>
    </row>
    <row r="318" spans="1:8" x14ac:dyDescent="0.25">
      <c r="A318" s="82">
        <f>'A) Base RI'!A320</f>
        <v>5934</v>
      </c>
      <c r="B318" s="147" t="str">
        <f>'A) Base RI'!B320</f>
        <v>Valeyres-sous-Ursins</v>
      </c>
      <c r="C318" s="18">
        <f>'B) D RI'!Y320</f>
        <v>0</v>
      </c>
      <c r="D318" s="61">
        <f>'B) D RI'!Z320</f>
        <v>9194.9</v>
      </c>
      <c r="E318" s="73">
        <f t="shared" si="15"/>
        <v>9194.9</v>
      </c>
      <c r="F318" s="18">
        <f>'B) D RI'!U320</f>
        <v>5945.0260256410256</v>
      </c>
      <c r="G318" s="346">
        <f t="shared" si="16"/>
        <v>1.5466542888697539</v>
      </c>
      <c r="H318" s="98">
        <f t="shared" si="17"/>
        <v>2758.47</v>
      </c>
    </row>
    <row r="319" spans="1:8" x14ac:dyDescent="0.25">
      <c r="A319" s="82">
        <f>'A) Base RI'!A321</f>
        <v>5935</v>
      </c>
      <c r="B319" s="147" t="str">
        <f>'A) Base RI'!B321</f>
        <v>Villars-Epeney</v>
      </c>
      <c r="C319" s="18">
        <f>'B) D RI'!Y321</f>
        <v>30617.5</v>
      </c>
      <c r="D319" s="61">
        <f>'B) D RI'!Z321</f>
        <v>0</v>
      </c>
      <c r="E319" s="73">
        <f t="shared" si="15"/>
        <v>30617.5</v>
      </c>
      <c r="F319" s="18">
        <f>'B) D RI'!U321</f>
        <v>3981.1370000000011</v>
      </c>
      <c r="G319" s="346">
        <f t="shared" si="16"/>
        <v>7.6906421456985763</v>
      </c>
      <c r="H319" s="98">
        <f t="shared" si="17"/>
        <v>15308.75</v>
      </c>
    </row>
    <row r="320" spans="1:8" x14ac:dyDescent="0.25">
      <c r="A320" s="82">
        <f>'A) Base RI'!A322</f>
        <v>5937</v>
      </c>
      <c r="B320" s="147" t="str">
        <f>'A) Base RI'!B322</f>
        <v>Vugelles-La Mothe</v>
      </c>
      <c r="C320" s="18">
        <f>'B) D RI'!Y322</f>
        <v>24236.75</v>
      </c>
      <c r="D320" s="61">
        <f>'B) D RI'!Z322</f>
        <v>0</v>
      </c>
      <c r="E320" s="73">
        <f t="shared" si="15"/>
        <v>24236.75</v>
      </c>
      <c r="F320" s="18">
        <f>'B) D RI'!U322</f>
        <v>2078.5690612244898</v>
      </c>
      <c r="G320" s="346">
        <f t="shared" si="16"/>
        <v>11.660305376489188</v>
      </c>
      <c r="H320" s="98">
        <f t="shared" si="17"/>
        <v>12118.375</v>
      </c>
    </row>
    <row r="321" spans="1:8" x14ac:dyDescent="0.25">
      <c r="A321" s="82">
        <f>'A) Base RI'!A323</f>
        <v>5938</v>
      </c>
      <c r="B321" s="147" t="str">
        <f>'A) Base RI'!B323</f>
        <v>Yverdon-les-Bains</v>
      </c>
      <c r="C321" s="18">
        <f>'B) D RI'!Y323</f>
        <v>4514212.9000000004</v>
      </c>
      <c r="D321" s="61">
        <f>'B) D RI'!Z323</f>
        <v>3034589.4</v>
      </c>
      <c r="E321" s="73">
        <f t="shared" si="15"/>
        <v>7548802.3000000007</v>
      </c>
      <c r="F321" s="18">
        <f>'B) D RI'!U323</f>
        <v>756903.16758169921</v>
      </c>
      <c r="G321" s="346">
        <f t="shared" si="16"/>
        <v>9.9732734956287423</v>
      </c>
      <c r="H321" s="98">
        <f t="shared" si="17"/>
        <v>3167483.27</v>
      </c>
    </row>
    <row r="322" spans="1:8" x14ac:dyDescent="0.25">
      <c r="A322" s="84">
        <f>'A) Base RI'!A324</f>
        <v>5939</v>
      </c>
      <c r="B322" s="148" t="str">
        <f>'A) Base RI'!B324</f>
        <v>Yvonand</v>
      </c>
      <c r="C322" s="43">
        <f>'B) D RI'!Y324</f>
        <v>805280.4</v>
      </c>
      <c r="D322" s="185">
        <f>'B) D RI'!Z324</f>
        <v>51826.15</v>
      </c>
      <c r="E322" s="126">
        <f t="shared" si="15"/>
        <v>857106.55</v>
      </c>
      <c r="F322" s="43">
        <f>'B) D RI'!U324</f>
        <v>81342.881095890421</v>
      </c>
      <c r="G322" s="347">
        <f t="shared" si="16"/>
        <v>10.536958347831407</v>
      </c>
      <c r="H322" s="98">
        <f t="shared" si="17"/>
        <v>418188.04499999998</v>
      </c>
    </row>
    <row r="323" spans="1:8" x14ac:dyDescent="0.25">
      <c r="A323" s="60"/>
      <c r="B323" s="54">
        <f>COUNTA(B5:B322)</f>
        <v>318</v>
      </c>
      <c r="C323" s="43">
        <f>SUM(C4:C322)</f>
        <v>206502920.21999997</v>
      </c>
      <c r="D323" s="21">
        <f>SUM(D4:D322)</f>
        <v>61006622.150000013</v>
      </c>
      <c r="E323" s="21">
        <f>SUM(E5:E322)</f>
        <v>267509541.57000008</v>
      </c>
      <c r="F323" s="43">
        <f>SUM(F5:F322)</f>
        <v>34755744.815253168</v>
      </c>
      <c r="G323" s="91">
        <f t="shared" si="16"/>
        <v>7.6968438740693834</v>
      </c>
      <c r="H323" s="67">
        <f t="shared" si="17"/>
        <v>121553446.755</v>
      </c>
    </row>
    <row r="325" spans="1:8" x14ac:dyDescent="0.25">
      <c r="G325" s="24"/>
    </row>
    <row r="326" spans="1:8" x14ac:dyDescent="0.25">
      <c r="G326" s="24"/>
    </row>
    <row r="327" spans="1:8" x14ac:dyDescent="0.25">
      <c r="G327" s="24"/>
    </row>
    <row r="328" spans="1:8" x14ac:dyDescent="0.25">
      <c r="G328" s="24"/>
    </row>
    <row r="329" spans="1:8" x14ac:dyDescent="0.25">
      <c r="G329" s="24"/>
    </row>
    <row r="330" spans="1:8" x14ac:dyDescent="0.25">
      <c r="G330" s="24"/>
    </row>
    <row r="331" spans="1:8" x14ac:dyDescent="0.25">
      <c r="G331" s="24"/>
    </row>
    <row r="332" spans="1:8" x14ac:dyDescent="0.25">
      <c r="G332" s="24"/>
    </row>
    <row r="333" spans="1:8" x14ac:dyDescent="0.25">
      <c r="G333" s="24"/>
    </row>
    <row r="334" spans="1:8" x14ac:dyDescent="0.25">
      <c r="G334" s="24"/>
    </row>
    <row r="335" spans="1:8" x14ac:dyDescent="0.25">
      <c r="G335" s="24"/>
    </row>
    <row r="336" spans="1:8" x14ac:dyDescent="0.25">
      <c r="G336" s="24"/>
    </row>
    <row r="337" spans="7:7" x14ac:dyDescent="0.25">
      <c r="G337" s="24"/>
    </row>
    <row r="338" spans="7:7" x14ac:dyDescent="0.25">
      <c r="G338" s="24"/>
    </row>
    <row r="339" spans="7:7" x14ac:dyDescent="0.25">
      <c r="G339" s="24"/>
    </row>
    <row r="340" spans="7:7" x14ac:dyDescent="0.25">
      <c r="G340" s="24"/>
    </row>
    <row r="341" spans="7:7" x14ac:dyDescent="0.25">
      <c r="G341" s="24"/>
    </row>
  </sheetData>
  <sheetProtection sheet="1" objects="1" scenarios="1"/>
  <mergeCells count="6">
    <mergeCell ref="H3:H4"/>
    <mergeCell ref="G3:G4"/>
    <mergeCell ref="F3:F4"/>
    <mergeCell ref="E3:E4"/>
    <mergeCell ref="A3:A4"/>
    <mergeCell ref="B3:B4"/>
  </mergeCells>
  <phoneticPr fontId="6" type="noConversion"/>
  <printOptions horizontalCentered="1" verticalCentered="1"/>
  <pageMargins left="0" right="0" top="0" bottom="0" header="0.51181102362204722" footer="0.51181102362204722"/>
  <pageSetup paperSize="8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329"/>
  <sheetViews>
    <sheetView workbookViewId="0"/>
  </sheetViews>
  <sheetFormatPr baseColWidth="10" defaultColWidth="11" defaultRowHeight="15" x14ac:dyDescent="0.25"/>
  <cols>
    <col min="1" max="1" width="7.25" style="24" customWidth="1"/>
    <col min="2" max="2" width="18" style="24" customWidth="1"/>
    <col min="3" max="5" width="12.125" style="24" customWidth="1"/>
    <col min="6" max="6" width="8" style="103" bestFit="1" customWidth="1"/>
    <col min="7" max="9" width="5.375" style="24" hidden="1" customWidth="1"/>
    <col min="10" max="10" width="6.125" style="24" hidden="1" customWidth="1"/>
    <col min="11" max="11" width="1.25" style="24" hidden="1" customWidth="1"/>
    <col min="12" max="12" width="8.375" style="24" customWidth="1"/>
    <col min="13" max="13" width="9.75" style="23" customWidth="1"/>
    <col min="14" max="14" width="12.125" style="23" bestFit="1" customWidth="1"/>
    <col min="15" max="15" width="11.75" style="24" customWidth="1"/>
    <col min="16" max="16384" width="11" style="24"/>
  </cols>
  <sheetData>
    <row r="1" spans="1:16" ht="21" x14ac:dyDescent="0.25">
      <c r="A1" s="86" t="s">
        <v>258</v>
      </c>
      <c r="B1" s="74"/>
      <c r="C1" s="101"/>
      <c r="D1" s="75"/>
      <c r="E1" s="75"/>
      <c r="F1" s="102"/>
    </row>
    <row r="2" spans="1:16" x14ac:dyDescent="0.25">
      <c r="G2" s="121">
        <f>$E$323*G4</f>
        <v>55.213933558702834</v>
      </c>
      <c r="H2" s="121">
        <f>$E$323*H4</f>
        <v>69.017416948378539</v>
      </c>
      <c r="I2" s="121">
        <f t="shared" ref="I2:K2" si="0">$E$323*I4</f>
        <v>92.023222597838057</v>
      </c>
      <c r="J2" s="121">
        <f t="shared" si="0"/>
        <v>138.03483389675708</v>
      </c>
      <c r="K2" s="121">
        <f t="shared" si="0"/>
        <v>138.03483389675708</v>
      </c>
    </row>
    <row r="3" spans="1:16" ht="60" customHeight="1" x14ac:dyDescent="0.25">
      <c r="A3" s="435" t="s">
        <v>53</v>
      </c>
      <c r="B3" s="435" t="s">
        <v>123</v>
      </c>
      <c r="C3" s="445" t="s">
        <v>351</v>
      </c>
      <c r="D3" s="446"/>
      <c r="E3" s="447"/>
      <c r="F3" s="443" t="s">
        <v>336</v>
      </c>
      <c r="G3" s="118">
        <f>Paramètres!B16</f>
        <v>0.36</v>
      </c>
      <c r="H3" s="118">
        <f>Paramètres!C16</f>
        <v>0.46</v>
      </c>
      <c r="I3" s="118">
        <f>Paramètres!D16</f>
        <v>0.56000000000000005</v>
      </c>
      <c r="J3" s="118">
        <f>Paramètres!E16</f>
        <v>0.66</v>
      </c>
      <c r="K3" s="118">
        <f>J3</f>
        <v>0.66</v>
      </c>
      <c r="L3" s="443" t="s">
        <v>339</v>
      </c>
      <c r="M3" s="443" t="s">
        <v>352</v>
      </c>
      <c r="N3" s="443" t="s">
        <v>77</v>
      </c>
      <c r="O3" s="443" t="s">
        <v>0</v>
      </c>
      <c r="P3" s="443" t="s">
        <v>1</v>
      </c>
    </row>
    <row r="4" spans="1:16" ht="30" x14ac:dyDescent="0.25">
      <c r="A4" s="436"/>
      <c r="B4" s="436"/>
      <c r="C4" s="342" t="s">
        <v>419</v>
      </c>
      <c r="D4" s="342" t="s">
        <v>350</v>
      </c>
      <c r="E4" s="119" t="s">
        <v>76</v>
      </c>
      <c r="F4" s="444"/>
      <c r="G4" s="120">
        <f>Paramètres!B17</f>
        <v>1.2</v>
      </c>
      <c r="H4" s="120">
        <f>Paramètres!C17</f>
        <v>1.5</v>
      </c>
      <c r="I4" s="120">
        <f>Paramètres!D17</f>
        <v>2</v>
      </c>
      <c r="J4" s="120">
        <f>Paramètres!E17</f>
        <v>3</v>
      </c>
      <c r="K4" s="120">
        <f>J4</f>
        <v>3</v>
      </c>
      <c r="L4" s="448"/>
      <c r="M4" s="444"/>
      <c r="N4" s="444"/>
      <c r="O4" s="448"/>
      <c r="P4" s="448"/>
    </row>
    <row r="5" spans="1:16" x14ac:dyDescent="0.25">
      <c r="A5" s="78">
        <f>'A) Base RI'!A7</f>
        <v>5401</v>
      </c>
      <c r="B5" s="348" t="str">
        <f>'A) Base RI'!B7</f>
        <v>Aigle</v>
      </c>
      <c r="C5" s="152">
        <f>'B) D RI'!U7</f>
        <v>256314.41797530872</v>
      </c>
      <c r="D5" s="79">
        <f>'B) D RI'!AR7</f>
        <v>9771</v>
      </c>
      <c r="E5" s="345">
        <f>C5/D5</f>
        <v>26.232158220786893</v>
      </c>
      <c r="F5" s="111">
        <f>E5/$E$323</f>
        <v>0.57012039961754557</v>
      </c>
      <c r="G5" s="116">
        <f>IF(E5-$G$2&lt;0,0,E5-$G$2)</f>
        <v>0</v>
      </c>
      <c r="H5" s="116">
        <f>IF(E5-$H$2&lt;0,0,E5-$H$2)</f>
        <v>0</v>
      </c>
      <c r="I5" s="116">
        <f>IF(E5-$I$2&lt;0,0,E5-$I$2)</f>
        <v>0</v>
      </c>
      <c r="J5" s="116">
        <f>IF(E5-$J$2&lt;0,0,E5-$J$2)</f>
        <v>0</v>
      </c>
      <c r="K5" s="116">
        <f>IF(E5&gt;$K$2,E5-$K$2,0)</f>
        <v>0</v>
      </c>
      <c r="L5" s="349">
        <f>(G5-H5)*$G$3+(H5-I5)*$H$3+(I5-J5)*$I$3+(K5*$J$3)</f>
        <v>0</v>
      </c>
      <c r="M5" s="163">
        <f>L5*D5*'B) D RI'!S7</f>
        <v>0</v>
      </c>
      <c r="N5" s="90">
        <f>(('B) D RI'!S7*C5)-M5)/'B) D RI'!S7</f>
        <v>256314.41797530872</v>
      </c>
      <c r="O5" s="166">
        <f t="shared" ref="O5:O68" si="1">N5/D5</f>
        <v>26.232158220786893</v>
      </c>
      <c r="P5" s="105">
        <f>O5/O$323</f>
        <v>0.59814527564592734</v>
      </c>
    </row>
    <row r="6" spans="1:16" x14ac:dyDescent="0.25">
      <c r="A6" s="82">
        <f>'A) Base RI'!A8</f>
        <v>5402</v>
      </c>
      <c r="B6" s="83" t="str">
        <f>'A) Base RI'!B8</f>
        <v>Bex</v>
      </c>
      <c r="C6" s="14">
        <f>'B) D RI'!U8</f>
        <v>163724.47859154927</v>
      </c>
      <c r="D6" s="62">
        <f>'B) D RI'!AR8</f>
        <v>7007</v>
      </c>
      <c r="E6" s="346">
        <f t="shared" ref="E6:E60" si="2">C6/D6</f>
        <v>23.365845381982201</v>
      </c>
      <c r="F6" s="112">
        <f t="shared" ref="F6:F69" si="3">E6/$E$323</f>
        <v>0.50782497553027761</v>
      </c>
      <c r="G6" s="116">
        <f t="shared" ref="G6:G69" si="4">IF(E6-$G$2&lt;0,0,E6-$G$2)</f>
        <v>0</v>
      </c>
      <c r="H6" s="116">
        <f t="shared" ref="H6:H69" si="5">IF(E6-$H$2&lt;0,0,E6-$H$2)</f>
        <v>0</v>
      </c>
      <c r="I6" s="116">
        <f t="shared" ref="I6:I69" si="6">IF(E6-$I$2&lt;0,0,E6-$I$2)</f>
        <v>0</v>
      </c>
      <c r="J6" s="116">
        <f t="shared" ref="J6:J69" si="7">IF(E6-$J$2&lt;0,0,E6-$J$2)</f>
        <v>0</v>
      </c>
      <c r="K6" s="116">
        <f t="shared" ref="K6:K69" si="8">IF(E6&gt;$K$2,E6-$K$2,0)</f>
        <v>0</v>
      </c>
      <c r="L6" s="350">
        <f t="shared" ref="L6:L69" si="9">(G6-H6)*$G$3+(H6-I6)*$H$3+(I6-J6)*$I$3+(K6*$J$3)</f>
        <v>0</v>
      </c>
      <c r="M6" s="164">
        <f>L6*D6*'B) D RI'!S8</f>
        <v>0</v>
      </c>
      <c r="N6" s="18">
        <f>(('B) D RI'!S8*C6)-M6)/'B) D RI'!S8</f>
        <v>163724.47859154927</v>
      </c>
      <c r="O6" s="167">
        <f t="shared" si="1"/>
        <v>23.365845381982201</v>
      </c>
      <c r="P6" s="106">
        <f t="shared" ref="P6:P68" si="10">O6/O$323</f>
        <v>0.53278765357670266</v>
      </c>
    </row>
    <row r="7" spans="1:16" x14ac:dyDescent="0.25">
      <c r="A7" s="82">
        <f>'A) Base RI'!A9</f>
        <v>5403</v>
      </c>
      <c r="B7" s="83" t="str">
        <f>'A) Base RI'!B9</f>
        <v>Chessel</v>
      </c>
      <c r="C7" s="14">
        <f>'B) D RI'!U9</f>
        <v>7826.6322368421061</v>
      </c>
      <c r="D7" s="62">
        <f>'B) D RI'!AR9</f>
        <v>362</v>
      </c>
      <c r="E7" s="346">
        <f t="shared" si="2"/>
        <v>21.620531041000294</v>
      </c>
      <c r="F7" s="112">
        <f t="shared" si="3"/>
        <v>0.46989293421046169</v>
      </c>
      <c r="G7" s="116">
        <f t="shared" si="4"/>
        <v>0</v>
      </c>
      <c r="H7" s="116">
        <f t="shared" si="5"/>
        <v>0</v>
      </c>
      <c r="I7" s="116">
        <f t="shared" si="6"/>
        <v>0</v>
      </c>
      <c r="J7" s="116">
        <f t="shared" si="7"/>
        <v>0</v>
      </c>
      <c r="K7" s="116">
        <f t="shared" si="8"/>
        <v>0</v>
      </c>
      <c r="L7" s="350">
        <f t="shared" si="9"/>
        <v>0</v>
      </c>
      <c r="M7" s="164">
        <f>L7*D7*'B) D RI'!S9</f>
        <v>0</v>
      </c>
      <c r="N7" s="18">
        <f>(('B) D RI'!S9*C7)-M7)/'B) D RI'!S9</f>
        <v>7826.6322368421061</v>
      </c>
      <c r="O7" s="167">
        <f t="shared" si="1"/>
        <v>21.620531041000294</v>
      </c>
      <c r="P7" s="106">
        <f t="shared" si="10"/>
        <v>0.4929910223278044</v>
      </c>
    </row>
    <row r="8" spans="1:16" x14ac:dyDescent="0.25">
      <c r="A8" s="82">
        <f>'A) Base RI'!A10</f>
        <v>5404</v>
      </c>
      <c r="B8" s="83" t="str">
        <f>'A) Base RI'!B10</f>
        <v>Corbeyrier</v>
      </c>
      <c r="C8" s="14">
        <f>'B) D RI'!U10</f>
        <v>8762.5650952380947</v>
      </c>
      <c r="D8" s="62">
        <f>'B) D RI'!AR10</f>
        <v>421</v>
      </c>
      <c r="E8" s="346">
        <f t="shared" si="2"/>
        <v>20.813693812917091</v>
      </c>
      <c r="F8" s="112">
        <f t="shared" si="3"/>
        <v>0.45235742077578744</v>
      </c>
      <c r="G8" s="116">
        <f t="shared" si="4"/>
        <v>0</v>
      </c>
      <c r="H8" s="116">
        <f t="shared" si="5"/>
        <v>0</v>
      </c>
      <c r="I8" s="116">
        <f t="shared" si="6"/>
        <v>0</v>
      </c>
      <c r="J8" s="116">
        <f t="shared" si="7"/>
        <v>0</v>
      </c>
      <c r="K8" s="116">
        <f t="shared" si="8"/>
        <v>0</v>
      </c>
      <c r="L8" s="350">
        <f t="shared" si="9"/>
        <v>0</v>
      </c>
      <c r="M8" s="164">
        <f>L8*D8*'B) D RI'!S10</f>
        <v>0</v>
      </c>
      <c r="N8" s="18">
        <f>(('B) D RI'!S10*C8)-M8)/'B) D RI'!S10</f>
        <v>8762.5650952380947</v>
      </c>
      <c r="O8" s="167">
        <f t="shared" si="1"/>
        <v>20.813693812917091</v>
      </c>
      <c r="P8" s="106">
        <f t="shared" si="10"/>
        <v>0.47459353203625848</v>
      </c>
    </row>
    <row r="9" spans="1:16" x14ac:dyDescent="0.25">
      <c r="A9" s="82">
        <f>'A) Base RI'!A11</f>
        <v>5405</v>
      </c>
      <c r="B9" s="83" t="str">
        <f>'A) Base RI'!B11</f>
        <v>Gryon</v>
      </c>
      <c r="C9" s="14">
        <f>'B) D RI'!U11</f>
        <v>67187.701777777766</v>
      </c>
      <c r="D9" s="62">
        <f>'B) D RI'!AR11</f>
        <v>1248</v>
      </c>
      <c r="E9" s="346">
        <f t="shared" si="2"/>
        <v>53.836299501424492</v>
      </c>
      <c r="F9" s="112">
        <f t="shared" si="3"/>
        <v>1.1700589912331389</v>
      </c>
      <c r="G9" s="116">
        <f t="shared" si="4"/>
        <v>0</v>
      </c>
      <c r="H9" s="116">
        <f t="shared" si="5"/>
        <v>0</v>
      </c>
      <c r="I9" s="116">
        <f t="shared" si="6"/>
        <v>0</v>
      </c>
      <c r="J9" s="116">
        <f t="shared" si="7"/>
        <v>0</v>
      </c>
      <c r="K9" s="116">
        <f t="shared" si="8"/>
        <v>0</v>
      </c>
      <c r="L9" s="350">
        <f t="shared" si="9"/>
        <v>0</v>
      </c>
      <c r="M9" s="164">
        <f>L9*D9*'B) D RI'!S11</f>
        <v>0</v>
      </c>
      <c r="N9" s="18">
        <f>(('B) D RI'!S11*C9)-M9)/'B) D RI'!S11</f>
        <v>67187.701777777766</v>
      </c>
      <c r="O9" s="167">
        <f t="shared" si="1"/>
        <v>53.836299501424492</v>
      </c>
      <c r="P9" s="106">
        <f t="shared" si="10"/>
        <v>1.2275744883056856</v>
      </c>
    </row>
    <row r="10" spans="1:16" x14ac:dyDescent="0.25">
      <c r="A10" s="82">
        <f>'A) Base RI'!A12</f>
        <v>5406</v>
      </c>
      <c r="B10" s="83" t="str">
        <f>'A) Base RI'!B12</f>
        <v>Lavey-Morcles</v>
      </c>
      <c r="C10" s="14">
        <f>'B) D RI'!U12</f>
        <v>19209.951419284946</v>
      </c>
      <c r="D10" s="62">
        <f>'B) D RI'!AR12</f>
        <v>885</v>
      </c>
      <c r="E10" s="346">
        <f t="shared" si="2"/>
        <v>21.706159795802197</v>
      </c>
      <c r="F10" s="112">
        <f t="shared" si="3"/>
        <v>0.4717539591210132</v>
      </c>
      <c r="G10" s="116">
        <f t="shared" si="4"/>
        <v>0</v>
      </c>
      <c r="H10" s="116">
        <f t="shared" si="5"/>
        <v>0</v>
      </c>
      <c r="I10" s="116">
        <f t="shared" si="6"/>
        <v>0</v>
      </c>
      <c r="J10" s="116">
        <f t="shared" si="7"/>
        <v>0</v>
      </c>
      <c r="K10" s="116">
        <f t="shared" si="8"/>
        <v>0</v>
      </c>
      <c r="L10" s="350">
        <f t="shared" si="9"/>
        <v>0</v>
      </c>
      <c r="M10" s="164">
        <f>L10*D10*'B) D RI'!S12</f>
        <v>0</v>
      </c>
      <c r="N10" s="18">
        <f>(('B) D RI'!S12*C10)-M10)/'B) D RI'!S12</f>
        <v>19209.951419284946</v>
      </c>
      <c r="O10" s="167">
        <f t="shared" si="1"/>
        <v>21.706159795802197</v>
      </c>
      <c r="P10" s="106">
        <f t="shared" si="10"/>
        <v>0.4949435279018069</v>
      </c>
    </row>
    <row r="11" spans="1:16" x14ac:dyDescent="0.25">
      <c r="A11" s="82">
        <f>'A) Base RI'!A13</f>
        <v>5407</v>
      </c>
      <c r="B11" s="83" t="str">
        <f>'A) Base RI'!B13</f>
        <v>Leysin</v>
      </c>
      <c r="C11" s="14">
        <f>'B) D RI'!U13</f>
        <v>99721.08303418805</v>
      </c>
      <c r="D11" s="62">
        <f>'B) D RI'!AR13</f>
        <v>4050</v>
      </c>
      <c r="E11" s="346">
        <f t="shared" si="2"/>
        <v>24.622489638071123</v>
      </c>
      <c r="F11" s="112">
        <f t="shared" si="3"/>
        <v>0.53513643497743779</v>
      </c>
      <c r="G11" s="116">
        <f t="shared" si="4"/>
        <v>0</v>
      </c>
      <c r="H11" s="116">
        <f t="shared" si="5"/>
        <v>0</v>
      </c>
      <c r="I11" s="116">
        <f t="shared" si="6"/>
        <v>0</v>
      </c>
      <c r="J11" s="116">
        <f t="shared" si="7"/>
        <v>0</v>
      </c>
      <c r="K11" s="116">
        <f t="shared" si="8"/>
        <v>0</v>
      </c>
      <c r="L11" s="350">
        <f t="shared" si="9"/>
        <v>0</v>
      </c>
      <c r="M11" s="164">
        <f>L11*D11*'B) D RI'!S13</f>
        <v>0</v>
      </c>
      <c r="N11" s="18">
        <f>(('B) D RI'!S13*C11)-M11)/'B) D RI'!S13</f>
        <v>99721.08303418805</v>
      </c>
      <c r="O11" s="167">
        <f t="shared" si="1"/>
        <v>24.622489638071123</v>
      </c>
      <c r="P11" s="106">
        <f t="shared" si="10"/>
        <v>0.56144163692876836</v>
      </c>
    </row>
    <row r="12" spans="1:16" x14ac:dyDescent="0.25">
      <c r="A12" s="82">
        <f>'A) Base RI'!A14</f>
        <v>5408</v>
      </c>
      <c r="B12" s="83" t="str">
        <f>'A) Base RI'!B14</f>
        <v>Noville</v>
      </c>
      <c r="C12" s="14">
        <f>'B) D RI'!U14</f>
        <v>27782.072271762208</v>
      </c>
      <c r="D12" s="62">
        <f>'B) D RI'!AR14</f>
        <v>971</v>
      </c>
      <c r="E12" s="346">
        <f t="shared" si="2"/>
        <v>28.611814903977557</v>
      </c>
      <c r="F12" s="112">
        <f t="shared" si="3"/>
        <v>0.62183901185503032</v>
      </c>
      <c r="G12" s="116">
        <f t="shared" si="4"/>
        <v>0</v>
      </c>
      <c r="H12" s="116">
        <f t="shared" si="5"/>
        <v>0</v>
      </c>
      <c r="I12" s="116">
        <f t="shared" si="6"/>
        <v>0</v>
      </c>
      <c r="J12" s="116">
        <f t="shared" si="7"/>
        <v>0</v>
      </c>
      <c r="K12" s="116">
        <f t="shared" si="8"/>
        <v>0</v>
      </c>
      <c r="L12" s="350">
        <f t="shared" si="9"/>
        <v>0</v>
      </c>
      <c r="M12" s="164">
        <f>L12*D12*'B) D RI'!S14</f>
        <v>0</v>
      </c>
      <c r="N12" s="18">
        <f>(('B) D RI'!S14*C12)-M12)/'B) D RI'!S14</f>
        <v>27782.072271762208</v>
      </c>
      <c r="O12" s="167">
        <f t="shared" si="1"/>
        <v>28.611814903977557</v>
      </c>
      <c r="P12" s="106">
        <f t="shared" si="10"/>
        <v>0.65240617140332779</v>
      </c>
    </row>
    <row r="13" spans="1:16" x14ac:dyDescent="0.25">
      <c r="A13" s="82">
        <f>'A) Base RI'!A15</f>
        <v>5409</v>
      </c>
      <c r="B13" s="83" t="str">
        <f>'A) Base RI'!B15</f>
        <v>Ollon</v>
      </c>
      <c r="C13" s="14">
        <f>'B) D RI'!U15</f>
        <v>373016.06252262433</v>
      </c>
      <c r="D13" s="62">
        <f>'B) D RI'!AR15</f>
        <v>7152</v>
      </c>
      <c r="E13" s="346">
        <f t="shared" si="2"/>
        <v>52.155489726317718</v>
      </c>
      <c r="F13" s="112">
        <f t="shared" si="3"/>
        <v>1.1335288692126944</v>
      </c>
      <c r="G13" s="116">
        <f t="shared" si="4"/>
        <v>0</v>
      </c>
      <c r="H13" s="116">
        <f t="shared" si="5"/>
        <v>0</v>
      </c>
      <c r="I13" s="116">
        <f t="shared" si="6"/>
        <v>0</v>
      </c>
      <c r="J13" s="116">
        <f t="shared" si="7"/>
        <v>0</v>
      </c>
      <c r="K13" s="116">
        <f t="shared" si="8"/>
        <v>0</v>
      </c>
      <c r="L13" s="350">
        <f t="shared" si="9"/>
        <v>0</v>
      </c>
      <c r="M13" s="164">
        <f>L13*D13*'B) D RI'!S15</f>
        <v>0</v>
      </c>
      <c r="N13" s="18">
        <f>(('B) D RI'!S15*C13)-M13)/'B) D RI'!S15</f>
        <v>373016.06252262433</v>
      </c>
      <c r="O13" s="167">
        <f t="shared" si="1"/>
        <v>52.155489726317718</v>
      </c>
      <c r="P13" s="106">
        <f t="shared" si="10"/>
        <v>1.1892486891938558</v>
      </c>
    </row>
    <row r="14" spans="1:16" x14ac:dyDescent="0.25">
      <c r="A14" s="82">
        <f>'A) Base RI'!A16</f>
        <v>5410</v>
      </c>
      <c r="B14" s="83" t="str">
        <f>'A) Base RI'!B16</f>
        <v>Ormont-Dessous</v>
      </c>
      <c r="C14" s="14">
        <f>'B) D RI'!U16</f>
        <v>31634.392526539275</v>
      </c>
      <c r="D14" s="62">
        <f>'B) D RI'!AR16</f>
        <v>1072</v>
      </c>
      <c r="E14" s="346">
        <f t="shared" si="2"/>
        <v>29.509694521025445</v>
      </c>
      <c r="F14" s="112">
        <f t="shared" si="3"/>
        <v>0.64135320820026853</v>
      </c>
      <c r="G14" s="116">
        <f t="shared" si="4"/>
        <v>0</v>
      </c>
      <c r="H14" s="116">
        <f t="shared" si="5"/>
        <v>0</v>
      </c>
      <c r="I14" s="116">
        <f t="shared" si="6"/>
        <v>0</v>
      </c>
      <c r="J14" s="116">
        <f t="shared" si="7"/>
        <v>0</v>
      </c>
      <c r="K14" s="116">
        <f t="shared" si="8"/>
        <v>0</v>
      </c>
      <c r="L14" s="350">
        <f t="shared" si="9"/>
        <v>0</v>
      </c>
      <c r="M14" s="164">
        <f>L14*D14*'B) D RI'!S16</f>
        <v>0</v>
      </c>
      <c r="N14" s="18">
        <f>(('B) D RI'!S16*C14)-M14)/'B) D RI'!S16</f>
        <v>31634.392526539275</v>
      </c>
      <c r="O14" s="167">
        <f t="shared" si="1"/>
        <v>29.509694521025445</v>
      </c>
      <c r="P14" s="106">
        <f t="shared" si="10"/>
        <v>0.67287960887331033</v>
      </c>
    </row>
    <row r="15" spans="1:16" x14ac:dyDescent="0.25">
      <c r="A15" s="82">
        <f>'A) Base RI'!A17</f>
        <v>5411</v>
      </c>
      <c r="B15" s="83" t="str">
        <f>'A) Base RI'!B17</f>
        <v>Ormont-Dessus</v>
      </c>
      <c r="C15" s="14">
        <f>'B) D RI'!U17</f>
        <v>68022.060675675675</v>
      </c>
      <c r="D15" s="62">
        <f>'B) D RI'!AR17</f>
        <v>1457</v>
      </c>
      <c r="E15" s="346">
        <f t="shared" si="2"/>
        <v>46.686383442467864</v>
      </c>
      <c r="F15" s="112">
        <f t="shared" si="3"/>
        <v>1.0146652578447017</v>
      </c>
      <c r="G15" s="116">
        <f t="shared" si="4"/>
        <v>0</v>
      </c>
      <c r="H15" s="116">
        <f t="shared" si="5"/>
        <v>0</v>
      </c>
      <c r="I15" s="116">
        <f t="shared" si="6"/>
        <v>0</v>
      </c>
      <c r="J15" s="116">
        <f t="shared" si="7"/>
        <v>0</v>
      </c>
      <c r="K15" s="116">
        <f t="shared" si="8"/>
        <v>0</v>
      </c>
      <c r="L15" s="350">
        <f t="shared" si="9"/>
        <v>0</v>
      </c>
      <c r="M15" s="164">
        <f>L15*D15*'B) D RI'!S17</f>
        <v>0</v>
      </c>
      <c r="N15" s="18">
        <f>(('B) D RI'!S17*C15)-M15)/'B) D RI'!S17</f>
        <v>68022.060675675675</v>
      </c>
      <c r="O15" s="167">
        <f t="shared" si="1"/>
        <v>46.686383442467864</v>
      </c>
      <c r="P15" s="106">
        <f t="shared" si="10"/>
        <v>1.06454221029278</v>
      </c>
    </row>
    <row r="16" spans="1:16" x14ac:dyDescent="0.25">
      <c r="A16" s="82">
        <f>'A) Base RI'!A18</f>
        <v>5412</v>
      </c>
      <c r="B16" s="83" t="str">
        <f>'A) Base RI'!B18</f>
        <v>Rennaz</v>
      </c>
      <c r="C16" s="14">
        <f>'B) D RI'!U18</f>
        <v>24549.662992125981</v>
      </c>
      <c r="D16" s="62">
        <f>'B) D RI'!AR18</f>
        <v>802</v>
      </c>
      <c r="E16" s="346">
        <f t="shared" si="2"/>
        <v>30.610552359259326</v>
      </c>
      <c r="F16" s="112">
        <f t="shared" si="3"/>
        <v>0.66527886103346423</v>
      </c>
      <c r="G16" s="116">
        <f t="shared" si="4"/>
        <v>0</v>
      </c>
      <c r="H16" s="116">
        <f t="shared" si="5"/>
        <v>0</v>
      </c>
      <c r="I16" s="116">
        <f t="shared" si="6"/>
        <v>0</v>
      </c>
      <c r="J16" s="116">
        <f t="shared" si="7"/>
        <v>0</v>
      </c>
      <c r="K16" s="116">
        <f t="shared" si="8"/>
        <v>0</v>
      </c>
      <c r="L16" s="350">
        <f t="shared" si="9"/>
        <v>0</v>
      </c>
      <c r="M16" s="164">
        <f>L16*D16*'B) D RI'!S18</f>
        <v>0</v>
      </c>
      <c r="N16" s="18">
        <f>(('B) D RI'!S18*C16)-M16)/'B) D RI'!S18</f>
        <v>24549.662992125981</v>
      </c>
      <c r="O16" s="167">
        <f t="shared" si="1"/>
        <v>30.610552359259326</v>
      </c>
      <c r="P16" s="106">
        <f t="shared" si="10"/>
        <v>0.69798135267781347</v>
      </c>
    </row>
    <row r="17" spans="1:16" x14ac:dyDescent="0.25">
      <c r="A17" s="82">
        <f>'A) Base RI'!A19</f>
        <v>5413</v>
      </c>
      <c r="B17" s="83" t="str">
        <f>'A) Base RI'!B19</f>
        <v>Roche</v>
      </c>
      <c r="C17" s="14">
        <f>'B) D RI'!U19</f>
        <v>35383.920882352941</v>
      </c>
      <c r="D17" s="62">
        <f>'B) D RI'!AR19</f>
        <v>1499</v>
      </c>
      <c r="E17" s="346">
        <f t="shared" si="2"/>
        <v>23.605017266412901</v>
      </c>
      <c r="F17" s="112">
        <f t="shared" si="3"/>
        <v>0.513023052226112</v>
      </c>
      <c r="G17" s="116">
        <f t="shared" si="4"/>
        <v>0</v>
      </c>
      <c r="H17" s="116">
        <f t="shared" si="5"/>
        <v>0</v>
      </c>
      <c r="I17" s="116">
        <f t="shared" si="6"/>
        <v>0</v>
      </c>
      <c r="J17" s="116">
        <f t="shared" si="7"/>
        <v>0</v>
      </c>
      <c r="K17" s="116">
        <f t="shared" si="8"/>
        <v>0</v>
      </c>
      <c r="L17" s="350">
        <f t="shared" si="9"/>
        <v>0</v>
      </c>
      <c r="M17" s="164">
        <f>L17*D17*'B) D RI'!S19</f>
        <v>0</v>
      </c>
      <c r="N17" s="18">
        <f>(('B) D RI'!S19*C17)-M17)/'B) D RI'!S19</f>
        <v>35383.920882352941</v>
      </c>
      <c r="O17" s="167">
        <f t="shared" si="1"/>
        <v>23.605017266412901</v>
      </c>
      <c r="P17" s="106">
        <f t="shared" si="10"/>
        <v>0.53824124727400646</v>
      </c>
    </row>
    <row r="18" spans="1:16" x14ac:dyDescent="0.25">
      <c r="A18" s="82">
        <f>'A) Base RI'!A20</f>
        <v>5414</v>
      </c>
      <c r="B18" s="83" t="str">
        <f>'A) Base RI'!B20</f>
        <v>Villeneuve</v>
      </c>
      <c r="C18" s="14">
        <f>'B) D RI'!U20</f>
        <v>178367.91043478262</v>
      </c>
      <c r="D18" s="62">
        <f>'B) D RI'!AR20</f>
        <v>5188</v>
      </c>
      <c r="E18" s="346">
        <f t="shared" si="2"/>
        <v>34.38086168750629</v>
      </c>
      <c r="F18" s="112">
        <f t="shared" si="3"/>
        <v>0.74722142339566389</v>
      </c>
      <c r="G18" s="116">
        <f t="shared" si="4"/>
        <v>0</v>
      </c>
      <c r="H18" s="116">
        <f t="shared" si="5"/>
        <v>0</v>
      </c>
      <c r="I18" s="116">
        <f t="shared" si="6"/>
        <v>0</v>
      </c>
      <c r="J18" s="116">
        <f t="shared" si="7"/>
        <v>0</v>
      </c>
      <c r="K18" s="116">
        <f t="shared" si="8"/>
        <v>0</v>
      </c>
      <c r="L18" s="350">
        <f t="shared" si="9"/>
        <v>0</v>
      </c>
      <c r="M18" s="164">
        <f>L18*D18*'B) D RI'!S20</f>
        <v>0</v>
      </c>
      <c r="N18" s="18">
        <f>(('B) D RI'!S20*C18)-M18)/'B) D RI'!S20</f>
        <v>178367.91043478262</v>
      </c>
      <c r="O18" s="167">
        <f t="shared" si="1"/>
        <v>34.38086168750629</v>
      </c>
      <c r="P18" s="106">
        <f t="shared" si="10"/>
        <v>0.78395188904899282</v>
      </c>
    </row>
    <row r="19" spans="1:16" x14ac:dyDescent="0.25">
      <c r="A19" s="82">
        <f>'A) Base RI'!A21</f>
        <v>5415</v>
      </c>
      <c r="B19" s="83" t="str">
        <f>'A) Base RI'!B21</f>
        <v>Yvorne</v>
      </c>
      <c r="C19" s="14">
        <f>'B) D RI'!U21</f>
        <v>40073.521995133822</v>
      </c>
      <c r="D19" s="62">
        <f>'B) D RI'!AR21</f>
        <v>1039</v>
      </c>
      <c r="E19" s="346">
        <f t="shared" si="2"/>
        <v>38.569318570869896</v>
      </c>
      <c r="F19" s="112">
        <f t="shared" si="3"/>
        <v>0.83825185604347707</v>
      </c>
      <c r="G19" s="116">
        <f t="shared" si="4"/>
        <v>0</v>
      </c>
      <c r="H19" s="116">
        <f t="shared" si="5"/>
        <v>0</v>
      </c>
      <c r="I19" s="116">
        <f t="shared" si="6"/>
        <v>0</v>
      </c>
      <c r="J19" s="116">
        <f t="shared" si="7"/>
        <v>0</v>
      </c>
      <c r="K19" s="116">
        <f t="shared" si="8"/>
        <v>0</v>
      </c>
      <c r="L19" s="350">
        <f t="shared" si="9"/>
        <v>0</v>
      </c>
      <c r="M19" s="164">
        <f>L19*D19*'B) D RI'!S21</f>
        <v>0</v>
      </c>
      <c r="N19" s="18">
        <f>(('B) D RI'!S21*C19)-M19)/'B) D RI'!S21</f>
        <v>40073.521995133822</v>
      </c>
      <c r="O19" s="167">
        <f t="shared" si="1"/>
        <v>38.569318570869896</v>
      </c>
      <c r="P19" s="106">
        <f t="shared" si="10"/>
        <v>0.87945701965793188</v>
      </c>
    </row>
    <row r="20" spans="1:16" x14ac:dyDescent="0.25">
      <c r="A20" s="82">
        <f>'A) Base RI'!A22</f>
        <v>5421</v>
      </c>
      <c r="B20" s="83" t="str">
        <f>'A) Base RI'!B22</f>
        <v>Apples</v>
      </c>
      <c r="C20" s="14">
        <f>'B) D RI'!U22</f>
        <v>49174.834507042251</v>
      </c>
      <c r="D20" s="62">
        <f>'B) D RI'!AR22</f>
        <v>1341</v>
      </c>
      <c r="E20" s="346">
        <f t="shared" si="2"/>
        <v>36.670271817332029</v>
      </c>
      <c r="F20" s="112">
        <f t="shared" si="3"/>
        <v>0.79697864913054106</v>
      </c>
      <c r="G20" s="116">
        <f t="shared" si="4"/>
        <v>0</v>
      </c>
      <c r="H20" s="116">
        <f t="shared" si="5"/>
        <v>0</v>
      </c>
      <c r="I20" s="116">
        <f t="shared" si="6"/>
        <v>0</v>
      </c>
      <c r="J20" s="116">
        <f t="shared" si="7"/>
        <v>0</v>
      </c>
      <c r="K20" s="116">
        <f t="shared" si="8"/>
        <v>0</v>
      </c>
      <c r="L20" s="350">
        <f t="shared" si="9"/>
        <v>0</v>
      </c>
      <c r="M20" s="164">
        <f>L20*D20*'B) D RI'!S22</f>
        <v>0</v>
      </c>
      <c r="N20" s="18">
        <f>(('B) D RI'!S22*C20)-M20)/'B) D RI'!S22</f>
        <v>49174.834507042251</v>
      </c>
      <c r="O20" s="167">
        <f t="shared" si="1"/>
        <v>36.670271817332029</v>
      </c>
      <c r="P20" s="106">
        <f t="shared" si="10"/>
        <v>0.83615498425928536</v>
      </c>
    </row>
    <row r="21" spans="1:16" x14ac:dyDescent="0.25">
      <c r="A21" s="82">
        <f>'A) Base RI'!A23</f>
        <v>5422</v>
      </c>
      <c r="B21" s="83" t="str">
        <f>'A) Base RI'!B23</f>
        <v>Aubonne</v>
      </c>
      <c r="C21" s="14">
        <f>'B) D RI'!U23</f>
        <v>256689.81279411758</v>
      </c>
      <c r="D21" s="62">
        <f>'B) D RI'!AR23</f>
        <v>3051</v>
      </c>
      <c r="E21" s="346">
        <f t="shared" si="2"/>
        <v>84.133009765361379</v>
      </c>
      <c r="F21" s="112">
        <f t="shared" si="3"/>
        <v>1.8285169197571212</v>
      </c>
      <c r="G21" s="116">
        <f t="shared" si="4"/>
        <v>28.919076206658545</v>
      </c>
      <c r="H21" s="116">
        <f t="shared" si="5"/>
        <v>15.11559281698284</v>
      </c>
      <c r="I21" s="116">
        <f t="shared" si="6"/>
        <v>0</v>
      </c>
      <c r="J21" s="116">
        <f t="shared" si="7"/>
        <v>0</v>
      </c>
      <c r="K21" s="116">
        <f t="shared" si="8"/>
        <v>0</v>
      </c>
      <c r="L21" s="350">
        <f t="shared" si="9"/>
        <v>11.922426716095361</v>
      </c>
      <c r="M21" s="164">
        <f>L21*D21*'B) D RI'!S23</f>
        <v>2473522.0259348722</v>
      </c>
      <c r="N21" s="18">
        <f>(('B) D RI'!S23*C21)-M21)/'B) D RI'!S23</f>
        <v>220314.48888331067</v>
      </c>
      <c r="O21" s="167">
        <f t="shared" si="1"/>
        <v>72.210583049266035</v>
      </c>
      <c r="P21" s="106">
        <f t="shared" si="10"/>
        <v>1.6465446243126809</v>
      </c>
    </row>
    <row r="22" spans="1:16" x14ac:dyDescent="0.25">
      <c r="A22" s="82">
        <f>'A) Base RI'!A24</f>
        <v>5423</v>
      </c>
      <c r="B22" s="83" t="str">
        <f>'A) Base RI'!B24</f>
        <v>Ballens</v>
      </c>
      <c r="C22" s="14">
        <f>'B) D RI'!U24</f>
        <v>16056.117971014495</v>
      </c>
      <c r="D22" s="62">
        <f>'B) D RI'!AR24</f>
        <v>507</v>
      </c>
      <c r="E22" s="346">
        <f t="shared" si="2"/>
        <v>31.668871737701174</v>
      </c>
      <c r="F22" s="112">
        <f t="shared" si="3"/>
        <v>0.68827999810659068</v>
      </c>
      <c r="G22" s="116">
        <f t="shared" si="4"/>
        <v>0</v>
      </c>
      <c r="H22" s="116">
        <f t="shared" si="5"/>
        <v>0</v>
      </c>
      <c r="I22" s="116">
        <f t="shared" si="6"/>
        <v>0</v>
      </c>
      <c r="J22" s="116">
        <f t="shared" si="7"/>
        <v>0</v>
      </c>
      <c r="K22" s="116">
        <f t="shared" si="8"/>
        <v>0</v>
      </c>
      <c r="L22" s="350">
        <f t="shared" si="9"/>
        <v>0</v>
      </c>
      <c r="M22" s="164">
        <f>L22*D22*'B) D RI'!S24</f>
        <v>0</v>
      </c>
      <c r="N22" s="18">
        <f>(('B) D RI'!S24*C22)-M22)/'B) D RI'!S24</f>
        <v>16056.117971014495</v>
      </c>
      <c r="O22" s="167">
        <f t="shared" si="1"/>
        <v>31.668871737701174</v>
      </c>
      <c r="P22" s="106">
        <f t="shared" si="10"/>
        <v>0.72211313516446762</v>
      </c>
    </row>
    <row r="23" spans="1:16" x14ac:dyDescent="0.25">
      <c r="A23" s="82">
        <f>'A) Base RI'!A25</f>
        <v>5424</v>
      </c>
      <c r="B23" s="83" t="str">
        <f>'A) Base RI'!B25</f>
        <v>Berolle</v>
      </c>
      <c r="C23" s="14">
        <f>'B) D RI'!U25</f>
        <v>9358.0229870129861</v>
      </c>
      <c r="D23" s="62">
        <f>'B) D RI'!AR25</f>
        <v>302</v>
      </c>
      <c r="E23" s="346">
        <f t="shared" si="2"/>
        <v>30.986831082824459</v>
      </c>
      <c r="F23" s="112">
        <f t="shared" si="3"/>
        <v>0.67345676902109375</v>
      </c>
      <c r="G23" s="116">
        <f t="shared" si="4"/>
        <v>0</v>
      </c>
      <c r="H23" s="116">
        <f t="shared" si="5"/>
        <v>0</v>
      </c>
      <c r="I23" s="116">
        <f t="shared" si="6"/>
        <v>0</v>
      </c>
      <c r="J23" s="116">
        <f t="shared" si="7"/>
        <v>0</v>
      </c>
      <c r="K23" s="116">
        <f t="shared" si="8"/>
        <v>0</v>
      </c>
      <c r="L23" s="350">
        <f t="shared" si="9"/>
        <v>0</v>
      </c>
      <c r="M23" s="164">
        <f>L23*D23*'B) D RI'!S25</f>
        <v>0</v>
      </c>
      <c r="N23" s="18">
        <f>(('B) D RI'!S25*C23)-M23)/'B) D RI'!S25</f>
        <v>9358.0229870129861</v>
      </c>
      <c r="O23" s="167">
        <f t="shared" si="1"/>
        <v>30.986831082824459</v>
      </c>
      <c r="P23" s="106">
        <f t="shared" si="10"/>
        <v>0.70656125445075313</v>
      </c>
    </row>
    <row r="24" spans="1:16" x14ac:dyDescent="0.25">
      <c r="A24" s="82">
        <f>'A) Base RI'!A26</f>
        <v>5425</v>
      </c>
      <c r="B24" s="83" t="str">
        <f>'A) Base RI'!B26</f>
        <v>Bière</v>
      </c>
      <c r="C24" s="14">
        <f>'B) D RI'!U26</f>
        <v>37126.422058823526</v>
      </c>
      <c r="D24" s="62">
        <f>'B) D RI'!AR26</f>
        <v>1526</v>
      </c>
      <c r="E24" s="346">
        <f t="shared" si="2"/>
        <v>24.329241191889597</v>
      </c>
      <c r="F24" s="112">
        <f t="shared" si="3"/>
        <v>0.52876307751606988</v>
      </c>
      <c r="G24" s="116">
        <f t="shared" si="4"/>
        <v>0</v>
      </c>
      <c r="H24" s="116">
        <f t="shared" si="5"/>
        <v>0</v>
      </c>
      <c r="I24" s="116">
        <f t="shared" si="6"/>
        <v>0</v>
      </c>
      <c r="J24" s="116">
        <f t="shared" si="7"/>
        <v>0</v>
      </c>
      <c r="K24" s="116">
        <f t="shared" si="8"/>
        <v>0</v>
      </c>
      <c r="L24" s="350">
        <f t="shared" si="9"/>
        <v>0</v>
      </c>
      <c r="M24" s="164">
        <f>L24*D24*'B) D RI'!S26</f>
        <v>0</v>
      </c>
      <c r="N24" s="18">
        <f>(('B) D RI'!S26*C24)-M24)/'B) D RI'!S26</f>
        <v>37126.422058823526</v>
      </c>
      <c r="O24" s="167">
        <f t="shared" si="1"/>
        <v>24.329241191889597</v>
      </c>
      <c r="P24" s="106">
        <f t="shared" si="10"/>
        <v>0.55475499028697606</v>
      </c>
    </row>
    <row r="25" spans="1:16" x14ac:dyDescent="0.25">
      <c r="A25" s="82">
        <f>'A) Base RI'!A27</f>
        <v>5426</v>
      </c>
      <c r="B25" s="83" t="str">
        <f>'A) Base RI'!B27</f>
        <v>Bougy-Villars</v>
      </c>
      <c r="C25" s="14">
        <f>'B) D RI'!U27</f>
        <v>52784.469677419351</v>
      </c>
      <c r="D25" s="62">
        <f>'B) D RI'!AR27</f>
        <v>444</v>
      </c>
      <c r="E25" s="346">
        <f t="shared" si="2"/>
        <v>118.88394071490845</v>
      </c>
      <c r="F25" s="112">
        <f t="shared" si="3"/>
        <v>2.5837812969114915</v>
      </c>
      <c r="G25" s="116">
        <f t="shared" si="4"/>
        <v>63.670007156205614</v>
      </c>
      <c r="H25" s="116">
        <f t="shared" si="5"/>
        <v>49.866523766529909</v>
      </c>
      <c r="I25" s="116">
        <f t="shared" si="6"/>
        <v>26.860718117070391</v>
      </c>
      <c r="J25" s="116">
        <f t="shared" si="7"/>
        <v>0</v>
      </c>
      <c r="K25" s="116">
        <f t="shared" si="8"/>
        <v>0</v>
      </c>
      <c r="L25" s="350">
        <f t="shared" si="9"/>
        <v>30.593926764594052</v>
      </c>
      <c r="M25" s="164">
        <f>L25*D25*'B) D RI'!S27</f>
        <v>842189.61597574514</v>
      </c>
      <c r="N25" s="18">
        <f>(('B) D RI'!S27*C25)-M25)/'B) D RI'!S27</f>
        <v>39200.766193939591</v>
      </c>
      <c r="O25" s="167">
        <f t="shared" si="1"/>
        <v>88.290013950314389</v>
      </c>
      <c r="P25" s="106">
        <f t="shared" si="10"/>
        <v>2.013187564919674</v>
      </c>
    </row>
    <row r="26" spans="1:16" x14ac:dyDescent="0.25">
      <c r="A26" s="82">
        <f>'A) Base RI'!A28</f>
        <v>5427</v>
      </c>
      <c r="B26" s="83" t="str">
        <f>'A) Base RI'!B28</f>
        <v>Féchy</v>
      </c>
      <c r="C26" s="14">
        <f>'B) D RI'!U28</f>
        <v>75059.583293269228</v>
      </c>
      <c r="D26" s="62">
        <f>'B) D RI'!AR28</f>
        <v>857</v>
      </c>
      <c r="E26" s="346">
        <f t="shared" si="2"/>
        <v>87.584111194013104</v>
      </c>
      <c r="F26" s="112">
        <f t="shared" si="3"/>
        <v>1.903521931127649</v>
      </c>
      <c r="G26" s="116">
        <f t="shared" si="4"/>
        <v>32.37017763531027</v>
      </c>
      <c r="H26" s="116">
        <f t="shared" si="5"/>
        <v>18.566694245634565</v>
      </c>
      <c r="I26" s="116">
        <f t="shared" si="6"/>
        <v>0</v>
      </c>
      <c r="J26" s="116">
        <f t="shared" si="7"/>
        <v>0</v>
      </c>
      <c r="K26" s="116">
        <f t="shared" si="8"/>
        <v>0</v>
      </c>
      <c r="L26" s="350">
        <f t="shared" si="9"/>
        <v>13.509933373275153</v>
      </c>
      <c r="M26" s="164">
        <f>L26*D26*'B) D RI'!S28</f>
        <v>740992.82565739565</v>
      </c>
      <c r="N26" s="18">
        <f>(('B) D RI'!S28*C26)-M26)/'B) D RI'!S28</f>
        <v>63481.570392372421</v>
      </c>
      <c r="O26" s="167">
        <f t="shared" si="1"/>
        <v>74.074177820737944</v>
      </c>
      <c r="P26" s="106">
        <f t="shared" si="10"/>
        <v>1.689038284151583</v>
      </c>
    </row>
    <row r="27" spans="1:16" x14ac:dyDescent="0.25">
      <c r="A27" s="82">
        <f>'A) Base RI'!A29</f>
        <v>5428</v>
      </c>
      <c r="B27" s="83" t="str">
        <f>'A) Base RI'!B29</f>
        <v>Gimel</v>
      </c>
      <c r="C27" s="14">
        <f>'B) D RI'!U29</f>
        <v>54244.883403263411</v>
      </c>
      <c r="D27" s="62">
        <f>'B) D RI'!AR29</f>
        <v>1923</v>
      </c>
      <c r="E27" s="346">
        <f t="shared" si="2"/>
        <v>28.208467708405308</v>
      </c>
      <c r="F27" s="112">
        <f t="shared" si="3"/>
        <v>0.61307280732131242</v>
      </c>
      <c r="G27" s="116">
        <f t="shared" si="4"/>
        <v>0</v>
      </c>
      <c r="H27" s="116">
        <f t="shared" si="5"/>
        <v>0</v>
      </c>
      <c r="I27" s="116">
        <f t="shared" si="6"/>
        <v>0</v>
      </c>
      <c r="J27" s="116">
        <f t="shared" si="7"/>
        <v>0</v>
      </c>
      <c r="K27" s="116">
        <f t="shared" si="8"/>
        <v>0</v>
      </c>
      <c r="L27" s="350">
        <f t="shared" si="9"/>
        <v>0</v>
      </c>
      <c r="M27" s="164">
        <f>L27*D27*'B) D RI'!S29</f>
        <v>0</v>
      </c>
      <c r="N27" s="18">
        <f>(('B) D RI'!S29*C27)-M27)/'B) D RI'!S29</f>
        <v>54244.883403263411</v>
      </c>
      <c r="O27" s="167">
        <f t="shared" si="1"/>
        <v>28.208467708405308</v>
      </c>
      <c r="P27" s="106">
        <f t="shared" si="10"/>
        <v>0.64320905474041457</v>
      </c>
    </row>
    <row r="28" spans="1:16" x14ac:dyDescent="0.25">
      <c r="A28" s="82">
        <f>'A) Base RI'!A30</f>
        <v>5429</v>
      </c>
      <c r="B28" s="83" t="str">
        <f>'A) Base RI'!B30</f>
        <v>Longirod</v>
      </c>
      <c r="C28" s="14">
        <f>'B) D RI'!U30</f>
        <v>14621.746419753083</v>
      </c>
      <c r="D28" s="62">
        <f>'B) D RI'!AR30</f>
        <v>441</v>
      </c>
      <c r="E28" s="346">
        <f t="shared" si="2"/>
        <v>33.155887573136241</v>
      </c>
      <c r="F28" s="112">
        <f t="shared" si="3"/>
        <v>0.72059827154792966</v>
      </c>
      <c r="G28" s="116">
        <f t="shared" si="4"/>
        <v>0</v>
      </c>
      <c r="H28" s="116">
        <f t="shared" si="5"/>
        <v>0</v>
      </c>
      <c r="I28" s="116">
        <f t="shared" si="6"/>
        <v>0</v>
      </c>
      <c r="J28" s="116">
        <f t="shared" si="7"/>
        <v>0</v>
      </c>
      <c r="K28" s="116">
        <f t="shared" si="8"/>
        <v>0</v>
      </c>
      <c r="L28" s="350">
        <f t="shared" si="9"/>
        <v>0</v>
      </c>
      <c r="M28" s="164">
        <f>L28*D28*'B) D RI'!S30</f>
        <v>0</v>
      </c>
      <c r="N28" s="18">
        <f>(('B) D RI'!S30*C28)-M28)/'B) D RI'!S30</f>
        <v>14621.746419753083</v>
      </c>
      <c r="O28" s="167">
        <f t="shared" si="1"/>
        <v>33.155887573136241</v>
      </c>
      <c r="P28" s="106">
        <f t="shared" si="10"/>
        <v>0.75602004779018317</v>
      </c>
    </row>
    <row r="29" spans="1:16" x14ac:dyDescent="0.25">
      <c r="A29" s="82">
        <f>'A) Base RI'!A31</f>
        <v>5430</v>
      </c>
      <c r="B29" s="83" t="str">
        <f>'A) Base RI'!B31</f>
        <v>Marchissy</v>
      </c>
      <c r="C29" s="14">
        <f>'B) D RI'!U31</f>
        <v>13069.378271604934</v>
      </c>
      <c r="D29" s="62">
        <f>'B) D RI'!AR31</f>
        <v>444</v>
      </c>
      <c r="E29" s="346">
        <f t="shared" si="2"/>
        <v>29.435536647758859</v>
      </c>
      <c r="F29" s="112">
        <f t="shared" si="3"/>
        <v>0.63974148735039849</v>
      </c>
      <c r="G29" s="116">
        <f t="shared" si="4"/>
        <v>0</v>
      </c>
      <c r="H29" s="116">
        <f t="shared" si="5"/>
        <v>0</v>
      </c>
      <c r="I29" s="116">
        <f t="shared" si="6"/>
        <v>0</v>
      </c>
      <c r="J29" s="116">
        <f t="shared" si="7"/>
        <v>0</v>
      </c>
      <c r="K29" s="116">
        <f t="shared" si="8"/>
        <v>0</v>
      </c>
      <c r="L29" s="350">
        <f t="shared" si="9"/>
        <v>0</v>
      </c>
      <c r="M29" s="164">
        <f>L29*D29*'B) D RI'!S31</f>
        <v>0</v>
      </c>
      <c r="N29" s="18">
        <f>(('B) D RI'!S31*C29)-M29)/'B) D RI'!S31</f>
        <v>13069.378271604934</v>
      </c>
      <c r="O29" s="167">
        <f t="shared" si="1"/>
        <v>29.435536647758859</v>
      </c>
      <c r="P29" s="106">
        <f t="shared" si="10"/>
        <v>0.67118866216686623</v>
      </c>
    </row>
    <row r="30" spans="1:16" x14ac:dyDescent="0.25">
      <c r="A30" s="82">
        <f>'A) Base RI'!A32</f>
        <v>5431</v>
      </c>
      <c r="B30" s="83" t="str">
        <f>'A) Base RI'!B32</f>
        <v>Mollens</v>
      </c>
      <c r="C30" s="14">
        <f>'B) D RI'!U32</f>
        <v>8024.3136486486483</v>
      </c>
      <c r="D30" s="62">
        <f>'B) D RI'!AR32</f>
        <v>288</v>
      </c>
      <c r="E30" s="346">
        <f t="shared" si="2"/>
        <v>27.862200168918918</v>
      </c>
      <c r="F30" s="112">
        <f t="shared" si="3"/>
        <v>0.60554715173762008</v>
      </c>
      <c r="G30" s="116">
        <f t="shared" si="4"/>
        <v>0</v>
      </c>
      <c r="H30" s="116">
        <f t="shared" si="5"/>
        <v>0</v>
      </c>
      <c r="I30" s="116">
        <f t="shared" si="6"/>
        <v>0</v>
      </c>
      <c r="J30" s="116">
        <f t="shared" si="7"/>
        <v>0</v>
      </c>
      <c r="K30" s="116">
        <f t="shared" si="8"/>
        <v>0</v>
      </c>
      <c r="L30" s="350">
        <f t="shared" si="9"/>
        <v>0</v>
      </c>
      <c r="M30" s="164">
        <f>L30*D30*'B) D RI'!S32</f>
        <v>0</v>
      </c>
      <c r="N30" s="18">
        <f>(('B) D RI'!S32*C30)-M30)/'B) D RI'!S32</f>
        <v>8024.3136486486483</v>
      </c>
      <c r="O30" s="167">
        <f t="shared" si="1"/>
        <v>27.862200168918918</v>
      </c>
      <c r="P30" s="106">
        <f t="shared" si="10"/>
        <v>0.63531346753367079</v>
      </c>
    </row>
    <row r="31" spans="1:16" x14ac:dyDescent="0.25">
      <c r="A31" s="82">
        <f>'A) Base RI'!A33</f>
        <v>5432</v>
      </c>
      <c r="B31" s="83" t="str">
        <f>'A) Base RI'!B33</f>
        <v>Montherod</v>
      </c>
      <c r="C31" s="14">
        <f>'B) D RI'!U33</f>
        <v>17799.430540540543</v>
      </c>
      <c r="D31" s="62">
        <f>'B) D RI'!AR33</f>
        <v>521</v>
      </c>
      <c r="E31" s="346">
        <f t="shared" si="2"/>
        <v>34.163974166104687</v>
      </c>
      <c r="F31" s="112">
        <f t="shared" si="3"/>
        <v>0.74250766712243599</v>
      </c>
      <c r="G31" s="116">
        <f t="shared" si="4"/>
        <v>0</v>
      </c>
      <c r="H31" s="116">
        <f t="shared" si="5"/>
        <v>0</v>
      </c>
      <c r="I31" s="116">
        <f t="shared" si="6"/>
        <v>0</v>
      </c>
      <c r="J31" s="116">
        <f t="shared" si="7"/>
        <v>0</v>
      </c>
      <c r="K31" s="116">
        <f t="shared" si="8"/>
        <v>0</v>
      </c>
      <c r="L31" s="350">
        <f t="shared" si="9"/>
        <v>0</v>
      </c>
      <c r="M31" s="164">
        <f>L31*D31*'B) D RI'!S33</f>
        <v>0</v>
      </c>
      <c r="N31" s="18">
        <f>(('B) D RI'!S33*C31)-M31)/'B) D RI'!S33</f>
        <v>17799.430540540543</v>
      </c>
      <c r="O31" s="167">
        <f t="shared" si="1"/>
        <v>34.163974166104687</v>
      </c>
      <c r="P31" s="106">
        <f t="shared" si="10"/>
        <v>0.77900642306098566</v>
      </c>
    </row>
    <row r="32" spans="1:16" x14ac:dyDescent="0.25">
      <c r="A32" s="82">
        <f>'A) Base RI'!A34</f>
        <v>5434</v>
      </c>
      <c r="B32" s="83" t="str">
        <f>'A) Base RI'!B34</f>
        <v>Saint-George</v>
      </c>
      <c r="C32" s="14">
        <f>'B) D RI'!U34</f>
        <v>35135.099562043797</v>
      </c>
      <c r="D32" s="62">
        <f>'B) D RI'!AR34</f>
        <v>951</v>
      </c>
      <c r="E32" s="346">
        <f t="shared" si="2"/>
        <v>36.945425406986118</v>
      </c>
      <c r="F32" s="112">
        <f t="shared" si="3"/>
        <v>0.80295873941398122</v>
      </c>
      <c r="G32" s="116">
        <f t="shared" si="4"/>
        <v>0</v>
      </c>
      <c r="H32" s="116">
        <f t="shared" si="5"/>
        <v>0</v>
      </c>
      <c r="I32" s="116">
        <f t="shared" si="6"/>
        <v>0</v>
      </c>
      <c r="J32" s="116">
        <f t="shared" si="7"/>
        <v>0</v>
      </c>
      <c r="K32" s="116">
        <f t="shared" si="8"/>
        <v>0</v>
      </c>
      <c r="L32" s="350">
        <f t="shared" si="9"/>
        <v>0</v>
      </c>
      <c r="M32" s="164">
        <f>L32*D32*'B) D RI'!S34</f>
        <v>0</v>
      </c>
      <c r="N32" s="18">
        <f>(('B) D RI'!S34*C32)-M32)/'B) D RI'!S34</f>
        <v>35135.099562043797</v>
      </c>
      <c r="O32" s="167">
        <f t="shared" si="1"/>
        <v>36.945425406986118</v>
      </c>
      <c r="P32" s="106">
        <f t="shared" si="10"/>
        <v>0.84242903225577048</v>
      </c>
    </row>
    <row r="33" spans="1:16" x14ac:dyDescent="0.25">
      <c r="A33" s="82">
        <f>'A) Base RI'!A35</f>
        <v>5435</v>
      </c>
      <c r="B33" s="83" t="str">
        <f>'A) Base RI'!B35</f>
        <v>Saint-Livres</v>
      </c>
      <c r="C33" s="14">
        <f>'B) D RI'!U35</f>
        <v>21558.748985507245</v>
      </c>
      <c r="D33" s="62">
        <f>'B) D RI'!AR35</f>
        <v>699</v>
      </c>
      <c r="E33" s="346">
        <f t="shared" si="2"/>
        <v>30.84227322676287</v>
      </c>
      <c r="F33" s="112">
        <f t="shared" si="3"/>
        <v>0.67031499997670074</v>
      </c>
      <c r="G33" s="116">
        <f t="shared" si="4"/>
        <v>0</v>
      </c>
      <c r="H33" s="116">
        <f t="shared" si="5"/>
        <v>0</v>
      </c>
      <c r="I33" s="116">
        <f t="shared" si="6"/>
        <v>0</v>
      </c>
      <c r="J33" s="116">
        <f t="shared" si="7"/>
        <v>0</v>
      </c>
      <c r="K33" s="116">
        <f t="shared" si="8"/>
        <v>0</v>
      </c>
      <c r="L33" s="350">
        <f t="shared" si="9"/>
        <v>0</v>
      </c>
      <c r="M33" s="164">
        <f>L33*D33*'B) D RI'!S35</f>
        <v>0</v>
      </c>
      <c r="N33" s="18">
        <f>(('B) D RI'!S35*C33)-M33)/'B) D RI'!S35</f>
        <v>21558.748985507245</v>
      </c>
      <c r="O33" s="167">
        <f t="shared" si="1"/>
        <v>30.84227322676287</v>
      </c>
      <c r="P33" s="106">
        <f t="shared" si="10"/>
        <v>0.7032650483996542</v>
      </c>
    </row>
    <row r="34" spans="1:16" x14ac:dyDescent="0.25">
      <c r="A34" s="82">
        <f>'A) Base RI'!A36</f>
        <v>5436</v>
      </c>
      <c r="B34" s="83" t="str">
        <f>'A) Base RI'!B36</f>
        <v>Saint-Oyens</v>
      </c>
      <c r="C34" s="14">
        <f>'B) D RI'!U36</f>
        <v>11369.478086419756</v>
      </c>
      <c r="D34" s="62">
        <f>'B) D RI'!AR36</f>
        <v>326</v>
      </c>
      <c r="E34" s="346">
        <f t="shared" si="2"/>
        <v>34.875699651594346</v>
      </c>
      <c r="F34" s="112">
        <f t="shared" si="3"/>
        <v>0.75797605576168325</v>
      </c>
      <c r="G34" s="116">
        <f t="shared" si="4"/>
        <v>0</v>
      </c>
      <c r="H34" s="116">
        <f t="shared" si="5"/>
        <v>0</v>
      </c>
      <c r="I34" s="116">
        <f t="shared" si="6"/>
        <v>0</v>
      </c>
      <c r="J34" s="116">
        <f t="shared" si="7"/>
        <v>0</v>
      </c>
      <c r="K34" s="116">
        <f t="shared" si="8"/>
        <v>0</v>
      </c>
      <c r="L34" s="350">
        <f t="shared" si="9"/>
        <v>0</v>
      </c>
      <c r="M34" s="164">
        <f>L34*D34*'B) D RI'!S36</f>
        <v>0</v>
      </c>
      <c r="N34" s="18">
        <f>(('B) D RI'!S36*C34)-M34)/'B) D RI'!S36</f>
        <v>11369.478086419756</v>
      </c>
      <c r="O34" s="167">
        <f t="shared" si="1"/>
        <v>34.875699651594346</v>
      </c>
      <c r="P34" s="106">
        <f t="shared" si="10"/>
        <v>0.79523517683409684</v>
      </c>
    </row>
    <row r="35" spans="1:16" x14ac:dyDescent="0.25">
      <c r="A35" s="82">
        <f>'A) Base RI'!A37</f>
        <v>5437</v>
      </c>
      <c r="B35" s="83" t="str">
        <f>'A) Base RI'!B37</f>
        <v>Saubraz</v>
      </c>
      <c r="C35" s="14">
        <f>'B) D RI'!U37</f>
        <v>8208.7877108433731</v>
      </c>
      <c r="D35" s="62">
        <f>'B) D RI'!AR37</f>
        <v>385</v>
      </c>
      <c r="E35" s="346">
        <f t="shared" si="2"/>
        <v>21.3215265216711</v>
      </c>
      <c r="F35" s="112">
        <f t="shared" si="3"/>
        <v>0.46339447630194197</v>
      </c>
      <c r="G35" s="116">
        <f t="shared" si="4"/>
        <v>0</v>
      </c>
      <c r="H35" s="116">
        <f t="shared" si="5"/>
        <v>0</v>
      </c>
      <c r="I35" s="116">
        <f t="shared" si="6"/>
        <v>0</v>
      </c>
      <c r="J35" s="116">
        <f t="shared" si="7"/>
        <v>0</v>
      </c>
      <c r="K35" s="116">
        <f t="shared" si="8"/>
        <v>0</v>
      </c>
      <c r="L35" s="350">
        <f t="shared" si="9"/>
        <v>0</v>
      </c>
      <c r="M35" s="164">
        <f>L35*D35*'B) D RI'!S37</f>
        <v>0</v>
      </c>
      <c r="N35" s="18">
        <f>(('B) D RI'!S37*C35)-M35)/'B) D RI'!S37</f>
        <v>8208.7877108433731</v>
      </c>
      <c r="O35" s="167">
        <f t="shared" si="1"/>
        <v>21.3215265216711</v>
      </c>
      <c r="P35" s="106">
        <f t="shared" si="10"/>
        <v>0.48617312579301541</v>
      </c>
    </row>
    <row r="36" spans="1:16" x14ac:dyDescent="0.25">
      <c r="A36" s="82">
        <f>'A) Base RI'!A38</f>
        <v>5451</v>
      </c>
      <c r="B36" s="83" t="str">
        <f>'A) Base RI'!B38</f>
        <v>Avenches</v>
      </c>
      <c r="C36" s="14">
        <f>'B) D RI'!U38</f>
        <v>103750.47926470588</v>
      </c>
      <c r="D36" s="62">
        <f>'B) D RI'!AR38</f>
        <v>4030</v>
      </c>
      <c r="E36" s="346">
        <f t="shared" si="2"/>
        <v>25.744535797693768</v>
      </c>
      <c r="F36" s="112">
        <f t="shared" si="3"/>
        <v>0.55952258725393944</v>
      </c>
      <c r="G36" s="116">
        <f t="shared" si="4"/>
        <v>0</v>
      </c>
      <c r="H36" s="116">
        <f t="shared" si="5"/>
        <v>0</v>
      </c>
      <c r="I36" s="116">
        <f t="shared" si="6"/>
        <v>0</v>
      </c>
      <c r="J36" s="116">
        <f t="shared" si="7"/>
        <v>0</v>
      </c>
      <c r="K36" s="116">
        <f t="shared" si="8"/>
        <v>0</v>
      </c>
      <c r="L36" s="350">
        <f t="shared" si="9"/>
        <v>0</v>
      </c>
      <c r="M36" s="164">
        <f>L36*D36*'B) D RI'!S38</f>
        <v>0</v>
      </c>
      <c r="N36" s="18">
        <f>(('B) D RI'!S38*C36)-M36)/'B) D RI'!S38</f>
        <v>103750.47926470588</v>
      </c>
      <c r="O36" s="167">
        <f t="shared" si="1"/>
        <v>25.744535797693768</v>
      </c>
      <c r="P36" s="106">
        <f t="shared" si="10"/>
        <v>0.58702651651763538</v>
      </c>
    </row>
    <row r="37" spans="1:16" x14ac:dyDescent="0.25">
      <c r="A37" s="82">
        <f>'A) Base RI'!A39</f>
        <v>5456</v>
      </c>
      <c r="B37" s="83" t="str">
        <f>'A) Base RI'!B39</f>
        <v>Cudrefin</v>
      </c>
      <c r="C37" s="14">
        <f>'B) D RI'!U39</f>
        <v>45260.404011299433</v>
      </c>
      <c r="D37" s="62">
        <f>'B) D RI'!AR39</f>
        <v>1464</v>
      </c>
      <c r="E37" s="346">
        <f t="shared" si="2"/>
        <v>30.915576510450432</v>
      </c>
      <c r="F37" s="112">
        <f t="shared" si="3"/>
        <v>0.67190814748051964</v>
      </c>
      <c r="G37" s="116">
        <f t="shared" si="4"/>
        <v>0</v>
      </c>
      <c r="H37" s="116">
        <f t="shared" si="5"/>
        <v>0</v>
      </c>
      <c r="I37" s="116">
        <f t="shared" si="6"/>
        <v>0</v>
      </c>
      <c r="J37" s="116">
        <f t="shared" si="7"/>
        <v>0</v>
      </c>
      <c r="K37" s="116">
        <f t="shared" si="8"/>
        <v>0</v>
      </c>
      <c r="L37" s="350">
        <f t="shared" si="9"/>
        <v>0</v>
      </c>
      <c r="M37" s="164">
        <f>L37*D37*'B) D RI'!S39</f>
        <v>0</v>
      </c>
      <c r="N37" s="18">
        <f>(('B) D RI'!S39*C37)-M37)/'B) D RI'!S39</f>
        <v>45260.404011299433</v>
      </c>
      <c r="O37" s="167">
        <f t="shared" si="1"/>
        <v>30.915576510450432</v>
      </c>
      <c r="P37" s="106">
        <f t="shared" si="10"/>
        <v>0.70493650876742153</v>
      </c>
    </row>
    <row r="38" spans="1:16" x14ac:dyDescent="0.25">
      <c r="A38" s="82">
        <f>'A) Base RI'!A40</f>
        <v>5458</v>
      </c>
      <c r="B38" s="83" t="str">
        <f>'A) Base RI'!B40</f>
        <v>Faoug</v>
      </c>
      <c r="C38" s="14">
        <f>'B) D RI'!U40</f>
        <v>26731.83262295082</v>
      </c>
      <c r="D38" s="62">
        <f>'B) D RI'!AR40</f>
        <v>825</v>
      </c>
      <c r="E38" s="346">
        <f t="shared" si="2"/>
        <v>32.402221361152506</v>
      </c>
      <c r="F38" s="112">
        <f t="shared" si="3"/>
        <v>0.70421835807157973</v>
      </c>
      <c r="G38" s="116">
        <f t="shared" si="4"/>
        <v>0</v>
      </c>
      <c r="H38" s="116">
        <f t="shared" si="5"/>
        <v>0</v>
      </c>
      <c r="I38" s="116">
        <f t="shared" si="6"/>
        <v>0</v>
      </c>
      <c r="J38" s="116">
        <f t="shared" si="7"/>
        <v>0</v>
      </c>
      <c r="K38" s="116">
        <f t="shared" si="8"/>
        <v>0</v>
      </c>
      <c r="L38" s="350">
        <f t="shared" si="9"/>
        <v>0</v>
      </c>
      <c r="M38" s="164">
        <f>L38*D38*'B) D RI'!S40</f>
        <v>0</v>
      </c>
      <c r="N38" s="18">
        <f>(('B) D RI'!S40*C38)-M38)/'B) D RI'!S40</f>
        <v>26731.83262295082</v>
      </c>
      <c r="O38" s="167">
        <f t="shared" si="1"/>
        <v>32.402221361152506</v>
      </c>
      <c r="P38" s="106">
        <f t="shared" si="10"/>
        <v>0.73883496220485723</v>
      </c>
    </row>
    <row r="39" spans="1:16" x14ac:dyDescent="0.25">
      <c r="A39" s="82">
        <f>'A) Base RI'!A41</f>
        <v>5464</v>
      </c>
      <c r="B39" s="83" t="str">
        <f>'A) Base RI'!B41</f>
        <v>Vully-les-Lacs</v>
      </c>
      <c r="C39" s="14">
        <f>'B) D RI'!U41</f>
        <v>91629.911044776149</v>
      </c>
      <c r="D39" s="62">
        <f>'B) D RI'!AR41</f>
        <v>2798</v>
      </c>
      <c r="E39" s="346">
        <f t="shared" si="2"/>
        <v>32.748359915931431</v>
      </c>
      <c r="F39" s="112">
        <f t="shared" si="3"/>
        <v>0.71174121034750204</v>
      </c>
      <c r="G39" s="116">
        <f t="shared" si="4"/>
        <v>0</v>
      </c>
      <c r="H39" s="116">
        <f t="shared" si="5"/>
        <v>0</v>
      </c>
      <c r="I39" s="116">
        <f t="shared" si="6"/>
        <v>0</v>
      </c>
      <c r="J39" s="116">
        <f t="shared" si="7"/>
        <v>0</v>
      </c>
      <c r="K39" s="116">
        <f t="shared" si="8"/>
        <v>0</v>
      </c>
      <c r="L39" s="350">
        <f t="shared" si="9"/>
        <v>0</v>
      </c>
      <c r="M39" s="164">
        <f>L39*D39*'B) D RI'!S41</f>
        <v>0</v>
      </c>
      <c r="N39" s="18">
        <f>(('B) D RI'!S41*C39)-M39)/'B) D RI'!S41</f>
        <v>91629.911044776149</v>
      </c>
      <c r="O39" s="167">
        <f t="shared" si="1"/>
        <v>32.748359915931431</v>
      </c>
      <c r="P39" s="106">
        <f t="shared" si="10"/>
        <v>0.74672760830424911</v>
      </c>
    </row>
    <row r="40" spans="1:16" x14ac:dyDescent="0.25">
      <c r="A40" s="82">
        <f>'A) Base RI'!A42</f>
        <v>5471</v>
      </c>
      <c r="B40" s="83" t="str">
        <f>'A) Base RI'!B42</f>
        <v>Bettens</v>
      </c>
      <c r="C40" s="14">
        <f>'B) D RI'!U42</f>
        <v>18668.279507936502</v>
      </c>
      <c r="D40" s="62">
        <f>'B) D RI'!AR42</f>
        <v>531</v>
      </c>
      <c r="E40" s="346">
        <f t="shared" si="2"/>
        <v>35.156835231518833</v>
      </c>
      <c r="F40" s="112">
        <f t="shared" si="3"/>
        <v>0.76408615649469314</v>
      </c>
      <c r="G40" s="116">
        <f t="shared" si="4"/>
        <v>0</v>
      </c>
      <c r="H40" s="116">
        <f t="shared" si="5"/>
        <v>0</v>
      </c>
      <c r="I40" s="116">
        <f t="shared" si="6"/>
        <v>0</v>
      </c>
      <c r="J40" s="116">
        <f t="shared" si="7"/>
        <v>0</v>
      </c>
      <c r="K40" s="116">
        <f t="shared" si="8"/>
        <v>0</v>
      </c>
      <c r="L40" s="350">
        <f t="shared" si="9"/>
        <v>0</v>
      </c>
      <c r="M40" s="164">
        <f>L40*D40*'B) D RI'!S42</f>
        <v>0</v>
      </c>
      <c r="N40" s="18">
        <f>(('B) D RI'!S42*C40)-M40)/'B) D RI'!S42</f>
        <v>18668.279507936502</v>
      </c>
      <c r="O40" s="167">
        <f t="shared" si="1"/>
        <v>35.156835231518833</v>
      </c>
      <c r="P40" s="106">
        <f t="shared" si="10"/>
        <v>0.80164562608239986</v>
      </c>
    </row>
    <row r="41" spans="1:16" x14ac:dyDescent="0.25">
      <c r="A41" s="82">
        <f>'A) Base RI'!A43</f>
        <v>5472</v>
      </c>
      <c r="B41" s="83" t="str">
        <f>'A) Base RI'!B43</f>
        <v>Bournens</v>
      </c>
      <c r="C41" s="14">
        <f>'B) D RI'!U43</f>
        <v>12834.669250000001</v>
      </c>
      <c r="D41" s="62">
        <f>'B) D RI'!AR43</f>
        <v>362</v>
      </c>
      <c r="E41" s="346">
        <f t="shared" si="2"/>
        <v>35.45488743093923</v>
      </c>
      <c r="F41" s="112">
        <f t="shared" si="3"/>
        <v>0.77056391702092353</v>
      </c>
      <c r="G41" s="116">
        <f t="shared" si="4"/>
        <v>0</v>
      </c>
      <c r="H41" s="116">
        <f t="shared" si="5"/>
        <v>0</v>
      </c>
      <c r="I41" s="116">
        <f t="shared" si="6"/>
        <v>0</v>
      </c>
      <c r="J41" s="116">
        <f t="shared" si="7"/>
        <v>0</v>
      </c>
      <c r="K41" s="116">
        <f t="shared" si="8"/>
        <v>0</v>
      </c>
      <c r="L41" s="350">
        <f t="shared" si="9"/>
        <v>0</v>
      </c>
      <c r="M41" s="164">
        <f>L41*D41*'B) D RI'!S43</f>
        <v>0</v>
      </c>
      <c r="N41" s="18">
        <f>(('B) D RI'!S43*C41)-M41)/'B) D RI'!S43</f>
        <v>12834.669250000001</v>
      </c>
      <c r="O41" s="167">
        <f t="shared" si="1"/>
        <v>35.45488743093923</v>
      </c>
      <c r="P41" s="106">
        <f t="shared" si="10"/>
        <v>0.80844180783300845</v>
      </c>
    </row>
    <row r="42" spans="1:16" x14ac:dyDescent="0.25">
      <c r="A42" s="82">
        <f>'A) Base RI'!A44</f>
        <v>5473</v>
      </c>
      <c r="B42" s="83" t="str">
        <f>'A) Base RI'!B44</f>
        <v>Boussens</v>
      </c>
      <c r="C42" s="14">
        <f>'B) D RI'!U44</f>
        <v>32904.507681159426</v>
      </c>
      <c r="D42" s="62">
        <f>'B) D RI'!AR44</f>
        <v>944</v>
      </c>
      <c r="E42" s="346">
        <f t="shared" si="2"/>
        <v>34.856470001228203</v>
      </c>
      <c r="F42" s="112">
        <f t="shared" si="3"/>
        <v>0.75755812537795442</v>
      </c>
      <c r="G42" s="116">
        <f t="shared" si="4"/>
        <v>0</v>
      </c>
      <c r="H42" s="116">
        <f t="shared" si="5"/>
        <v>0</v>
      </c>
      <c r="I42" s="116">
        <f t="shared" si="6"/>
        <v>0</v>
      </c>
      <c r="J42" s="116">
        <f t="shared" si="7"/>
        <v>0</v>
      </c>
      <c r="K42" s="116">
        <f t="shared" si="8"/>
        <v>0</v>
      </c>
      <c r="L42" s="350">
        <f t="shared" si="9"/>
        <v>0</v>
      </c>
      <c r="M42" s="164">
        <f>L42*D42*'B) D RI'!S44</f>
        <v>0</v>
      </c>
      <c r="N42" s="18">
        <f>(('B) D RI'!S44*C42)-M42)/'B) D RI'!S44</f>
        <v>32904.507681159426</v>
      </c>
      <c r="O42" s="167">
        <f t="shared" si="1"/>
        <v>34.856470001228203</v>
      </c>
      <c r="P42" s="106">
        <f t="shared" si="10"/>
        <v>0.7947967026368149</v>
      </c>
    </row>
    <row r="43" spans="1:16" x14ac:dyDescent="0.25">
      <c r="A43" s="82">
        <f>'A) Base RI'!A45</f>
        <v>5474</v>
      </c>
      <c r="B43" s="83" t="str">
        <f>'A) Base RI'!B45</f>
        <v>La Chaux (Cossonay)</v>
      </c>
      <c r="C43" s="14">
        <f>'B) D RI'!U45</f>
        <v>12942.370952380952</v>
      </c>
      <c r="D43" s="62">
        <f>'B) D RI'!AR45</f>
        <v>422</v>
      </c>
      <c r="E43" s="346">
        <f t="shared" si="2"/>
        <v>30.669125479575715</v>
      </c>
      <c r="F43" s="112">
        <f t="shared" si="3"/>
        <v>0.66655186840405733</v>
      </c>
      <c r="G43" s="116">
        <f t="shared" si="4"/>
        <v>0</v>
      </c>
      <c r="H43" s="116">
        <f t="shared" si="5"/>
        <v>0</v>
      </c>
      <c r="I43" s="116">
        <f t="shared" si="6"/>
        <v>0</v>
      </c>
      <c r="J43" s="116">
        <f t="shared" si="7"/>
        <v>0</v>
      </c>
      <c r="K43" s="116">
        <f t="shared" si="8"/>
        <v>0</v>
      </c>
      <c r="L43" s="350">
        <f t="shared" si="9"/>
        <v>0</v>
      </c>
      <c r="M43" s="164">
        <f>L43*D43*'B) D RI'!S45</f>
        <v>0</v>
      </c>
      <c r="N43" s="18">
        <f>(('B) D RI'!S45*C43)-M43)/'B) D RI'!S45</f>
        <v>12942.370952380952</v>
      </c>
      <c r="O43" s="167">
        <f t="shared" si="1"/>
        <v>30.669125479575715</v>
      </c>
      <c r="P43" s="106">
        <f t="shared" si="10"/>
        <v>0.6993169360828162</v>
      </c>
    </row>
    <row r="44" spans="1:16" x14ac:dyDescent="0.25">
      <c r="A44" s="82">
        <f>'A) Base RI'!A46</f>
        <v>5475</v>
      </c>
      <c r="B44" s="83" t="str">
        <f>'A) Base RI'!B46</f>
        <v>Chavannes-le-Veyron</v>
      </c>
      <c r="C44" s="14">
        <f>'B) D RI'!U46</f>
        <v>2876.9510389610391</v>
      </c>
      <c r="D44" s="62">
        <f>'B) D RI'!AR46</f>
        <v>127</v>
      </c>
      <c r="E44" s="346">
        <f t="shared" si="2"/>
        <v>22.653157787094795</v>
      </c>
      <c r="F44" s="112">
        <f t="shared" si="3"/>
        <v>0.49233567674746909</v>
      </c>
      <c r="G44" s="116">
        <f t="shared" si="4"/>
        <v>0</v>
      </c>
      <c r="H44" s="116">
        <f t="shared" si="5"/>
        <v>0</v>
      </c>
      <c r="I44" s="116">
        <f t="shared" si="6"/>
        <v>0</v>
      </c>
      <c r="J44" s="116">
        <f t="shared" si="7"/>
        <v>0</v>
      </c>
      <c r="K44" s="116">
        <f t="shared" si="8"/>
        <v>0</v>
      </c>
      <c r="L44" s="350">
        <f t="shared" si="9"/>
        <v>0</v>
      </c>
      <c r="M44" s="164">
        <f>L44*D44*'B) D RI'!S46</f>
        <v>0</v>
      </c>
      <c r="N44" s="18">
        <f>(('B) D RI'!S46*C44)-M44)/'B) D RI'!S46</f>
        <v>2876.9510389610391</v>
      </c>
      <c r="O44" s="167">
        <f t="shared" si="1"/>
        <v>22.653157787094795</v>
      </c>
      <c r="P44" s="106">
        <f t="shared" si="10"/>
        <v>0.51653696179963193</v>
      </c>
    </row>
    <row r="45" spans="1:16" x14ac:dyDescent="0.25">
      <c r="A45" s="82">
        <f>'A) Base RI'!A47</f>
        <v>5476</v>
      </c>
      <c r="B45" s="83" t="str">
        <f>'A) Base RI'!B47</f>
        <v>Chevilly</v>
      </c>
      <c r="C45" s="14">
        <f>'B) D RI'!U47</f>
        <v>7286.6650000000009</v>
      </c>
      <c r="D45" s="62">
        <f>'B) D RI'!AR47</f>
        <v>249</v>
      </c>
      <c r="E45" s="346">
        <f t="shared" si="2"/>
        <v>29.263714859437755</v>
      </c>
      <c r="F45" s="112">
        <f t="shared" si="3"/>
        <v>0.63600717369628956</v>
      </c>
      <c r="G45" s="116">
        <f t="shared" si="4"/>
        <v>0</v>
      </c>
      <c r="H45" s="116">
        <f t="shared" si="5"/>
        <v>0</v>
      </c>
      <c r="I45" s="116">
        <f t="shared" si="6"/>
        <v>0</v>
      </c>
      <c r="J45" s="116">
        <f t="shared" si="7"/>
        <v>0</v>
      </c>
      <c r="K45" s="116">
        <f t="shared" si="8"/>
        <v>0</v>
      </c>
      <c r="L45" s="350">
        <f t="shared" si="9"/>
        <v>0</v>
      </c>
      <c r="M45" s="164">
        <f>L45*D45*'B) D RI'!S47</f>
        <v>0</v>
      </c>
      <c r="N45" s="18">
        <f>(('B) D RI'!S47*C45)-M45)/'B) D RI'!S47</f>
        <v>7286.6650000000009</v>
      </c>
      <c r="O45" s="167">
        <f t="shared" si="1"/>
        <v>29.263714859437755</v>
      </c>
      <c r="P45" s="106">
        <f t="shared" si="10"/>
        <v>0.66727078434407006</v>
      </c>
    </row>
    <row r="46" spans="1:16" x14ac:dyDescent="0.25">
      <c r="A46" s="82">
        <f>'A) Base RI'!A48</f>
        <v>5477</v>
      </c>
      <c r="B46" s="83" t="str">
        <f>'A) Base RI'!B48</f>
        <v>Cossonay</v>
      </c>
      <c r="C46" s="14">
        <f>'B) D RI'!U48</f>
        <v>125737.979346211</v>
      </c>
      <c r="D46" s="62">
        <f>'B) D RI'!AR48</f>
        <v>3608</v>
      </c>
      <c r="E46" s="346">
        <f t="shared" si="2"/>
        <v>34.849772546067349</v>
      </c>
      <c r="F46" s="112">
        <f t="shared" si="3"/>
        <v>0.75741256526884748</v>
      </c>
      <c r="G46" s="116">
        <f t="shared" si="4"/>
        <v>0</v>
      </c>
      <c r="H46" s="116">
        <f t="shared" si="5"/>
        <v>0</v>
      </c>
      <c r="I46" s="116">
        <f t="shared" si="6"/>
        <v>0</v>
      </c>
      <c r="J46" s="116">
        <f t="shared" si="7"/>
        <v>0</v>
      </c>
      <c r="K46" s="116">
        <f t="shared" si="8"/>
        <v>0</v>
      </c>
      <c r="L46" s="350">
        <f t="shared" si="9"/>
        <v>0</v>
      </c>
      <c r="M46" s="164">
        <f>L46*D46*'B) D RI'!S48</f>
        <v>0</v>
      </c>
      <c r="N46" s="18">
        <f>(('B) D RI'!S48*C46)-M46)/'B) D RI'!S48</f>
        <v>125737.979346211</v>
      </c>
      <c r="O46" s="167">
        <f t="shared" si="1"/>
        <v>34.849772546067349</v>
      </c>
      <c r="P46" s="106">
        <f t="shared" si="10"/>
        <v>0.79464398736536845</v>
      </c>
    </row>
    <row r="47" spans="1:16" x14ac:dyDescent="0.25">
      <c r="A47" s="82">
        <f>'A) Base RI'!A49</f>
        <v>5478</v>
      </c>
      <c r="B47" s="83" t="str">
        <f>'A) Base RI'!B49</f>
        <v>Cottens</v>
      </c>
      <c r="C47" s="14">
        <f>'B) D RI'!U49</f>
        <v>15613.399583333334</v>
      </c>
      <c r="D47" s="62">
        <f>'B) D RI'!AR49</f>
        <v>472</v>
      </c>
      <c r="E47" s="346">
        <f t="shared" si="2"/>
        <v>33.079236405367233</v>
      </c>
      <c r="F47" s="112">
        <f t="shared" si="3"/>
        <v>0.71893236232186419</v>
      </c>
      <c r="G47" s="116">
        <f t="shared" si="4"/>
        <v>0</v>
      </c>
      <c r="H47" s="116">
        <f t="shared" si="5"/>
        <v>0</v>
      </c>
      <c r="I47" s="116">
        <f t="shared" si="6"/>
        <v>0</v>
      </c>
      <c r="J47" s="116">
        <f t="shared" si="7"/>
        <v>0</v>
      </c>
      <c r="K47" s="116">
        <f t="shared" si="8"/>
        <v>0</v>
      </c>
      <c r="L47" s="350">
        <f t="shared" si="9"/>
        <v>0</v>
      </c>
      <c r="M47" s="164">
        <f>L47*D47*'B) D RI'!S49</f>
        <v>0</v>
      </c>
      <c r="N47" s="18">
        <f>(('B) D RI'!S49*C47)-M47)/'B) D RI'!S49</f>
        <v>15613.399583333334</v>
      </c>
      <c r="O47" s="167">
        <f t="shared" si="1"/>
        <v>33.079236405367233</v>
      </c>
      <c r="P47" s="106">
        <f t="shared" si="10"/>
        <v>0.75427224902014356</v>
      </c>
    </row>
    <row r="48" spans="1:16" x14ac:dyDescent="0.25">
      <c r="A48" s="82">
        <f>'A) Base RI'!A50</f>
        <v>5479</v>
      </c>
      <c r="B48" s="83" t="str">
        <f>'A) Base RI'!B50</f>
        <v>Cuarnens</v>
      </c>
      <c r="C48" s="14">
        <f>'B) D RI'!U50</f>
        <v>12479.493246753247</v>
      </c>
      <c r="D48" s="62">
        <f>'B) D RI'!AR50</f>
        <v>435</v>
      </c>
      <c r="E48" s="346">
        <f t="shared" si="2"/>
        <v>28.688490222421258</v>
      </c>
      <c r="F48" s="112">
        <f t="shared" si="3"/>
        <v>0.62350544596327251</v>
      </c>
      <c r="G48" s="116">
        <f t="shared" si="4"/>
        <v>0</v>
      </c>
      <c r="H48" s="116">
        <f t="shared" si="5"/>
        <v>0</v>
      </c>
      <c r="I48" s="116">
        <f t="shared" si="6"/>
        <v>0</v>
      </c>
      <c r="J48" s="116">
        <f t="shared" si="7"/>
        <v>0</v>
      </c>
      <c r="K48" s="116">
        <f t="shared" si="8"/>
        <v>0</v>
      </c>
      <c r="L48" s="350">
        <f t="shared" si="9"/>
        <v>0</v>
      </c>
      <c r="M48" s="164">
        <f>L48*D48*'B) D RI'!S50</f>
        <v>0</v>
      </c>
      <c r="N48" s="18">
        <f>(('B) D RI'!S50*C48)-M48)/'B) D RI'!S50</f>
        <v>12479.493246753247</v>
      </c>
      <c r="O48" s="167">
        <f t="shared" si="1"/>
        <v>28.688490222421258</v>
      </c>
      <c r="P48" s="106">
        <f t="shared" si="10"/>
        <v>0.65415452085668702</v>
      </c>
    </row>
    <row r="49" spans="1:16" x14ac:dyDescent="0.25">
      <c r="A49" s="82">
        <f>'A) Base RI'!A51</f>
        <v>5480</v>
      </c>
      <c r="B49" s="83" t="str">
        <f>'A) Base RI'!B51</f>
        <v>Daillens</v>
      </c>
      <c r="C49" s="14">
        <f>'B) D RI'!U51</f>
        <v>38475.41492957747</v>
      </c>
      <c r="D49" s="62">
        <f>'B) D RI'!AR51</f>
        <v>940</v>
      </c>
      <c r="E49" s="346">
        <f t="shared" si="2"/>
        <v>40.931292478273903</v>
      </c>
      <c r="F49" s="112">
        <f t="shared" si="3"/>
        <v>0.88958615711933398</v>
      </c>
      <c r="G49" s="116">
        <f t="shared" si="4"/>
        <v>0</v>
      </c>
      <c r="H49" s="116">
        <f t="shared" si="5"/>
        <v>0</v>
      </c>
      <c r="I49" s="116">
        <f t="shared" si="6"/>
        <v>0</v>
      </c>
      <c r="J49" s="116">
        <f t="shared" si="7"/>
        <v>0</v>
      </c>
      <c r="K49" s="116">
        <f t="shared" si="8"/>
        <v>0</v>
      </c>
      <c r="L49" s="350">
        <f t="shared" si="9"/>
        <v>0</v>
      </c>
      <c r="M49" s="164">
        <f>L49*D49*'B) D RI'!S51</f>
        <v>0</v>
      </c>
      <c r="N49" s="18">
        <f>(('B) D RI'!S51*C49)-M49)/'B) D RI'!S51</f>
        <v>38475.41492957747</v>
      </c>
      <c r="O49" s="167">
        <f t="shared" si="1"/>
        <v>40.931292478273903</v>
      </c>
      <c r="P49" s="106">
        <f t="shared" si="10"/>
        <v>0.93331471302885405</v>
      </c>
    </row>
    <row r="50" spans="1:16" x14ac:dyDescent="0.25">
      <c r="A50" s="82">
        <f>'A) Base RI'!A52</f>
        <v>5481</v>
      </c>
      <c r="B50" s="83" t="str">
        <f>'A) Base RI'!B52</f>
        <v>Dizy</v>
      </c>
      <c r="C50" s="14">
        <f>'B) D RI'!U52</f>
        <v>8070.2010810810825</v>
      </c>
      <c r="D50" s="62">
        <f>'B) D RI'!AR52</f>
        <v>224</v>
      </c>
      <c r="E50" s="346">
        <f t="shared" si="2"/>
        <v>36.027683397683404</v>
      </c>
      <c r="F50" s="112">
        <f t="shared" si="3"/>
        <v>0.78301286089778421</v>
      </c>
      <c r="G50" s="116">
        <f t="shared" si="4"/>
        <v>0</v>
      </c>
      <c r="H50" s="116">
        <f t="shared" si="5"/>
        <v>0</v>
      </c>
      <c r="I50" s="116">
        <f t="shared" si="6"/>
        <v>0</v>
      </c>
      <c r="J50" s="116">
        <f t="shared" si="7"/>
        <v>0</v>
      </c>
      <c r="K50" s="116">
        <f t="shared" si="8"/>
        <v>0</v>
      </c>
      <c r="L50" s="350">
        <f t="shared" si="9"/>
        <v>0</v>
      </c>
      <c r="M50" s="164">
        <f>L50*D50*'B) D RI'!S52</f>
        <v>0</v>
      </c>
      <c r="N50" s="18">
        <f>(('B) D RI'!S52*C50)-M50)/'B) D RI'!S52</f>
        <v>8070.2010810810825</v>
      </c>
      <c r="O50" s="167">
        <f t="shared" si="1"/>
        <v>36.027683397683404</v>
      </c>
      <c r="P50" s="106">
        <f t="shared" si="10"/>
        <v>0.82150269281751476</v>
      </c>
    </row>
    <row r="51" spans="1:16" x14ac:dyDescent="0.25">
      <c r="A51" s="82">
        <f>'A) Base RI'!A53</f>
        <v>5482</v>
      </c>
      <c r="B51" s="83" t="str">
        <f>'A) Base RI'!B53</f>
        <v>Eclépens</v>
      </c>
      <c r="C51" s="14">
        <f>'B) D RI'!U53</f>
        <v>68499.201739130425</v>
      </c>
      <c r="D51" s="62">
        <f>'B) D RI'!AR53</f>
        <v>1010</v>
      </c>
      <c r="E51" s="346">
        <f t="shared" si="2"/>
        <v>67.820991820921208</v>
      </c>
      <c r="F51" s="112">
        <f t="shared" si="3"/>
        <v>1.4739973216828979</v>
      </c>
      <c r="G51" s="116">
        <f t="shared" si="4"/>
        <v>12.607058262218374</v>
      </c>
      <c r="H51" s="116">
        <f t="shared" si="5"/>
        <v>0</v>
      </c>
      <c r="I51" s="116">
        <f t="shared" si="6"/>
        <v>0</v>
      </c>
      <c r="J51" s="116">
        <f t="shared" si="7"/>
        <v>0</v>
      </c>
      <c r="K51" s="116">
        <f t="shared" si="8"/>
        <v>0</v>
      </c>
      <c r="L51" s="350">
        <f t="shared" si="9"/>
        <v>4.5385409743986145</v>
      </c>
      <c r="M51" s="164">
        <f>L51*D51*'B) D RI'!S53</f>
        <v>210860.61367055963</v>
      </c>
      <c r="N51" s="18">
        <f>(('B) D RI'!S53*C51)-M51)/'B) D RI'!S53</f>
        <v>63915.275354987818</v>
      </c>
      <c r="O51" s="167">
        <f t="shared" si="1"/>
        <v>63.282450846522593</v>
      </c>
      <c r="P51" s="106">
        <f t="shared" si="10"/>
        <v>1.4429654886401353</v>
      </c>
    </row>
    <row r="52" spans="1:16" x14ac:dyDescent="0.25">
      <c r="A52" s="82">
        <f>'A) Base RI'!A54</f>
        <v>5483</v>
      </c>
      <c r="B52" s="83" t="str">
        <f>'A) Base RI'!B54</f>
        <v>Ferreyres</v>
      </c>
      <c r="C52" s="14">
        <f>'B) D RI'!U54</f>
        <v>10043.857368421051</v>
      </c>
      <c r="D52" s="62">
        <f>'B) D RI'!AR54</f>
        <v>302</v>
      </c>
      <c r="E52" s="346">
        <f t="shared" si="2"/>
        <v>33.257805855698848</v>
      </c>
      <c r="F52" s="112">
        <f t="shared" si="3"/>
        <v>0.72281332726289871</v>
      </c>
      <c r="G52" s="116">
        <f t="shared" si="4"/>
        <v>0</v>
      </c>
      <c r="H52" s="116">
        <f t="shared" si="5"/>
        <v>0</v>
      </c>
      <c r="I52" s="116">
        <f t="shared" si="6"/>
        <v>0</v>
      </c>
      <c r="J52" s="116">
        <f t="shared" si="7"/>
        <v>0</v>
      </c>
      <c r="K52" s="116">
        <f t="shared" si="8"/>
        <v>0</v>
      </c>
      <c r="L52" s="350">
        <f t="shared" si="9"/>
        <v>0</v>
      </c>
      <c r="M52" s="164">
        <f>L52*D52*'B) D RI'!S54</f>
        <v>0</v>
      </c>
      <c r="N52" s="18">
        <f>(('B) D RI'!S54*C52)-M52)/'B) D RI'!S54</f>
        <v>10043.857368421051</v>
      </c>
      <c r="O52" s="167">
        <f t="shared" si="1"/>
        <v>33.257805855698848</v>
      </c>
      <c r="P52" s="106">
        <f t="shared" si="10"/>
        <v>0.7583439869302141</v>
      </c>
    </row>
    <row r="53" spans="1:16" x14ac:dyDescent="0.25">
      <c r="A53" s="82">
        <f>'A) Base RI'!A55</f>
        <v>5484</v>
      </c>
      <c r="B53" s="83" t="str">
        <f>'A) Base RI'!B55</f>
        <v>Gollion</v>
      </c>
      <c r="C53" s="14">
        <f>'B) D RI'!U55</f>
        <v>24450.824189189188</v>
      </c>
      <c r="D53" s="62">
        <f>'B) D RI'!AR55</f>
        <v>813</v>
      </c>
      <c r="E53" s="346">
        <f t="shared" si="2"/>
        <v>30.074814500847712</v>
      </c>
      <c r="F53" s="112">
        <f t="shared" si="3"/>
        <v>0.65363532490665621</v>
      </c>
      <c r="G53" s="116">
        <f t="shared" si="4"/>
        <v>0</v>
      </c>
      <c r="H53" s="116">
        <f t="shared" si="5"/>
        <v>0</v>
      </c>
      <c r="I53" s="116">
        <f t="shared" si="6"/>
        <v>0</v>
      </c>
      <c r="J53" s="116">
        <f t="shared" si="7"/>
        <v>0</v>
      </c>
      <c r="K53" s="116">
        <f t="shared" si="8"/>
        <v>0</v>
      </c>
      <c r="L53" s="350">
        <f t="shared" si="9"/>
        <v>0</v>
      </c>
      <c r="M53" s="164">
        <f>L53*D53*'B) D RI'!S55</f>
        <v>0</v>
      </c>
      <c r="N53" s="18">
        <f>(('B) D RI'!S55*C53)-M53)/'B) D RI'!S55</f>
        <v>24450.824189189188</v>
      </c>
      <c r="O53" s="167">
        <f t="shared" si="1"/>
        <v>30.074814500847712</v>
      </c>
      <c r="P53" s="106">
        <f t="shared" si="10"/>
        <v>0.68576546611993039</v>
      </c>
    </row>
    <row r="54" spans="1:16" x14ac:dyDescent="0.25">
      <c r="A54" s="82">
        <f>'A) Base RI'!A56</f>
        <v>5485</v>
      </c>
      <c r="B54" s="83" t="str">
        <f>'A) Base RI'!B56</f>
        <v>Grancy</v>
      </c>
      <c r="C54" s="14">
        <f>'B) D RI'!U56</f>
        <v>18011.997142857144</v>
      </c>
      <c r="D54" s="62">
        <f>'B) D RI'!AR56</f>
        <v>388</v>
      </c>
      <c r="E54" s="346">
        <f t="shared" si="2"/>
        <v>46.422673048600885</v>
      </c>
      <c r="F54" s="112">
        <f t="shared" si="3"/>
        <v>1.0089338699097354</v>
      </c>
      <c r="G54" s="116">
        <f t="shared" si="4"/>
        <v>0</v>
      </c>
      <c r="H54" s="116">
        <f t="shared" si="5"/>
        <v>0</v>
      </c>
      <c r="I54" s="116">
        <f t="shared" si="6"/>
        <v>0</v>
      </c>
      <c r="J54" s="116">
        <f t="shared" si="7"/>
        <v>0</v>
      </c>
      <c r="K54" s="116">
        <f t="shared" si="8"/>
        <v>0</v>
      </c>
      <c r="L54" s="350">
        <f t="shared" si="9"/>
        <v>0</v>
      </c>
      <c r="M54" s="164">
        <f>L54*D54*'B) D RI'!S56</f>
        <v>0</v>
      </c>
      <c r="N54" s="18">
        <f>(('B) D RI'!S56*C54)-M54)/'B) D RI'!S56</f>
        <v>18011.997142857144</v>
      </c>
      <c r="O54" s="167">
        <f t="shared" si="1"/>
        <v>46.422673048600885</v>
      </c>
      <c r="P54" s="106">
        <f t="shared" si="10"/>
        <v>1.0585290898738406</v>
      </c>
    </row>
    <row r="55" spans="1:16" x14ac:dyDescent="0.25">
      <c r="A55" s="82">
        <f>'A) Base RI'!A57</f>
        <v>5486</v>
      </c>
      <c r="B55" s="83" t="str">
        <f>'A) Base RI'!B57</f>
        <v>L'Isle</v>
      </c>
      <c r="C55" s="14">
        <f>'B) D RI'!U57</f>
        <v>26627.790138888886</v>
      </c>
      <c r="D55" s="62">
        <f>'B) D RI'!AR57</f>
        <v>1004</v>
      </c>
      <c r="E55" s="346">
        <f t="shared" si="2"/>
        <v>26.52170332558654</v>
      </c>
      <c r="F55" s="112">
        <f t="shared" si="3"/>
        <v>0.57641326997408648</v>
      </c>
      <c r="G55" s="116">
        <f t="shared" si="4"/>
        <v>0</v>
      </c>
      <c r="H55" s="116">
        <f t="shared" si="5"/>
        <v>0</v>
      </c>
      <c r="I55" s="116">
        <f t="shared" si="6"/>
        <v>0</v>
      </c>
      <c r="J55" s="116">
        <f t="shared" si="7"/>
        <v>0</v>
      </c>
      <c r="K55" s="116">
        <f t="shared" si="8"/>
        <v>0</v>
      </c>
      <c r="L55" s="350">
        <f t="shared" si="9"/>
        <v>0</v>
      </c>
      <c r="M55" s="164">
        <f>L55*D55*'B) D RI'!S57</f>
        <v>0</v>
      </c>
      <c r="N55" s="18">
        <f>(('B) D RI'!S57*C55)-M55)/'B) D RI'!S57</f>
        <v>26627.790138888886</v>
      </c>
      <c r="O55" s="167">
        <f t="shared" si="1"/>
        <v>26.52170332558654</v>
      </c>
      <c r="P55" s="106">
        <f t="shared" si="10"/>
        <v>0.60474747875345025</v>
      </c>
    </row>
    <row r="56" spans="1:16" x14ac:dyDescent="0.25">
      <c r="A56" s="82">
        <f>'A) Base RI'!A58</f>
        <v>5487</v>
      </c>
      <c r="B56" s="83" t="str">
        <f>'A) Base RI'!B58</f>
        <v>Lussery-Villars</v>
      </c>
      <c r="C56" s="14">
        <f>'B) D RI'!U58</f>
        <v>14161.564</v>
      </c>
      <c r="D56" s="62">
        <f>'B) D RI'!AR58</f>
        <v>404</v>
      </c>
      <c r="E56" s="346">
        <f t="shared" si="2"/>
        <v>35.053376237623766</v>
      </c>
      <c r="F56" s="112">
        <f t="shared" si="3"/>
        <v>0.76183761550744233</v>
      </c>
      <c r="G56" s="116">
        <f t="shared" si="4"/>
        <v>0</v>
      </c>
      <c r="H56" s="116">
        <f t="shared" si="5"/>
        <v>0</v>
      </c>
      <c r="I56" s="116">
        <f t="shared" si="6"/>
        <v>0</v>
      </c>
      <c r="J56" s="116">
        <f t="shared" si="7"/>
        <v>0</v>
      </c>
      <c r="K56" s="116">
        <f t="shared" si="8"/>
        <v>0</v>
      </c>
      <c r="L56" s="350">
        <f t="shared" si="9"/>
        <v>0</v>
      </c>
      <c r="M56" s="164">
        <f>L56*D56*'B) D RI'!S58</f>
        <v>0</v>
      </c>
      <c r="N56" s="18">
        <f>(('B) D RI'!S58*C56)-M56)/'B) D RI'!S58</f>
        <v>14161.564</v>
      </c>
      <c r="O56" s="167">
        <f t="shared" si="1"/>
        <v>35.053376237623766</v>
      </c>
      <c r="P56" s="106">
        <f t="shared" si="10"/>
        <v>0.79928655566583084</v>
      </c>
    </row>
    <row r="57" spans="1:16" x14ac:dyDescent="0.25">
      <c r="A57" s="82">
        <f>'A) Base RI'!A59</f>
        <v>5488</v>
      </c>
      <c r="B57" s="83" t="str">
        <f>'A) Base RI'!B59</f>
        <v>Mauraz</v>
      </c>
      <c r="C57" s="14">
        <f>'B) D RI'!U59</f>
        <v>1648.4024324324325</v>
      </c>
      <c r="D57" s="62">
        <f>'B) D RI'!AR59</f>
        <v>49</v>
      </c>
      <c r="E57" s="346">
        <f t="shared" si="2"/>
        <v>33.640865968008825</v>
      </c>
      <c r="F57" s="112">
        <f t="shared" si="3"/>
        <v>0.73113861954230597</v>
      </c>
      <c r="G57" s="116">
        <f t="shared" si="4"/>
        <v>0</v>
      </c>
      <c r="H57" s="116">
        <f t="shared" si="5"/>
        <v>0</v>
      </c>
      <c r="I57" s="116">
        <f t="shared" si="6"/>
        <v>0</v>
      </c>
      <c r="J57" s="116">
        <f t="shared" si="7"/>
        <v>0</v>
      </c>
      <c r="K57" s="116">
        <f t="shared" si="8"/>
        <v>0</v>
      </c>
      <c r="L57" s="350">
        <f t="shared" si="9"/>
        <v>0</v>
      </c>
      <c r="M57" s="164">
        <f>L57*D57*'B) D RI'!S59</f>
        <v>0</v>
      </c>
      <c r="N57" s="18">
        <f>(('B) D RI'!S59*C57)-M57)/'B) D RI'!S59</f>
        <v>1648.4024324324325</v>
      </c>
      <c r="O57" s="167">
        <f t="shared" si="1"/>
        <v>33.640865968008825</v>
      </c>
      <c r="P57" s="106">
        <f t="shared" si="10"/>
        <v>0.76707851782691505</v>
      </c>
    </row>
    <row r="58" spans="1:16" x14ac:dyDescent="0.25">
      <c r="A58" s="82">
        <f>'A) Base RI'!A60</f>
        <v>5489</v>
      </c>
      <c r="B58" s="83" t="str">
        <f>'A) Base RI'!B60</f>
        <v>Mex</v>
      </c>
      <c r="C58" s="14">
        <f>'B) D RI'!U60</f>
        <v>53932.616065573762</v>
      </c>
      <c r="D58" s="62">
        <f>'B) D RI'!AR60</f>
        <v>670</v>
      </c>
      <c r="E58" s="346">
        <f t="shared" si="2"/>
        <v>80.496441888916067</v>
      </c>
      <c r="F58" s="112">
        <f t="shared" si="3"/>
        <v>1.7494810465550292</v>
      </c>
      <c r="G58" s="116">
        <f t="shared" si="4"/>
        <v>25.282508330213233</v>
      </c>
      <c r="H58" s="116">
        <f t="shared" si="5"/>
        <v>11.479024940537528</v>
      </c>
      <c r="I58" s="116">
        <f t="shared" si="6"/>
        <v>0</v>
      </c>
      <c r="J58" s="116">
        <f t="shared" si="7"/>
        <v>0</v>
      </c>
      <c r="K58" s="116">
        <f t="shared" si="8"/>
        <v>0</v>
      </c>
      <c r="L58" s="350">
        <f t="shared" si="9"/>
        <v>10.249605492930517</v>
      </c>
      <c r="M58" s="164">
        <f>L58*D58*'B) D RI'!S60</f>
        <v>418901.37649607018</v>
      </c>
      <c r="N58" s="18">
        <f>(('B) D RI'!S60*C58)-M58)/'B) D RI'!S60</f>
        <v>47065.380385310324</v>
      </c>
      <c r="O58" s="167">
        <f t="shared" si="1"/>
        <v>70.246836395985554</v>
      </c>
      <c r="P58" s="106">
        <f t="shared" si="10"/>
        <v>1.6017673027770689</v>
      </c>
    </row>
    <row r="59" spans="1:16" x14ac:dyDescent="0.25">
      <c r="A59" s="82">
        <f>'A) Base RI'!A61</f>
        <v>5490</v>
      </c>
      <c r="B59" s="83" t="str">
        <f>'A) Base RI'!B61</f>
        <v>Moiry</v>
      </c>
      <c r="C59" s="14">
        <f>'B) D RI'!U61</f>
        <v>7150.2259259259263</v>
      </c>
      <c r="D59" s="62">
        <f>'B) D RI'!AR61</f>
        <v>263</v>
      </c>
      <c r="E59" s="346">
        <f t="shared" si="2"/>
        <v>27.187170821011126</v>
      </c>
      <c r="F59" s="112">
        <f t="shared" si="3"/>
        <v>0.59087630390483292</v>
      </c>
      <c r="G59" s="116">
        <f t="shared" si="4"/>
        <v>0</v>
      </c>
      <c r="H59" s="116">
        <f t="shared" si="5"/>
        <v>0</v>
      </c>
      <c r="I59" s="116">
        <f t="shared" si="6"/>
        <v>0</v>
      </c>
      <c r="J59" s="116">
        <f t="shared" si="7"/>
        <v>0</v>
      </c>
      <c r="K59" s="116">
        <f t="shared" si="8"/>
        <v>0</v>
      </c>
      <c r="L59" s="350">
        <f t="shared" si="9"/>
        <v>0</v>
      </c>
      <c r="M59" s="164">
        <f>L59*D59*'B) D RI'!S61</f>
        <v>0</v>
      </c>
      <c r="N59" s="18">
        <f>(('B) D RI'!S61*C59)-M59)/'B) D RI'!S61</f>
        <v>7150.2259259259263</v>
      </c>
      <c r="O59" s="167">
        <f t="shared" si="1"/>
        <v>27.187170821011126</v>
      </c>
      <c r="P59" s="106">
        <f t="shared" si="10"/>
        <v>0.61992145853559133</v>
      </c>
    </row>
    <row r="60" spans="1:16" x14ac:dyDescent="0.25">
      <c r="A60" s="82">
        <f>'A) Base RI'!A62</f>
        <v>5491</v>
      </c>
      <c r="B60" s="83" t="str">
        <f>'A) Base RI'!B62</f>
        <v>Mont-la-Ville</v>
      </c>
      <c r="C60" s="14">
        <f>'B) D RI'!U62</f>
        <v>9158.0513157894729</v>
      </c>
      <c r="D60" s="62">
        <f>'B) D RI'!AR62</f>
        <v>372</v>
      </c>
      <c r="E60" s="346">
        <f t="shared" si="2"/>
        <v>24.618417515563099</v>
      </c>
      <c r="F60" s="112">
        <f t="shared" si="3"/>
        <v>0.53504793291473951</v>
      </c>
      <c r="G60" s="116">
        <f t="shared" si="4"/>
        <v>0</v>
      </c>
      <c r="H60" s="116">
        <f t="shared" si="5"/>
        <v>0</v>
      </c>
      <c r="I60" s="116">
        <f t="shared" si="6"/>
        <v>0</v>
      </c>
      <c r="J60" s="116">
        <f t="shared" si="7"/>
        <v>0</v>
      </c>
      <c r="K60" s="116">
        <f t="shared" si="8"/>
        <v>0</v>
      </c>
      <c r="L60" s="350">
        <f t="shared" si="9"/>
        <v>0</v>
      </c>
      <c r="M60" s="164">
        <f>L60*D60*'B) D RI'!S62</f>
        <v>0</v>
      </c>
      <c r="N60" s="18">
        <f>(('B) D RI'!S62*C60)-M60)/'B) D RI'!S62</f>
        <v>9158.0513157894729</v>
      </c>
      <c r="O60" s="167">
        <f t="shared" si="1"/>
        <v>24.618417515563099</v>
      </c>
      <c r="P60" s="106">
        <f t="shared" si="10"/>
        <v>0.56134878445282932</v>
      </c>
    </row>
    <row r="61" spans="1:16" x14ac:dyDescent="0.25">
      <c r="A61" s="82">
        <f>'A) Base RI'!A63</f>
        <v>5492</v>
      </c>
      <c r="B61" s="83" t="str">
        <f>'A) Base RI'!B63</f>
        <v>Montricher</v>
      </c>
      <c r="C61" s="14">
        <f>'B) D RI'!U63</f>
        <v>150474.39203125</v>
      </c>
      <c r="D61" s="62">
        <f>'B) D RI'!AR63</f>
        <v>930</v>
      </c>
      <c r="E61" s="346">
        <f t="shared" ref="E61:E115" si="11">C61/D61</f>
        <v>161.8004215389785</v>
      </c>
      <c r="F61" s="112">
        <f t="shared" si="3"/>
        <v>3.5165128316812444</v>
      </c>
      <c r="G61" s="116">
        <f t="shared" si="4"/>
        <v>106.58648798027566</v>
      </c>
      <c r="H61" s="116">
        <f t="shared" si="5"/>
        <v>92.783004590599958</v>
      </c>
      <c r="I61" s="116">
        <f t="shared" si="6"/>
        <v>69.777198941140441</v>
      </c>
      <c r="J61" s="116">
        <f t="shared" si="7"/>
        <v>23.765587642221419</v>
      </c>
      <c r="K61" s="116">
        <f t="shared" si="8"/>
        <v>23.765587642221419</v>
      </c>
      <c r="L61" s="350">
        <f t="shared" si="9"/>
        <v>57.003714790295419</v>
      </c>
      <c r="M61" s="164">
        <f>L61*D61*'B) D RI'!S63</f>
        <v>3392861.1043183831</v>
      </c>
      <c r="N61" s="18">
        <f>(('B) D RI'!S63*C61)-M61)/'B) D RI'!S63</f>
        <v>97460.937276275261</v>
      </c>
      <c r="O61" s="167">
        <f t="shared" si="1"/>
        <v>104.79670674868308</v>
      </c>
      <c r="P61" s="106">
        <f t="shared" si="10"/>
        <v>2.3895729248577289</v>
      </c>
    </row>
    <row r="62" spans="1:16" x14ac:dyDescent="0.25">
      <c r="A62" s="82">
        <f>'A) Base RI'!A64</f>
        <v>5493</v>
      </c>
      <c r="B62" s="83" t="str">
        <f>'A) Base RI'!B64</f>
        <v>Orny</v>
      </c>
      <c r="C62" s="14">
        <f>'B) D RI'!U64</f>
        <v>9474.9746364594321</v>
      </c>
      <c r="D62" s="62">
        <f>'B) D RI'!AR64</f>
        <v>364</v>
      </c>
      <c r="E62" s="346">
        <f t="shared" si="11"/>
        <v>26.030150100163276</v>
      </c>
      <c r="F62" s="112">
        <f t="shared" si="3"/>
        <v>0.56573002695028018</v>
      </c>
      <c r="G62" s="116">
        <f t="shared" si="4"/>
        <v>0</v>
      </c>
      <c r="H62" s="116">
        <f t="shared" si="5"/>
        <v>0</v>
      </c>
      <c r="I62" s="116">
        <f t="shared" si="6"/>
        <v>0</v>
      </c>
      <c r="J62" s="116">
        <f t="shared" si="7"/>
        <v>0</v>
      </c>
      <c r="K62" s="116">
        <f t="shared" si="8"/>
        <v>0</v>
      </c>
      <c r="L62" s="350">
        <f t="shared" si="9"/>
        <v>0</v>
      </c>
      <c r="M62" s="164">
        <f>L62*D62*'B) D RI'!S64</f>
        <v>0</v>
      </c>
      <c r="N62" s="18">
        <f>(('B) D RI'!S64*C62)-M62)/'B) D RI'!S64</f>
        <v>9474.9746364594321</v>
      </c>
      <c r="O62" s="167">
        <f t="shared" si="1"/>
        <v>26.030150100163276</v>
      </c>
      <c r="P62" s="106">
        <f t="shared" si="10"/>
        <v>0.59353908952978152</v>
      </c>
    </row>
    <row r="63" spans="1:16" x14ac:dyDescent="0.25">
      <c r="A63" s="82">
        <f>'A) Base RI'!A65</f>
        <v>5494</v>
      </c>
      <c r="B63" s="83" t="str">
        <f>'A) Base RI'!B65</f>
        <v>Pampigny</v>
      </c>
      <c r="C63" s="14">
        <f>'B) D RI'!U65</f>
        <v>34918.82189206349</v>
      </c>
      <c r="D63" s="62">
        <f>'B) D RI'!AR65</f>
        <v>1104</v>
      </c>
      <c r="E63" s="346">
        <f t="shared" si="11"/>
        <v>31.629367655854612</v>
      </c>
      <c r="F63" s="112">
        <f t="shared" si="3"/>
        <v>0.6874214304378794</v>
      </c>
      <c r="G63" s="116">
        <f t="shared" si="4"/>
        <v>0</v>
      </c>
      <c r="H63" s="116">
        <f t="shared" si="5"/>
        <v>0</v>
      </c>
      <c r="I63" s="116">
        <f t="shared" si="6"/>
        <v>0</v>
      </c>
      <c r="J63" s="116">
        <f t="shared" si="7"/>
        <v>0</v>
      </c>
      <c r="K63" s="116">
        <f t="shared" si="8"/>
        <v>0</v>
      </c>
      <c r="L63" s="350">
        <f t="shared" si="9"/>
        <v>0</v>
      </c>
      <c r="M63" s="164">
        <f>L63*D63*'B) D RI'!S65</f>
        <v>0</v>
      </c>
      <c r="N63" s="18">
        <f>(('B) D RI'!S65*C63)-M63)/'B) D RI'!S65</f>
        <v>34918.82189206349</v>
      </c>
      <c r="O63" s="167">
        <f t="shared" si="1"/>
        <v>31.629367655854612</v>
      </c>
      <c r="P63" s="106">
        <f t="shared" si="10"/>
        <v>0.72121236368671227</v>
      </c>
    </row>
    <row r="64" spans="1:16" x14ac:dyDescent="0.25">
      <c r="A64" s="82">
        <f>'A) Base RI'!A66</f>
        <v>5495</v>
      </c>
      <c r="B64" s="83" t="str">
        <f>'A) Base RI'!B66</f>
        <v>Penthalaz</v>
      </c>
      <c r="C64" s="14">
        <f>'B) D RI'!U66</f>
        <v>87716.055405405408</v>
      </c>
      <c r="D64" s="62">
        <f>'B) D RI'!AR66</f>
        <v>3150</v>
      </c>
      <c r="E64" s="346">
        <f t="shared" si="11"/>
        <v>27.846366795366798</v>
      </c>
      <c r="F64" s="112">
        <f t="shared" si="3"/>
        <v>0.60520303482658089</v>
      </c>
      <c r="G64" s="116">
        <f t="shared" si="4"/>
        <v>0</v>
      </c>
      <c r="H64" s="116">
        <f t="shared" si="5"/>
        <v>0</v>
      </c>
      <c r="I64" s="116">
        <f t="shared" si="6"/>
        <v>0</v>
      </c>
      <c r="J64" s="116">
        <f t="shared" si="7"/>
        <v>0</v>
      </c>
      <c r="K64" s="116">
        <f t="shared" si="8"/>
        <v>0</v>
      </c>
      <c r="L64" s="350">
        <f t="shared" si="9"/>
        <v>0</v>
      </c>
      <c r="M64" s="164">
        <f>L64*D64*'B) D RI'!S66</f>
        <v>0</v>
      </c>
      <c r="N64" s="18">
        <f>(('B) D RI'!S66*C64)-M64)/'B) D RI'!S66</f>
        <v>87716.055405405408</v>
      </c>
      <c r="O64" s="167">
        <f t="shared" si="1"/>
        <v>27.846366795366798</v>
      </c>
      <c r="P64" s="106">
        <f t="shared" si="10"/>
        <v>0.63495243518901856</v>
      </c>
    </row>
    <row r="65" spans="1:16" x14ac:dyDescent="0.25">
      <c r="A65" s="82">
        <f>'A) Base RI'!A67</f>
        <v>5496</v>
      </c>
      <c r="B65" s="83" t="str">
        <f>'A) Base RI'!B67</f>
        <v>Penthaz</v>
      </c>
      <c r="C65" s="14">
        <f>'B) D RI'!U67</f>
        <v>51566.366901408452</v>
      </c>
      <c r="D65" s="62">
        <f>'B) D RI'!AR67</f>
        <v>1666</v>
      </c>
      <c r="E65" s="346">
        <f t="shared" si="11"/>
        <v>30.952201021253572</v>
      </c>
      <c r="F65" s="112">
        <f t="shared" si="3"/>
        <v>0.67270413157603859</v>
      </c>
      <c r="G65" s="116">
        <f t="shared" si="4"/>
        <v>0</v>
      </c>
      <c r="H65" s="116">
        <f t="shared" si="5"/>
        <v>0</v>
      </c>
      <c r="I65" s="116">
        <f t="shared" si="6"/>
        <v>0</v>
      </c>
      <c r="J65" s="116">
        <f t="shared" si="7"/>
        <v>0</v>
      </c>
      <c r="K65" s="116">
        <f t="shared" si="8"/>
        <v>0</v>
      </c>
      <c r="L65" s="350">
        <f t="shared" si="9"/>
        <v>0</v>
      </c>
      <c r="M65" s="164">
        <f>L65*D65*'B) D RI'!S67</f>
        <v>0</v>
      </c>
      <c r="N65" s="18">
        <f>(('B) D RI'!S67*C65)-M65)/'B) D RI'!S67</f>
        <v>51566.366901408452</v>
      </c>
      <c r="O65" s="167">
        <f t="shared" si="1"/>
        <v>30.952201021253572</v>
      </c>
      <c r="P65" s="106">
        <f t="shared" si="10"/>
        <v>0.70577162030972618</v>
      </c>
    </row>
    <row r="66" spans="1:16" x14ac:dyDescent="0.25">
      <c r="A66" s="82">
        <f>'A) Base RI'!A68</f>
        <v>5497</v>
      </c>
      <c r="B66" s="83" t="str">
        <f>'A) Base RI'!B68</f>
        <v>Pompaples</v>
      </c>
      <c r="C66" s="14">
        <f>'B) D RI'!U68</f>
        <v>20299.313939393938</v>
      </c>
      <c r="D66" s="62">
        <f>'B) D RI'!AR68</f>
        <v>839</v>
      </c>
      <c r="E66" s="346">
        <f t="shared" si="11"/>
        <v>24.194653086285982</v>
      </c>
      <c r="F66" s="112">
        <f t="shared" si="3"/>
        <v>0.52583798748326815</v>
      </c>
      <c r="G66" s="116">
        <f t="shared" si="4"/>
        <v>0</v>
      </c>
      <c r="H66" s="116">
        <f t="shared" si="5"/>
        <v>0</v>
      </c>
      <c r="I66" s="116">
        <f t="shared" si="6"/>
        <v>0</v>
      </c>
      <c r="J66" s="116">
        <f t="shared" si="7"/>
        <v>0</v>
      </c>
      <c r="K66" s="116">
        <f t="shared" si="8"/>
        <v>0</v>
      </c>
      <c r="L66" s="350">
        <f t="shared" si="9"/>
        <v>0</v>
      </c>
      <c r="M66" s="164">
        <f>L66*D66*'B) D RI'!S68</f>
        <v>0</v>
      </c>
      <c r="N66" s="18">
        <f>(('B) D RI'!S68*C66)-M66)/'B) D RI'!S68</f>
        <v>20299.313939393938</v>
      </c>
      <c r="O66" s="167">
        <f t="shared" si="1"/>
        <v>24.194653086285982</v>
      </c>
      <c r="P66" s="106">
        <f t="shared" si="10"/>
        <v>0.55168611433527703</v>
      </c>
    </row>
    <row r="67" spans="1:16" x14ac:dyDescent="0.25">
      <c r="A67" s="82">
        <f>'A) Base RI'!A69</f>
        <v>5498</v>
      </c>
      <c r="B67" s="83" t="str">
        <f>'A) Base RI'!B69</f>
        <v>La Sarraz</v>
      </c>
      <c r="C67" s="14">
        <f>'B) D RI'!U69</f>
        <v>72296.623593750002</v>
      </c>
      <c r="D67" s="62">
        <f>'B) D RI'!AR69</f>
        <v>2510</v>
      </c>
      <c r="E67" s="346">
        <f t="shared" si="11"/>
        <v>28.803435694721117</v>
      </c>
      <c r="F67" s="112">
        <f t="shared" si="3"/>
        <v>0.62600362998802017</v>
      </c>
      <c r="G67" s="116">
        <f t="shared" si="4"/>
        <v>0</v>
      </c>
      <c r="H67" s="116">
        <f t="shared" si="5"/>
        <v>0</v>
      </c>
      <c r="I67" s="116">
        <f t="shared" si="6"/>
        <v>0</v>
      </c>
      <c r="J67" s="116">
        <f t="shared" si="7"/>
        <v>0</v>
      </c>
      <c r="K67" s="116">
        <f t="shared" si="8"/>
        <v>0</v>
      </c>
      <c r="L67" s="350">
        <f t="shared" si="9"/>
        <v>0</v>
      </c>
      <c r="M67" s="164">
        <f>L67*D67*'B) D RI'!S69</f>
        <v>0</v>
      </c>
      <c r="N67" s="18">
        <f>(('B) D RI'!S69*C67)-M67)/'B) D RI'!S69</f>
        <v>72296.623593750002</v>
      </c>
      <c r="O67" s="167">
        <f t="shared" si="1"/>
        <v>28.803435694721117</v>
      </c>
      <c r="P67" s="106">
        <f t="shared" si="10"/>
        <v>0.65677550578039678</v>
      </c>
    </row>
    <row r="68" spans="1:16" x14ac:dyDescent="0.25">
      <c r="A68" s="82">
        <f>'A) Base RI'!A70</f>
        <v>5499</v>
      </c>
      <c r="B68" s="83" t="str">
        <f>'A) Base RI'!B70</f>
        <v>Senarclens</v>
      </c>
      <c r="C68" s="14">
        <f>'B) D RI'!U70</f>
        <v>17459.062919708031</v>
      </c>
      <c r="D68" s="62">
        <f>'B) D RI'!AR70</f>
        <v>435</v>
      </c>
      <c r="E68" s="346">
        <f t="shared" si="11"/>
        <v>40.135776826915013</v>
      </c>
      <c r="F68" s="112">
        <f t="shared" si="3"/>
        <v>0.87229670280766591</v>
      </c>
      <c r="G68" s="116">
        <f t="shared" si="4"/>
        <v>0</v>
      </c>
      <c r="H68" s="116">
        <f t="shared" si="5"/>
        <v>0</v>
      </c>
      <c r="I68" s="116">
        <f t="shared" si="6"/>
        <v>0</v>
      </c>
      <c r="J68" s="116">
        <f t="shared" si="7"/>
        <v>0</v>
      </c>
      <c r="K68" s="116">
        <f t="shared" si="8"/>
        <v>0</v>
      </c>
      <c r="L68" s="350">
        <f t="shared" si="9"/>
        <v>0</v>
      </c>
      <c r="M68" s="164">
        <f>L68*D68*'B) D RI'!S70</f>
        <v>0</v>
      </c>
      <c r="N68" s="18">
        <f>(('B) D RI'!S70*C68)-M68)/'B) D RI'!S70</f>
        <v>17459.062919708031</v>
      </c>
      <c r="O68" s="167">
        <f t="shared" si="1"/>
        <v>40.135776826915013</v>
      </c>
      <c r="P68" s="106">
        <f t="shared" si="10"/>
        <v>0.91517537715882069</v>
      </c>
    </row>
    <row r="69" spans="1:16" x14ac:dyDescent="0.25">
      <c r="A69" s="82">
        <f>'A) Base RI'!A71</f>
        <v>5500</v>
      </c>
      <c r="B69" s="83" t="str">
        <f>'A) Base RI'!B71</f>
        <v>Sévery</v>
      </c>
      <c r="C69" s="14">
        <f>'B) D RI'!U71</f>
        <v>6102.0277564102553</v>
      </c>
      <c r="D69" s="62">
        <f>'B) D RI'!AR71</f>
        <v>223</v>
      </c>
      <c r="E69" s="346">
        <f t="shared" si="11"/>
        <v>27.363353167758991</v>
      </c>
      <c r="F69" s="112">
        <f t="shared" si="3"/>
        <v>0.59470538838534115</v>
      </c>
      <c r="G69" s="116">
        <f t="shared" si="4"/>
        <v>0</v>
      </c>
      <c r="H69" s="116">
        <f t="shared" si="5"/>
        <v>0</v>
      </c>
      <c r="I69" s="116">
        <f t="shared" si="6"/>
        <v>0</v>
      </c>
      <c r="J69" s="116">
        <f t="shared" si="7"/>
        <v>0</v>
      </c>
      <c r="K69" s="116">
        <f t="shared" si="8"/>
        <v>0</v>
      </c>
      <c r="L69" s="350">
        <f t="shared" si="9"/>
        <v>0</v>
      </c>
      <c r="M69" s="164">
        <f>L69*D69*'B) D RI'!S71</f>
        <v>0</v>
      </c>
      <c r="N69" s="18">
        <f>(('B) D RI'!S71*C69)-M69)/'B) D RI'!S71</f>
        <v>6102.0277564102553</v>
      </c>
      <c r="O69" s="167">
        <f t="shared" ref="O69:O132" si="12">N69/D69</f>
        <v>27.363353167758991</v>
      </c>
      <c r="P69" s="106">
        <f t="shared" ref="P69:P132" si="13">O69/O$323</f>
        <v>0.62393876574579032</v>
      </c>
    </row>
    <row r="70" spans="1:16" x14ac:dyDescent="0.25">
      <c r="A70" s="82">
        <f>'A) Base RI'!A72</f>
        <v>5501</v>
      </c>
      <c r="B70" s="83" t="str">
        <f>'A) Base RI'!B72</f>
        <v>Sullens</v>
      </c>
      <c r="C70" s="14">
        <f>'B) D RI'!U72</f>
        <v>37787.89666666666</v>
      </c>
      <c r="D70" s="62">
        <f>'B) D RI'!AR72</f>
        <v>902</v>
      </c>
      <c r="E70" s="346">
        <f t="shared" si="11"/>
        <v>41.893455284552836</v>
      </c>
      <c r="F70" s="112">
        <f t="shared" ref="F70:F133" si="14">E70/$E$323</f>
        <v>0.91049746144267407</v>
      </c>
      <c r="G70" s="116">
        <f t="shared" ref="G70:G133" si="15">IF(E70-$G$2&lt;0,0,E70-$G$2)</f>
        <v>0</v>
      </c>
      <c r="H70" s="116">
        <f t="shared" ref="H70:H133" si="16">IF(E70-$H$2&lt;0,0,E70-$H$2)</f>
        <v>0</v>
      </c>
      <c r="I70" s="116">
        <f t="shared" ref="I70:I133" si="17">IF(E70-$I$2&lt;0,0,E70-$I$2)</f>
        <v>0</v>
      </c>
      <c r="J70" s="116">
        <f t="shared" ref="J70:J133" si="18">IF(E70-$J$2&lt;0,0,E70-$J$2)</f>
        <v>0</v>
      </c>
      <c r="K70" s="116">
        <f t="shared" ref="K70:K133" si="19">IF(E70&gt;$K$2,E70-$K$2,0)</f>
        <v>0</v>
      </c>
      <c r="L70" s="350">
        <f t="shared" ref="L70:L133" si="20">(G70-H70)*$G$3+(H70-I70)*$H$3+(I70-J70)*$I$3+(K70*$J$3)</f>
        <v>0</v>
      </c>
      <c r="M70" s="164">
        <f>L70*D70*'B) D RI'!S72</f>
        <v>0</v>
      </c>
      <c r="N70" s="18">
        <f>(('B) D RI'!S72*C70)-M70)/'B) D RI'!S72</f>
        <v>37787.89666666666</v>
      </c>
      <c r="O70" s="167">
        <f t="shared" si="12"/>
        <v>41.893455284552836</v>
      </c>
      <c r="P70" s="106">
        <f t="shared" si="13"/>
        <v>0.95525393480900955</v>
      </c>
    </row>
    <row r="71" spans="1:16" x14ac:dyDescent="0.25">
      <c r="A71" s="82">
        <f>'A) Base RI'!A73</f>
        <v>5503</v>
      </c>
      <c r="B71" s="83" t="str">
        <f>'A) Base RI'!B73</f>
        <v>Vufflens-la-Ville</v>
      </c>
      <c r="C71" s="14">
        <f>'B) D RI'!U73</f>
        <v>57812.991915422885</v>
      </c>
      <c r="D71" s="62">
        <f>'B) D RI'!AR73</f>
        <v>1226</v>
      </c>
      <c r="E71" s="346">
        <f t="shared" si="11"/>
        <v>47.155784596592888</v>
      </c>
      <c r="F71" s="112">
        <f t="shared" si="14"/>
        <v>1.024867055627342</v>
      </c>
      <c r="G71" s="116">
        <f t="shared" si="15"/>
        <v>0</v>
      </c>
      <c r="H71" s="116">
        <f t="shared" si="16"/>
        <v>0</v>
      </c>
      <c r="I71" s="116">
        <f t="shared" si="17"/>
        <v>0</v>
      </c>
      <c r="J71" s="116">
        <f t="shared" si="18"/>
        <v>0</v>
      </c>
      <c r="K71" s="116">
        <f t="shared" si="19"/>
        <v>0</v>
      </c>
      <c r="L71" s="350">
        <f t="shared" si="20"/>
        <v>0</v>
      </c>
      <c r="M71" s="164">
        <f>L71*D71*'B) D RI'!S73</f>
        <v>0</v>
      </c>
      <c r="N71" s="18">
        <f>(('B) D RI'!S73*C71)-M71)/'B) D RI'!S73</f>
        <v>57812.991915422885</v>
      </c>
      <c r="O71" s="167">
        <f t="shared" si="12"/>
        <v>47.155784596592888</v>
      </c>
      <c r="P71" s="106">
        <f t="shared" si="13"/>
        <v>1.0752454883212017</v>
      </c>
    </row>
    <row r="72" spans="1:16" x14ac:dyDescent="0.25">
      <c r="A72" s="82">
        <f>'A) Base RI'!A74</f>
        <v>5511</v>
      </c>
      <c r="B72" s="83" t="str">
        <f>'A) Base RI'!B74</f>
        <v>Assens</v>
      </c>
      <c r="C72" s="14">
        <f>'B) D RI'!U74</f>
        <v>39783.593571428566</v>
      </c>
      <c r="D72" s="62">
        <f>'B) D RI'!AR74</f>
        <v>1024</v>
      </c>
      <c r="E72" s="346">
        <f t="shared" si="11"/>
        <v>38.851165597098209</v>
      </c>
      <c r="F72" s="112">
        <f t="shared" si="14"/>
        <v>0.84437741909749109</v>
      </c>
      <c r="G72" s="116">
        <f t="shared" si="15"/>
        <v>0</v>
      </c>
      <c r="H72" s="116">
        <f t="shared" si="16"/>
        <v>0</v>
      </c>
      <c r="I72" s="116">
        <f t="shared" si="17"/>
        <v>0</v>
      </c>
      <c r="J72" s="116">
        <f t="shared" si="18"/>
        <v>0</v>
      </c>
      <c r="K72" s="116">
        <f t="shared" si="19"/>
        <v>0</v>
      </c>
      <c r="L72" s="350">
        <f t="shared" si="20"/>
        <v>0</v>
      </c>
      <c r="M72" s="164">
        <f>L72*D72*'B) D RI'!S74</f>
        <v>0</v>
      </c>
      <c r="N72" s="18">
        <f>(('B) D RI'!S74*C72)-M72)/'B) D RI'!S74</f>
        <v>39783.593571428566</v>
      </c>
      <c r="O72" s="167">
        <f t="shared" si="12"/>
        <v>38.851165597098209</v>
      </c>
      <c r="P72" s="106">
        <f t="shared" si="13"/>
        <v>0.88588369129411193</v>
      </c>
    </row>
    <row r="73" spans="1:16" x14ac:dyDescent="0.25">
      <c r="A73" s="82">
        <f>'A) Base RI'!A75</f>
        <v>5512</v>
      </c>
      <c r="B73" s="83" t="str">
        <f>'A) Base RI'!B75</f>
        <v>Bercher</v>
      </c>
      <c r="C73" s="14">
        <f>'B) D RI'!U75</f>
        <v>36622.722911392411</v>
      </c>
      <c r="D73" s="62">
        <f>'B) D RI'!AR75</f>
        <v>1143</v>
      </c>
      <c r="E73" s="346">
        <f t="shared" si="11"/>
        <v>32.040877437788637</v>
      </c>
      <c r="F73" s="112">
        <f t="shared" si="14"/>
        <v>0.69636503772128033</v>
      </c>
      <c r="G73" s="116">
        <f t="shared" si="15"/>
        <v>0</v>
      </c>
      <c r="H73" s="116">
        <f t="shared" si="16"/>
        <v>0</v>
      </c>
      <c r="I73" s="116">
        <f t="shared" si="17"/>
        <v>0</v>
      </c>
      <c r="J73" s="116">
        <f t="shared" si="18"/>
        <v>0</v>
      </c>
      <c r="K73" s="116">
        <f t="shared" si="19"/>
        <v>0</v>
      </c>
      <c r="L73" s="350">
        <f t="shared" si="20"/>
        <v>0</v>
      </c>
      <c r="M73" s="164">
        <f>L73*D73*'B) D RI'!S75</f>
        <v>0</v>
      </c>
      <c r="N73" s="18">
        <f>(('B) D RI'!S75*C73)-M73)/'B) D RI'!S75</f>
        <v>36622.722911392411</v>
      </c>
      <c r="O73" s="167">
        <f t="shared" si="12"/>
        <v>32.040877437788637</v>
      </c>
      <c r="P73" s="106">
        <f t="shared" si="13"/>
        <v>0.73059560352059194</v>
      </c>
    </row>
    <row r="74" spans="1:16" x14ac:dyDescent="0.25">
      <c r="A74" s="82">
        <f>'A) Base RI'!A76</f>
        <v>5513</v>
      </c>
      <c r="B74" s="83" t="str">
        <f>'A) Base RI'!B76</f>
        <v>Bioley-Orjulaz</v>
      </c>
      <c r="C74" s="14">
        <f>'B) D RI'!U76</f>
        <v>30506.038333333338</v>
      </c>
      <c r="D74" s="62">
        <f>'B) D RI'!AR76</f>
        <v>460</v>
      </c>
      <c r="E74" s="346">
        <f t="shared" si="11"/>
        <v>66.317474637681173</v>
      </c>
      <c r="F74" s="112">
        <f t="shared" si="14"/>
        <v>1.4413204138156144</v>
      </c>
      <c r="G74" s="116">
        <f t="shared" si="15"/>
        <v>11.103541078978338</v>
      </c>
      <c r="H74" s="116">
        <f t="shared" si="16"/>
        <v>0</v>
      </c>
      <c r="I74" s="116">
        <f t="shared" si="17"/>
        <v>0</v>
      </c>
      <c r="J74" s="116">
        <f t="shared" si="18"/>
        <v>0</v>
      </c>
      <c r="K74" s="116">
        <f t="shared" si="19"/>
        <v>0</v>
      </c>
      <c r="L74" s="350">
        <f t="shared" si="20"/>
        <v>3.9972747884322017</v>
      </c>
      <c r="M74" s="164">
        <f>L74*D74*'B) D RI'!S76</f>
        <v>121357.26257680164</v>
      </c>
      <c r="N74" s="18">
        <f>(('B) D RI'!S76*C74)-M74)/'B) D RI'!S76</f>
        <v>28667.291930654523</v>
      </c>
      <c r="O74" s="167">
        <f t="shared" si="12"/>
        <v>62.320199849248965</v>
      </c>
      <c r="P74" s="106">
        <f t="shared" si="13"/>
        <v>1.4210242559302506</v>
      </c>
    </row>
    <row r="75" spans="1:16" x14ac:dyDescent="0.25">
      <c r="A75" s="82">
        <f>'A) Base RI'!A77</f>
        <v>5514</v>
      </c>
      <c r="B75" s="83" t="str">
        <f>'A) Base RI'!B77</f>
        <v>Bottens</v>
      </c>
      <c r="C75" s="14">
        <f>'B) D RI'!U77</f>
        <v>42846.050910973077</v>
      </c>
      <c r="D75" s="62">
        <f>'B) D RI'!AR77</f>
        <v>1281</v>
      </c>
      <c r="E75" s="346">
        <f t="shared" si="11"/>
        <v>33.447346534717468</v>
      </c>
      <c r="F75" s="112">
        <f t="shared" si="14"/>
        <v>0.72693273698726701</v>
      </c>
      <c r="G75" s="116">
        <f t="shared" si="15"/>
        <v>0</v>
      </c>
      <c r="H75" s="116">
        <f t="shared" si="16"/>
        <v>0</v>
      </c>
      <c r="I75" s="116">
        <f t="shared" si="17"/>
        <v>0</v>
      </c>
      <c r="J75" s="116">
        <f t="shared" si="18"/>
        <v>0</v>
      </c>
      <c r="K75" s="116">
        <f t="shared" si="19"/>
        <v>0</v>
      </c>
      <c r="L75" s="350">
        <f t="shared" si="20"/>
        <v>0</v>
      </c>
      <c r="M75" s="164">
        <f>L75*D75*'B) D RI'!S77</f>
        <v>0</v>
      </c>
      <c r="N75" s="18">
        <f>(('B) D RI'!S77*C75)-M75)/'B) D RI'!S77</f>
        <v>42846.050910973077</v>
      </c>
      <c r="O75" s="167">
        <f t="shared" si="12"/>
        <v>33.447346534717468</v>
      </c>
      <c r="P75" s="106">
        <f t="shared" si="13"/>
        <v>0.76266589063114054</v>
      </c>
    </row>
    <row r="76" spans="1:16" x14ac:dyDescent="0.25">
      <c r="A76" s="82">
        <f>'A) Base RI'!A78</f>
        <v>5515</v>
      </c>
      <c r="B76" s="83" t="str">
        <f>'A) Base RI'!B78</f>
        <v>Bretigny-sur-Morrens</v>
      </c>
      <c r="C76" s="14">
        <f>'B) D RI'!U78</f>
        <v>22223.6698630137</v>
      </c>
      <c r="D76" s="62">
        <f>'B) D RI'!AR78</f>
        <v>785</v>
      </c>
      <c r="E76" s="346">
        <f t="shared" si="11"/>
        <v>28.310407468807259</v>
      </c>
      <c r="F76" s="112">
        <f t="shared" si="14"/>
        <v>0.61528832982800519</v>
      </c>
      <c r="G76" s="116">
        <f t="shared" si="15"/>
        <v>0</v>
      </c>
      <c r="H76" s="116">
        <f t="shared" si="16"/>
        <v>0</v>
      </c>
      <c r="I76" s="116">
        <f t="shared" si="17"/>
        <v>0</v>
      </c>
      <c r="J76" s="116">
        <f t="shared" si="18"/>
        <v>0</v>
      </c>
      <c r="K76" s="116">
        <f t="shared" si="19"/>
        <v>0</v>
      </c>
      <c r="L76" s="350">
        <f t="shared" si="20"/>
        <v>0</v>
      </c>
      <c r="M76" s="164">
        <f>L76*D76*'B) D RI'!S78</f>
        <v>0</v>
      </c>
      <c r="N76" s="18">
        <f>(('B) D RI'!S78*C76)-M76)/'B) D RI'!S78</f>
        <v>22223.6698630137</v>
      </c>
      <c r="O76" s="167">
        <f t="shared" si="12"/>
        <v>28.310407468807259</v>
      </c>
      <c r="P76" s="106">
        <f t="shared" si="13"/>
        <v>0.64553348361781393</v>
      </c>
    </row>
    <row r="77" spans="1:16" x14ac:dyDescent="0.25">
      <c r="A77" s="82">
        <f>'A) Base RI'!A79</f>
        <v>5516</v>
      </c>
      <c r="B77" s="83" t="str">
        <f>'A) Base RI'!B79</f>
        <v>Cugy</v>
      </c>
      <c r="C77" s="14">
        <f>'B) D RI'!U79</f>
        <v>117631.39925373136</v>
      </c>
      <c r="D77" s="62">
        <f>'B) D RI'!AR79</f>
        <v>2738</v>
      </c>
      <c r="E77" s="346">
        <f t="shared" si="11"/>
        <v>42.962527119697356</v>
      </c>
      <c r="F77" s="112">
        <f t="shared" si="14"/>
        <v>0.93373228858661361</v>
      </c>
      <c r="G77" s="116">
        <f t="shared" si="15"/>
        <v>0</v>
      </c>
      <c r="H77" s="116">
        <f t="shared" si="16"/>
        <v>0</v>
      </c>
      <c r="I77" s="116">
        <f t="shared" si="17"/>
        <v>0</v>
      </c>
      <c r="J77" s="116">
        <f t="shared" si="18"/>
        <v>0</v>
      </c>
      <c r="K77" s="116">
        <f t="shared" si="19"/>
        <v>0</v>
      </c>
      <c r="L77" s="350">
        <f t="shared" si="20"/>
        <v>0</v>
      </c>
      <c r="M77" s="164">
        <f>L77*D77*'B) D RI'!S79</f>
        <v>0</v>
      </c>
      <c r="N77" s="18">
        <f>(('B) D RI'!S79*C77)-M77)/'B) D RI'!S79</f>
        <v>117631.39925373136</v>
      </c>
      <c r="O77" s="167">
        <f t="shared" si="12"/>
        <v>42.962527119697356</v>
      </c>
      <c r="P77" s="106">
        <f t="shared" si="13"/>
        <v>0.97963089465103637</v>
      </c>
    </row>
    <row r="78" spans="1:16" x14ac:dyDescent="0.25">
      <c r="A78" s="82">
        <f>'A) Base RI'!A80</f>
        <v>5518</v>
      </c>
      <c r="B78" s="83" t="str">
        <f>'A) Base RI'!B80</f>
        <v>Echallens</v>
      </c>
      <c r="C78" s="14">
        <f>'B) D RI'!U80</f>
        <v>173156.24540540541</v>
      </c>
      <c r="D78" s="62">
        <f>'B) D RI'!AR80</f>
        <v>5485</v>
      </c>
      <c r="E78" s="346">
        <f t="shared" si="11"/>
        <v>31.569051122225236</v>
      </c>
      <c r="F78" s="112">
        <f t="shared" si="14"/>
        <v>0.68611053234223296</v>
      </c>
      <c r="G78" s="116">
        <f t="shared" si="15"/>
        <v>0</v>
      </c>
      <c r="H78" s="116">
        <f t="shared" si="16"/>
        <v>0</v>
      </c>
      <c r="I78" s="116">
        <f t="shared" si="17"/>
        <v>0</v>
      </c>
      <c r="J78" s="116">
        <f t="shared" si="18"/>
        <v>0</v>
      </c>
      <c r="K78" s="116">
        <f t="shared" si="19"/>
        <v>0</v>
      </c>
      <c r="L78" s="350">
        <f t="shared" si="20"/>
        <v>0</v>
      </c>
      <c r="M78" s="164">
        <f>L78*D78*'B) D RI'!S80</f>
        <v>0</v>
      </c>
      <c r="N78" s="18">
        <f>(('B) D RI'!S80*C78)-M78)/'B) D RI'!S80</f>
        <v>173156.24540540541</v>
      </c>
      <c r="O78" s="167">
        <f t="shared" si="12"/>
        <v>31.569051122225236</v>
      </c>
      <c r="P78" s="106">
        <f t="shared" si="13"/>
        <v>0.71983702699767227</v>
      </c>
    </row>
    <row r="79" spans="1:16" x14ac:dyDescent="0.25">
      <c r="A79" s="82">
        <f>'A) Base RI'!A81</f>
        <v>5520</v>
      </c>
      <c r="B79" s="83" t="str">
        <f>'A) Base RI'!B81</f>
        <v>Essertines-sur-Yverdon</v>
      </c>
      <c r="C79" s="14">
        <f>'B) D RI'!U81</f>
        <v>27983.283972602738</v>
      </c>
      <c r="D79" s="62">
        <f>'B) D RI'!AR81</f>
        <v>908</v>
      </c>
      <c r="E79" s="346">
        <f t="shared" si="11"/>
        <v>30.818594683483191</v>
      </c>
      <c r="F79" s="112">
        <f t="shared" si="14"/>
        <v>0.66980037893624533</v>
      </c>
      <c r="G79" s="116">
        <f t="shared" si="15"/>
        <v>0</v>
      </c>
      <c r="H79" s="116">
        <f t="shared" si="16"/>
        <v>0</v>
      </c>
      <c r="I79" s="116">
        <f t="shared" si="17"/>
        <v>0</v>
      </c>
      <c r="J79" s="116">
        <f t="shared" si="18"/>
        <v>0</v>
      </c>
      <c r="K79" s="116">
        <f t="shared" si="19"/>
        <v>0</v>
      </c>
      <c r="L79" s="350">
        <f t="shared" si="20"/>
        <v>0</v>
      </c>
      <c r="M79" s="164">
        <f>L79*D79*'B) D RI'!S81</f>
        <v>0</v>
      </c>
      <c r="N79" s="18">
        <f>(('B) D RI'!S81*C79)-M79)/'B) D RI'!S81</f>
        <v>27983.283972602738</v>
      </c>
      <c r="O79" s="167">
        <f t="shared" si="12"/>
        <v>30.818594683483191</v>
      </c>
      <c r="P79" s="106">
        <f t="shared" si="13"/>
        <v>0.70272513061333597</v>
      </c>
    </row>
    <row r="80" spans="1:16" x14ac:dyDescent="0.25">
      <c r="A80" s="82">
        <f>'A) Base RI'!A82</f>
        <v>5521</v>
      </c>
      <c r="B80" s="83" t="str">
        <f>'A) Base RI'!B82</f>
        <v>Etagnières</v>
      </c>
      <c r="C80" s="14">
        <f>'B) D RI'!U82</f>
        <v>36300.178904109591</v>
      </c>
      <c r="D80" s="62">
        <f>'B) D RI'!AR82</f>
        <v>1106</v>
      </c>
      <c r="E80" s="346">
        <f t="shared" si="11"/>
        <v>32.821138249647007</v>
      </c>
      <c r="F80" s="112">
        <f t="shared" si="14"/>
        <v>0.71332294877528202</v>
      </c>
      <c r="G80" s="116">
        <f t="shared" si="15"/>
        <v>0</v>
      </c>
      <c r="H80" s="116">
        <f t="shared" si="16"/>
        <v>0</v>
      </c>
      <c r="I80" s="116">
        <f t="shared" si="17"/>
        <v>0</v>
      </c>
      <c r="J80" s="116">
        <f t="shared" si="18"/>
        <v>0</v>
      </c>
      <c r="K80" s="116">
        <f t="shared" si="19"/>
        <v>0</v>
      </c>
      <c r="L80" s="350">
        <f t="shared" si="20"/>
        <v>0</v>
      </c>
      <c r="M80" s="164">
        <f>L80*D80*'B) D RI'!S82</f>
        <v>0</v>
      </c>
      <c r="N80" s="18">
        <f>(('B) D RI'!S82*C80)-M80)/'B) D RI'!S82</f>
        <v>36300.178904109591</v>
      </c>
      <c r="O80" s="167">
        <f t="shared" si="12"/>
        <v>32.821138249647007</v>
      </c>
      <c r="P80" s="106">
        <f t="shared" si="13"/>
        <v>0.74838709877068199</v>
      </c>
    </row>
    <row r="81" spans="1:16" x14ac:dyDescent="0.25">
      <c r="A81" s="82">
        <f>'A) Base RI'!A83</f>
        <v>5522</v>
      </c>
      <c r="B81" s="83" t="str">
        <f>'A) Base RI'!B83</f>
        <v>Fey</v>
      </c>
      <c r="C81" s="14">
        <f>'B) D RI'!U83</f>
        <v>16159.379733333333</v>
      </c>
      <c r="D81" s="62">
        <f>'B) D RI'!AR83</f>
        <v>620</v>
      </c>
      <c r="E81" s="346">
        <f t="shared" si="11"/>
        <v>26.063515698924732</v>
      </c>
      <c r="F81" s="112">
        <f t="shared" si="14"/>
        <v>0.56645518301022968</v>
      </c>
      <c r="G81" s="116">
        <f t="shared" si="15"/>
        <v>0</v>
      </c>
      <c r="H81" s="116">
        <f t="shared" si="16"/>
        <v>0</v>
      </c>
      <c r="I81" s="116">
        <f t="shared" si="17"/>
        <v>0</v>
      </c>
      <c r="J81" s="116">
        <f t="shared" si="18"/>
        <v>0</v>
      </c>
      <c r="K81" s="116">
        <f t="shared" si="19"/>
        <v>0</v>
      </c>
      <c r="L81" s="350">
        <f t="shared" si="20"/>
        <v>0</v>
      </c>
      <c r="M81" s="164">
        <f>L81*D81*'B) D RI'!S83</f>
        <v>0</v>
      </c>
      <c r="N81" s="18">
        <f>(('B) D RI'!S83*C81)-M81)/'B) D RI'!S83</f>
        <v>16159.379733333333</v>
      </c>
      <c r="O81" s="167">
        <f t="shared" si="12"/>
        <v>26.063515698924732</v>
      </c>
      <c r="P81" s="106">
        <f t="shared" si="13"/>
        <v>0.59429989140892114</v>
      </c>
    </row>
    <row r="82" spans="1:16" x14ac:dyDescent="0.25">
      <c r="A82" s="82">
        <f>'A) Base RI'!A84</f>
        <v>5523</v>
      </c>
      <c r="B82" s="83" t="str">
        <f>'A) Base RI'!B84</f>
        <v>Froideville</v>
      </c>
      <c r="C82" s="14">
        <f>'B) D RI'!U84</f>
        <v>72242.876052631575</v>
      </c>
      <c r="D82" s="62">
        <f>'B) D RI'!AR84</f>
        <v>2305</v>
      </c>
      <c r="E82" s="346">
        <f t="shared" si="11"/>
        <v>31.341811736499597</v>
      </c>
      <c r="F82" s="112">
        <f t="shared" si="14"/>
        <v>0.68117179233051384</v>
      </c>
      <c r="G82" s="116">
        <f t="shared" si="15"/>
        <v>0</v>
      </c>
      <c r="H82" s="116">
        <f t="shared" si="16"/>
        <v>0</v>
      </c>
      <c r="I82" s="116">
        <f t="shared" si="17"/>
        <v>0</v>
      </c>
      <c r="J82" s="116">
        <f t="shared" si="18"/>
        <v>0</v>
      </c>
      <c r="K82" s="116">
        <f t="shared" si="19"/>
        <v>0</v>
      </c>
      <c r="L82" s="350">
        <f t="shared" si="20"/>
        <v>0</v>
      </c>
      <c r="M82" s="164">
        <f>L82*D82*'B) D RI'!S84</f>
        <v>0</v>
      </c>
      <c r="N82" s="18">
        <f>(('B) D RI'!S84*C82)-M82)/'B) D RI'!S84</f>
        <v>72242.876052631575</v>
      </c>
      <c r="O82" s="167">
        <f t="shared" si="12"/>
        <v>31.341811736499597</v>
      </c>
      <c r="P82" s="106">
        <f t="shared" si="13"/>
        <v>0.71465551795566118</v>
      </c>
    </row>
    <row r="83" spans="1:16" x14ac:dyDescent="0.25">
      <c r="A83" s="82">
        <f>'A) Base RI'!A85</f>
        <v>5527</v>
      </c>
      <c r="B83" s="83" t="str">
        <f>'A) Base RI'!B85</f>
        <v>Morrens</v>
      </c>
      <c r="C83" s="14">
        <f>'B) D RI'!U85</f>
        <v>37759.681126760574</v>
      </c>
      <c r="D83" s="62">
        <f>'B) D RI'!AR85</f>
        <v>1048</v>
      </c>
      <c r="E83" s="346">
        <f t="shared" si="11"/>
        <v>36.030230082786808</v>
      </c>
      <c r="F83" s="112">
        <f t="shared" si="14"/>
        <v>0.78306820964631774</v>
      </c>
      <c r="G83" s="116">
        <f t="shared" si="15"/>
        <v>0</v>
      </c>
      <c r="H83" s="116">
        <f t="shared" si="16"/>
        <v>0</v>
      </c>
      <c r="I83" s="116">
        <f t="shared" si="17"/>
        <v>0</v>
      </c>
      <c r="J83" s="116">
        <f t="shared" si="18"/>
        <v>0</v>
      </c>
      <c r="K83" s="116">
        <f t="shared" si="19"/>
        <v>0</v>
      </c>
      <c r="L83" s="350">
        <f t="shared" si="20"/>
        <v>0</v>
      </c>
      <c r="M83" s="164">
        <f>L83*D83*'B) D RI'!S85</f>
        <v>0</v>
      </c>
      <c r="N83" s="18">
        <f>(('B) D RI'!S85*C83)-M83)/'B) D RI'!S85</f>
        <v>37759.681126760574</v>
      </c>
      <c r="O83" s="167">
        <f t="shared" si="12"/>
        <v>36.030230082786808</v>
      </c>
      <c r="P83" s="106">
        <f t="shared" si="13"/>
        <v>0.82156076229278774</v>
      </c>
    </row>
    <row r="84" spans="1:16" x14ac:dyDescent="0.25">
      <c r="A84" s="82">
        <f>'A) Base RI'!A86</f>
        <v>5529</v>
      </c>
      <c r="B84" s="83" t="str">
        <f>'A) Base RI'!B86</f>
        <v>Oulens-sous-Echallens</v>
      </c>
      <c r="C84" s="14">
        <f>'B) D RI'!U86</f>
        <v>19397.63972972973</v>
      </c>
      <c r="D84" s="62">
        <f>'B) D RI'!AR86</f>
        <v>529</v>
      </c>
      <c r="E84" s="346">
        <f t="shared" si="11"/>
        <v>36.668506105349209</v>
      </c>
      <c r="F84" s="112">
        <f t="shared" si="14"/>
        <v>0.79694027377412624</v>
      </c>
      <c r="G84" s="116">
        <f t="shared" si="15"/>
        <v>0</v>
      </c>
      <c r="H84" s="116">
        <f t="shared" si="16"/>
        <v>0</v>
      </c>
      <c r="I84" s="116">
        <f t="shared" si="17"/>
        <v>0</v>
      </c>
      <c r="J84" s="116">
        <f t="shared" si="18"/>
        <v>0</v>
      </c>
      <c r="K84" s="116">
        <f t="shared" si="19"/>
        <v>0</v>
      </c>
      <c r="L84" s="350">
        <f t="shared" si="20"/>
        <v>0</v>
      </c>
      <c r="M84" s="164">
        <f>L84*D84*'B) D RI'!S86</f>
        <v>0</v>
      </c>
      <c r="N84" s="18">
        <f>(('B) D RI'!S86*C84)-M84)/'B) D RI'!S86</f>
        <v>19397.63972972973</v>
      </c>
      <c r="O84" s="167">
        <f t="shared" si="12"/>
        <v>36.668506105349209</v>
      </c>
      <c r="P84" s="106">
        <f t="shared" si="13"/>
        <v>0.83611472252131525</v>
      </c>
    </row>
    <row r="85" spans="1:16" x14ac:dyDescent="0.25">
      <c r="A85" s="82">
        <f>'A) Base RI'!A87</f>
        <v>5530</v>
      </c>
      <c r="B85" s="83" t="str">
        <f>'A) Base RI'!B87</f>
        <v>Pailly</v>
      </c>
      <c r="C85" s="14">
        <f>'B) D RI'!U87</f>
        <v>13906.482623655915</v>
      </c>
      <c r="D85" s="62">
        <f>'B) D RI'!AR87</f>
        <v>524</v>
      </c>
      <c r="E85" s="346">
        <f t="shared" si="11"/>
        <v>26.539088976442585</v>
      </c>
      <c r="F85" s="112">
        <f t="shared" si="14"/>
        <v>0.57679112352811868</v>
      </c>
      <c r="G85" s="116">
        <f t="shared" si="15"/>
        <v>0</v>
      </c>
      <c r="H85" s="116">
        <f t="shared" si="16"/>
        <v>0</v>
      </c>
      <c r="I85" s="116">
        <f t="shared" si="17"/>
        <v>0</v>
      </c>
      <c r="J85" s="116">
        <f t="shared" si="18"/>
        <v>0</v>
      </c>
      <c r="K85" s="116">
        <f t="shared" si="19"/>
        <v>0</v>
      </c>
      <c r="L85" s="350">
        <f t="shared" si="20"/>
        <v>0</v>
      </c>
      <c r="M85" s="164">
        <f>L85*D85*'B) D RI'!S87</f>
        <v>0</v>
      </c>
      <c r="N85" s="18">
        <f>(('B) D RI'!S87*C85)-M85)/'B) D RI'!S87</f>
        <v>13906.482623655915</v>
      </c>
      <c r="O85" s="167">
        <f t="shared" si="12"/>
        <v>26.539088976442585</v>
      </c>
      <c r="P85" s="106">
        <f t="shared" si="13"/>
        <v>0.60514390610174729</v>
      </c>
    </row>
    <row r="86" spans="1:16" x14ac:dyDescent="0.25">
      <c r="A86" s="82">
        <f>'A) Base RI'!A88</f>
        <v>5531</v>
      </c>
      <c r="B86" s="83" t="str">
        <f>'A) Base RI'!B88</f>
        <v>Penthéréaz</v>
      </c>
      <c r="C86" s="14">
        <f>'B) D RI'!U88</f>
        <v>13188.510897435897</v>
      </c>
      <c r="D86" s="62">
        <f>'B) D RI'!AR88</f>
        <v>387</v>
      </c>
      <c r="E86" s="346">
        <f t="shared" si="11"/>
        <v>34.078839528258129</v>
      </c>
      <c r="F86" s="112">
        <f t="shared" si="14"/>
        <v>0.74065738117410285</v>
      </c>
      <c r="G86" s="116">
        <f t="shared" si="15"/>
        <v>0</v>
      </c>
      <c r="H86" s="116">
        <f t="shared" si="16"/>
        <v>0</v>
      </c>
      <c r="I86" s="116">
        <f t="shared" si="17"/>
        <v>0</v>
      </c>
      <c r="J86" s="116">
        <f t="shared" si="18"/>
        <v>0</v>
      </c>
      <c r="K86" s="116">
        <f t="shared" si="19"/>
        <v>0</v>
      </c>
      <c r="L86" s="350">
        <f t="shared" si="20"/>
        <v>0</v>
      </c>
      <c r="M86" s="164">
        <f>L86*D86*'B) D RI'!S88</f>
        <v>0</v>
      </c>
      <c r="N86" s="18">
        <f>(('B) D RI'!S88*C86)-M86)/'B) D RI'!S88</f>
        <v>13188.510897435897</v>
      </c>
      <c r="O86" s="167">
        <f t="shared" si="12"/>
        <v>34.078839528258129</v>
      </c>
      <c r="P86" s="106">
        <f t="shared" si="13"/>
        <v>0.7770651843343378</v>
      </c>
    </row>
    <row r="87" spans="1:16" x14ac:dyDescent="0.25">
      <c r="A87" s="82">
        <f>'A) Base RI'!A89</f>
        <v>5533</v>
      </c>
      <c r="B87" s="83" t="str">
        <f>'A) Base RI'!B89</f>
        <v>Poliez-Pittet</v>
      </c>
      <c r="C87" s="14">
        <f>'B) D RI'!U89</f>
        <v>23278.194178403755</v>
      </c>
      <c r="D87" s="62">
        <f>'B) D RI'!AR89</f>
        <v>802</v>
      </c>
      <c r="E87" s="346">
        <f t="shared" si="11"/>
        <v>29.025179773570766</v>
      </c>
      <c r="F87" s="112">
        <f t="shared" si="14"/>
        <v>0.6308229369540177</v>
      </c>
      <c r="G87" s="116">
        <f t="shared" si="15"/>
        <v>0</v>
      </c>
      <c r="H87" s="116">
        <f t="shared" si="16"/>
        <v>0</v>
      </c>
      <c r="I87" s="116">
        <f t="shared" si="17"/>
        <v>0</v>
      </c>
      <c r="J87" s="116">
        <f t="shared" si="18"/>
        <v>0</v>
      </c>
      <c r="K87" s="116">
        <f t="shared" si="19"/>
        <v>0</v>
      </c>
      <c r="L87" s="350">
        <f t="shared" si="20"/>
        <v>0</v>
      </c>
      <c r="M87" s="164">
        <f>L87*D87*'B) D RI'!S89</f>
        <v>0</v>
      </c>
      <c r="N87" s="18">
        <f>(('B) D RI'!S89*C87)-M87)/'B) D RI'!S89</f>
        <v>23278.194178403755</v>
      </c>
      <c r="O87" s="167">
        <f t="shared" si="12"/>
        <v>29.025179773570766</v>
      </c>
      <c r="P87" s="106">
        <f t="shared" si="13"/>
        <v>0.66183171091800042</v>
      </c>
    </row>
    <row r="88" spans="1:16" x14ac:dyDescent="0.25">
      <c r="A88" s="82">
        <f>'A) Base RI'!A90</f>
        <v>5534</v>
      </c>
      <c r="B88" s="83" t="str">
        <f>'A) Base RI'!B90</f>
        <v>Rueyres</v>
      </c>
      <c r="C88" s="14">
        <f>'B) D RI'!U90</f>
        <v>7491.8463013698638</v>
      </c>
      <c r="D88" s="62">
        <f>'B) D RI'!AR90</f>
        <v>261</v>
      </c>
      <c r="E88" s="346">
        <f t="shared" si="11"/>
        <v>28.704391959271508</v>
      </c>
      <c r="F88" s="112">
        <f t="shared" si="14"/>
        <v>0.62385104865792584</v>
      </c>
      <c r="G88" s="116">
        <f t="shared" si="15"/>
        <v>0</v>
      </c>
      <c r="H88" s="116">
        <f t="shared" si="16"/>
        <v>0</v>
      </c>
      <c r="I88" s="116">
        <f t="shared" si="17"/>
        <v>0</v>
      </c>
      <c r="J88" s="116">
        <f t="shared" si="18"/>
        <v>0</v>
      </c>
      <c r="K88" s="116">
        <f t="shared" si="19"/>
        <v>0</v>
      </c>
      <c r="L88" s="350">
        <f t="shared" si="20"/>
        <v>0</v>
      </c>
      <c r="M88" s="164">
        <f>L88*D88*'B) D RI'!S90</f>
        <v>0</v>
      </c>
      <c r="N88" s="18">
        <f>(('B) D RI'!S90*C88)-M88)/'B) D RI'!S90</f>
        <v>7491.8463013698638</v>
      </c>
      <c r="O88" s="167">
        <f t="shared" si="12"/>
        <v>28.704391959271508</v>
      </c>
      <c r="P88" s="106">
        <f t="shared" si="13"/>
        <v>0.65451711202023088</v>
      </c>
    </row>
    <row r="89" spans="1:16" x14ac:dyDescent="0.25">
      <c r="A89" s="82">
        <f>'A) Base RI'!A91</f>
        <v>5535</v>
      </c>
      <c r="B89" s="83" t="str">
        <f>'A) Base RI'!B91</f>
        <v>Saint-Barthélemy</v>
      </c>
      <c r="C89" s="14">
        <f>'B) D RI'!U91</f>
        <v>20337.444935064934</v>
      </c>
      <c r="D89" s="62">
        <f>'B) D RI'!AR91</f>
        <v>776</v>
      </c>
      <c r="E89" s="346">
        <f t="shared" si="11"/>
        <v>26.208047596733163</v>
      </c>
      <c r="F89" s="112">
        <f t="shared" si="14"/>
        <v>0.56959638788717837</v>
      </c>
      <c r="G89" s="116">
        <f t="shared" si="15"/>
        <v>0</v>
      </c>
      <c r="H89" s="116">
        <f t="shared" si="16"/>
        <v>0</v>
      </c>
      <c r="I89" s="116">
        <f t="shared" si="17"/>
        <v>0</v>
      </c>
      <c r="J89" s="116">
        <f t="shared" si="18"/>
        <v>0</v>
      </c>
      <c r="K89" s="116">
        <f t="shared" si="19"/>
        <v>0</v>
      </c>
      <c r="L89" s="350">
        <f t="shared" si="20"/>
        <v>0</v>
      </c>
      <c r="M89" s="164">
        <f>L89*D89*'B) D RI'!S91</f>
        <v>0</v>
      </c>
      <c r="N89" s="18">
        <f>(('B) D RI'!S91*C89)-M89)/'B) D RI'!S91</f>
        <v>20337.444935064934</v>
      </c>
      <c r="O89" s="167">
        <f t="shared" si="12"/>
        <v>26.208047596733163</v>
      </c>
      <c r="P89" s="106">
        <f t="shared" si="13"/>
        <v>0.59759550556032359</v>
      </c>
    </row>
    <row r="90" spans="1:16" x14ac:dyDescent="0.25">
      <c r="A90" s="82">
        <f>'A) Base RI'!A92</f>
        <v>5537</v>
      </c>
      <c r="B90" s="83" t="str">
        <f>'A) Base RI'!B92</f>
        <v>Villars-le-Terroir</v>
      </c>
      <c r="C90" s="14">
        <f>'B) D RI'!U92</f>
        <v>28392.00020547945</v>
      </c>
      <c r="D90" s="62">
        <f>'B) D RI'!AR92</f>
        <v>944</v>
      </c>
      <c r="E90" s="346">
        <f t="shared" si="11"/>
        <v>30.076271404109587</v>
      </c>
      <c r="F90" s="112">
        <f t="shared" si="14"/>
        <v>0.65366698872413065</v>
      </c>
      <c r="G90" s="116">
        <f t="shared" si="15"/>
        <v>0</v>
      </c>
      <c r="H90" s="116">
        <f t="shared" si="16"/>
        <v>0</v>
      </c>
      <c r="I90" s="116">
        <f t="shared" si="17"/>
        <v>0</v>
      </c>
      <c r="J90" s="116">
        <f t="shared" si="18"/>
        <v>0</v>
      </c>
      <c r="K90" s="116">
        <f t="shared" si="19"/>
        <v>0</v>
      </c>
      <c r="L90" s="350">
        <f t="shared" si="20"/>
        <v>0</v>
      </c>
      <c r="M90" s="164">
        <f>L90*D90*'B) D RI'!S92</f>
        <v>0</v>
      </c>
      <c r="N90" s="18">
        <f>(('B) D RI'!S92*C90)-M90)/'B) D RI'!S92</f>
        <v>28392.00020547945</v>
      </c>
      <c r="O90" s="167">
        <f t="shared" si="12"/>
        <v>30.076271404109587</v>
      </c>
      <c r="P90" s="106">
        <f t="shared" si="13"/>
        <v>0.68579868640610842</v>
      </c>
    </row>
    <row r="91" spans="1:16" x14ac:dyDescent="0.25">
      <c r="A91" s="82">
        <f>'A) Base RI'!A93</f>
        <v>5539</v>
      </c>
      <c r="B91" s="83" t="str">
        <f>'A) Base RI'!B93</f>
        <v>Vuarrens</v>
      </c>
      <c r="C91" s="14">
        <f>'B) D RI'!U93</f>
        <v>22715.815066666666</v>
      </c>
      <c r="D91" s="62">
        <f>'B) D RI'!AR93</f>
        <v>930</v>
      </c>
      <c r="E91" s="346">
        <f t="shared" si="11"/>
        <v>24.425607598566309</v>
      </c>
      <c r="F91" s="112">
        <f t="shared" si="14"/>
        <v>0.53085747073456979</v>
      </c>
      <c r="G91" s="116">
        <f t="shared" si="15"/>
        <v>0</v>
      </c>
      <c r="H91" s="116">
        <f t="shared" si="16"/>
        <v>0</v>
      </c>
      <c r="I91" s="116">
        <f t="shared" si="17"/>
        <v>0</v>
      </c>
      <c r="J91" s="116">
        <f t="shared" si="18"/>
        <v>0</v>
      </c>
      <c r="K91" s="116">
        <f t="shared" si="19"/>
        <v>0</v>
      </c>
      <c r="L91" s="350">
        <f t="shared" si="20"/>
        <v>0</v>
      </c>
      <c r="M91" s="164">
        <f>L91*D91*'B) D RI'!S93</f>
        <v>0</v>
      </c>
      <c r="N91" s="18">
        <f>(('B) D RI'!S93*C91)-M91)/'B) D RI'!S93</f>
        <v>22715.815066666666</v>
      </c>
      <c r="O91" s="167">
        <f t="shared" si="12"/>
        <v>24.425607598566309</v>
      </c>
      <c r="P91" s="106">
        <f t="shared" si="13"/>
        <v>0.55695233563688984</v>
      </c>
    </row>
    <row r="92" spans="1:16" x14ac:dyDescent="0.25">
      <c r="A92" s="82">
        <f>'A) Base RI'!A94</f>
        <v>5540</v>
      </c>
      <c r="B92" s="83" t="str">
        <f>'A) Base RI'!B94</f>
        <v>Montilliez</v>
      </c>
      <c r="C92" s="14">
        <f>'B) D RI'!U94</f>
        <v>49229.090304054065</v>
      </c>
      <c r="D92" s="62">
        <f>'B) D RI'!AR94</f>
        <v>1635</v>
      </c>
      <c r="E92" s="346">
        <f>C92/D92</f>
        <v>30.109535354161508</v>
      </c>
      <c r="F92" s="112">
        <f t="shared" si="14"/>
        <v>0.65438993558716962</v>
      </c>
      <c r="G92" s="116">
        <f t="shared" si="15"/>
        <v>0</v>
      </c>
      <c r="H92" s="116">
        <f t="shared" si="16"/>
        <v>0</v>
      </c>
      <c r="I92" s="116">
        <f t="shared" si="17"/>
        <v>0</v>
      </c>
      <c r="J92" s="116">
        <f t="shared" si="18"/>
        <v>0</v>
      </c>
      <c r="K92" s="116">
        <f t="shared" si="19"/>
        <v>0</v>
      </c>
      <c r="L92" s="350">
        <f t="shared" si="20"/>
        <v>0</v>
      </c>
      <c r="M92" s="164">
        <f>L92*D92*'B) D RI'!S94</f>
        <v>0</v>
      </c>
      <c r="N92" s="18">
        <f>(('B) D RI'!S94*C92)-M92)/'B) D RI'!S94</f>
        <v>49229.090304054065</v>
      </c>
      <c r="O92" s="167">
        <f t="shared" si="12"/>
        <v>30.109535354161508</v>
      </c>
      <c r="P92" s="106">
        <f t="shared" si="13"/>
        <v>0.6865571704929081</v>
      </c>
    </row>
    <row r="93" spans="1:16" x14ac:dyDescent="0.25">
      <c r="A93" s="82">
        <f>'A) Base RI'!A95</f>
        <v>5541</v>
      </c>
      <c r="B93" s="83" t="str">
        <f>'A) Base RI'!B95</f>
        <v>Goumoëns</v>
      </c>
      <c r="C93" s="14">
        <f>'B) D RI'!U95</f>
        <v>28419.250909090908</v>
      </c>
      <c r="D93" s="62">
        <f>'B) D RI'!AR95</f>
        <v>962</v>
      </c>
      <c r="E93" s="346">
        <f>C93/D93</f>
        <v>29.541840861840861</v>
      </c>
      <c r="F93" s="112">
        <f t="shared" si="14"/>
        <v>0.64205186534154046</v>
      </c>
      <c r="G93" s="116">
        <f t="shared" si="15"/>
        <v>0</v>
      </c>
      <c r="H93" s="116">
        <f t="shared" si="16"/>
        <v>0</v>
      </c>
      <c r="I93" s="116">
        <f t="shared" si="17"/>
        <v>0</v>
      </c>
      <c r="J93" s="116">
        <f t="shared" si="18"/>
        <v>0</v>
      </c>
      <c r="K93" s="116">
        <f t="shared" si="19"/>
        <v>0</v>
      </c>
      <c r="L93" s="350">
        <f t="shared" si="20"/>
        <v>0</v>
      </c>
      <c r="M93" s="164">
        <f>L93*D93*'B) D RI'!S95</f>
        <v>0</v>
      </c>
      <c r="N93" s="18">
        <f>(('B) D RI'!S95*C93)-M93)/'B) D RI'!S95</f>
        <v>28419.250909090908</v>
      </c>
      <c r="O93" s="167">
        <f t="shared" si="12"/>
        <v>29.541840861840861</v>
      </c>
      <c r="P93" s="106">
        <f t="shared" si="13"/>
        <v>0.67361260925117505</v>
      </c>
    </row>
    <row r="94" spans="1:16" x14ac:dyDescent="0.25">
      <c r="A94" s="82">
        <f>'A) Base RI'!A96</f>
        <v>5551</v>
      </c>
      <c r="B94" s="83" t="str">
        <f>'A) Base RI'!B96</f>
        <v>Bonvillars</v>
      </c>
      <c r="C94" s="14">
        <f>'B) D RI'!U96</f>
        <v>20657.866545454548</v>
      </c>
      <c r="D94" s="62">
        <f>'B) D RI'!AR96</f>
        <v>514</v>
      </c>
      <c r="E94" s="346">
        <f t="shared" si="11"/>
        <v>40.190401839405737</v>
      </c>
      <c r="F94" s="112">
        <f t="shared" si="14"/>
        <v>0.87348390340657223</v>
      </c>
      <c r="G94" s="116">
        <f t="shared" si="15"/>
        <v>0</v>
      </c>
      <c r="H94" s="116">
        <f t="shared" si="16"/>
        <v>0</v>
      </c>
      <c r="I94" s="116">
        <f t="shared" si="17"/>
        <v>0</v>
      </c>
      <c r="J94" s="116">
        <f t="shared" si="18"/>
        <v>0</v>
      </c>
      <c r="K94" s="116">
        <f t="shared" si="19"/>
        <v>0</v>
      </c>
      <c r="L94" s="350">
        <f t="shared" si="20"/>
        <v>0</v>
      </c>
      <c r="M94" s="164">
        <f>L94*D94*'B) D RI'!S96</f>
        <v>0</v>
      </c>
      <c r="N94" s="18">
        <f>(('B) D RI'!S96*C94)-M94)/'B) D RI'!S96</f>
        <v>20657.866545454548</v>
      </c>
      <c r="O94" s="167">
        <f t="shared" si="12"/>
        <v>40.190401839405737</v>
      </c>
      <c r="P94" s="106">
        <f t="shared" si="13"/>
        <v>0.9164209358687988</v>
      </c>
    </row>
    <row r="95" spans="1:16" x14ac:dyDescent="0.25">
      <c r="A95" s="82">
        <f>'A) Base RI'!A97</f>
        <v>5552</v>
      </c>
      <c r="B95" s="83" t="str">
        <f>'A) Base RI'!B97</f>
        <v>Bullet</v>
      </c>
      <c r="C95" s="14">
        <f>'B) D RI'!U97</f>
        <v>15344.039999999997</v>
      </c>
      <c r="D95" s="62">
        <f>'B) D RI'!AR97</f>
        <v>596</v>
      </c>
      <c r="E95" s="346">
        <f t="shared" si="11"/>
        <v>25.745033557046977</v>
      </c>
      <c r="F95" s="112">
        <f t="shared" si="14"/>
        <v>0.55953340537873786</v>
      </c>
      <c r="G95" s="116">
        <f t="shared" si="15"/>
        <v>0</v>
      </c>
      <c r="H95" s="116">
        <f t="shared" si="16"/>
        <v>0</v>
      </c>
      <c r="I95" s="116">
        <f t="shared" si="17"/>
        <v>0</v>
      </c>
      <c r="J95" s="116">
        <f t="shared" si="18"/>
        <v>0</v>
      </c>
      <c r="K95" s="116">
        <f t="shared" si="19"/>
        <v>0</v>
      </c>
      <c r="L95" s="350">
        <f t="shared" si="20"/>
        <v>0</v>
      </c>
      <c r="M95" s="164">
        <f>L95*D95*'B) D RI'!S97</f>
        <v>0</v>
      </c>
      <c r="N95" s="18">
        <f>(('B) D RI'!S97*C95)-M95)/'B) D RI'!S97</f>
        <v>15344.039999999997</v>
      </c>
      <c r="O95" s="167">
        <f t="shared" si="12"/>
        <v>25.745033557046977</v>
      </c>
      <c r="P95" s="106">
        <f t="shared" si="13"/>
        <v>0.58703786641889111</v>
      </c>
    </row>
    <row r="96" spans="1:16" x14ac:dyDescent="0.25">
      <c r="A96" s="82">
        <f>'A) Base RI'!A98</f>
        <v>5553</v>
      </c>
      <c r="B96" s="83" t="str">
        <f>'A) Base RI'!B98</f>
        <v>Champagne</v>
      </c>
      <c r="C96" s="14">
        <f>'B) D RI'!U98</f>
        <v>34561.95904761905</v>
      </c>
      <c r="D96" s="62">
        <f>'B) D RI'!AR98</f>
        <v>1005</v>
      </c>
      <c r="E96" s="346">
        <f t="shared" si="11"/>
        <v>34.390009002606021</v>
      </c>
      <c r="F96" s="112">
        <f t="shared" si="14"/>
        <v>0.74742022788960583</v>
      </c>
      <c r="G96" s="116">
        <f t="shared" si="15"/>
        <v>0</v>
      </c>
      <c r="H96" s="116">
        <f t="shared" si="16"/>
        <v>0</v>
      </c>
      <c r="I96" s="116">
        <f t="shared" si="17"/>
        <v>0</v>
      </c>
      <c r="J96" s="116">
        <f t="shared" si="18"/>
        <v>0</v>
      </c>
      <c r="K96" s="116">
        <f t="shared" si="19"/>
        <v>0</v>
      </c>
      <c r="L96" s="350">
        <f t="shared" si="20"/>
        <v>0</v>
      </c>
      <c r="M96" s="164">
        <f>L96*D96*'B) D RI'!S98</f>
        <v>0</v>
      </c>
      <c r="N96" s="18">
        <f>(('B) D RI'!S98*C96)-M96)/'B) D RI'!S98</f>
        <v>34561.95904761905</v>
      </c>
      <c r="O96" s="167">
        <f t="shared" si="12"/>
        <v>34.390009002606021</v>
      </c>
      <c r="P96" s="106">
        <f t="shared" si="13"/>
        <v>0.78416046598977285</v>
      </c>
    </row>
    <row r="97" spans="1:16" x14ac:dyDescent="0.25">
      <c r="A97" s="82">
        <f>'A) Base RI'!A99</f>
        <v>5554</v>
      </c>
      <c r="B97" s="83" t="str">
        <f>'A) Base RI'!B99</f>
        <v>Concise</v>
      </c>
      <c r="C97" s="14">
        <f>'B) D RI'!U99</f>
        <v>28927.786533333336</v>
      </c>
      <c r="D97" s="62">
        <f>'B) D RI'!AR99</f>
        <v>932</v>
      </c>
      <c r="E97" s="346">
        <f t="shared" si="11"/>
        <v>31.038397567954224</v>
      </c>
      <c r="F97" s="112">
        <f t="shared" si="14"/>
        <v>0.67457749667383249</v>
      </c>
      <c r="G97" s="116">
        <f t="shared" si="15"/>
        <v>0</v>
      </c>
      <c r="H97" s="116">
        <f t="shared" si="16"/>
        <v>0</v>
      </c>
      <c r="I97" s="116">
        <f t="shared" si="17"/>
        <v>0</v>
      </c>
      <c r="J97" s="116">
        <f t="shared" si="18"/>
        <v>0</v>
      </c>
      <c r="K97" s="116">
        <f t="shared" si="19"/>
        <v>0</v>
      </c>
      <c r="L97" s="350">
        <f t="shared" si="20"/>
        <v>0</v>
      </c>
      <c r="M97" s="164">
        <f>L97*D97*'B) D RI'!S99</f>
        <v>0</v>
      </c>
      <c r="N97" s="18">
        <f>(('B) D RI'!S99*C97)-M97)/'B) D RI'!S99</f>
        <v>28927.786533333336</v>
      </c>
      <c r="O97" s="167">
        <f t="shared" si="12"/>
        <v>31.038397567954224</v>
      </c>
      <c r="P97" s="106">
        <f t="shared" si="13"/>
        <v>0.70773707266603036</v>
      </c>
    </row>
    <row r="98" spans="1:16" x14ac:dyDescent="0.25">
      <c r="A98" s="82">
        <f>'A) Base RI'!A100</f>
        <v>5555</v>
      </c>
      <c r="B98" s="83" t="str">
        <f>'A) Base RI'!B100</f>
        <v>Corcelles-près-Concise</v>
      </c>
      <c r="C98" s="14">
        <f>'B) D RI'!U100</f>
        <v>9553.9681690140824</v>
      </c>
      <c r="D98" s="62">
        <f>'B) D RI'!AR100</f>
        <v>331</v>
      </c>
      <c r="E98" s="346">
        <f t="shared" si="11"/>
        <v>28.863952172247984</v>
      </c>
      <c r="F98" s="112">
        <f t="shared" si="14"/>
        <v>0.62731887359324223</v>
      </c>
      <c r="G98" s="116">
        <f t="shared" si="15"/>
        <v>0</v>
      </c>
      <c r="H98" s="116">
        <f t="shared" si="16"/>
        <v>0</v>
      </c>
      <c r="I98" s="116">
        <f t="shared" si="17"/>
        <v>0</v>
      </c>
      <c r="J98" s="116">
        <f t="shared" si="18"/>
        <v>0</v>
      </c>
      <c r="K98" s="116">
        <f t="shared" si="19"/>
        <v>0</v>
      </c>
      <c r="L98" s="350">
        <f t="shared" si="20"/>
        <v>0</v>
      </c>
      <c r="M98" s="164">
        <f>L98*D98*'B) D RI'!S100</f>
        <v>0</v>
      </c>
      <c r="N98" s="18">
        <f>(('B) D RI'!S100*C98)-M98)/'B) D RI'!S100</f>
        <v>9553.9681690140824</v>
      </c>
      <c r="O98" s="167">
        <f t="shared" si="12"/>
        <v>28.863952172247984</v>
      </c>
      <c r="P98" s="106">
        <f t="shared" si="13"/>
        <v>0.65815540158716823</v>
      </c>
    </row>
    <row r="99" spans="1:16" x14ac:dyDescent="0.25">
      <c r="A99" s="82">
        <f>'A) Base RI'!A101</f>
        <v>5556</v>
      </c>
      <c r="B99" s="83" t="str">
        <f>'A) Base RI'!B101</f>
        <v>Fiez</v>
      </c>
      <c r="C99" s="14">
        <f>'B) D RI'!U101</f>
        <v>10930.395096618358</v>
      </c>
      <c r="D99" s="62">
        <f>'B) D RI'!AR101</f>
        <v>411</v>
      </c>
      <c r="E99" s="346">
        <f t="shared" si="11"/>
        <v>26.594635271577513</v>
      </c>
      <c r="F99" s="112">
        <f t="shared" si="14"/>
        <v>0.57799834695644126</v>
      </c>
      <c r="G99" s="116">
        <f t="shared" si="15"/>
        <v>0</v>
      </c>
      <c r="H99" s="116">
        <f t="shared" si="16"/>
        <v>0</v>
      </c>
      <c r="I99" s="116">
        <f t="shared" si="17"/>
        <v>0</v>
      </c>
      <c r="J99" s="116">
        <f t="shared" si="18"/>
        <v>0</v>
      </c>
      <c r="K99" s="116">
        <f t="shared" si="19"/>
        <v>0</v>
      </c>
      <c r="L99" s="350">
        <f t="shared" si="20"/>
        <v>0</v>
      </c>
      <c r="M99" s="164">
        <f>L99*D99*'B) D RI'!S101</f>
        <v>0</v>
      </c>
      <c r="N99" s="18">
        <f>(('B) D RI'!S101*C99)-M99)/'B) D RI'!S101</f>
        <v>10930.395096618358</v>
      </c>
      <c r="O99" s="167">
        <f t="shared" si="12"/>
        <v>26.594635271577513</v>
      </c>
      <c r="P99" s="106">
        <f t="shared" si="13"/>
        <v>0.60641047188466723</v>
      </c>
    </row>
    <row r="100" spans="1:16" x14ac:dyDescent="0.25">
      <c r="A100" s="82">
        <f>'A) Base RI'!A102</f>
        <v>5557</v>
      </c>
      <c r="B100" s="83" t="str">
        <f>'A) Base RI'!B102</f>
        <v>Fontaines-sur-Grandson</v>
      </c>
      <c r="C100" s="14">
        <f>'B) D RI'!U102</f>
        <v>4594.8315942028985</v>
      </c>
      <c r="D100" s="62">
        <f>'B) D RI'!AR102</f>
        <v>183</v>
      </c>
      <c r="E100" s="346">
        <f t="shared" si="11"/>
        <v>25.108369367228953</v>
      </c>
      <c r="F100" s="112">
        <f t="shared" si="14"/>
        <v>0.54569637225068957</v>
      </c>
      <c r="G100" s="116">
        <f t="shared" si="15"/>
        <v>0</v>
      </c>
      <c r="H100" s="116">
        <f t="shared" si="16"/>
        <v>0</v>
      </c>
      <c r="I100" s="116">
        <f t="shared" si="17"/>
        <v>0</v>
      </c>
      <c r="J100" s="116">
        <f t="shared" si="18"/>
        <v>0</v>
      </c>
      <c r="K100" s="116">
        <f t="shared" si="19"/>
        <v>0</v>
      </c>
      <c r="L100" s="350">
        <f t="shared" si="20"/>
        <v>0</v>
      </c>
      <c r="M100" s="164">
        <f>L100*D100*'B) D RI'!S102</f>
        <v>0</v>
      </c>
      <c r="N100" s="18">
        <f>(('B) D RI'!S102*C100)-M100)/'B) D RI'!S102</f>
        <v>4594.8315942028985</v>
      </c>
      <c r="O100" s="167">
        <f t="shared" si="12"/>
        <v>25.108369367228953</v>
      </c>
      <c r="P100" s="106">
        <f t="shared" si="13"/>
        <v>0.57252065917626227</v>
      </c>
    </row>
    <row r="101" spans="1:16" x14ac:dyDescent="0.25">
      <c r="A101" s="82">
        <f>'A) Base RI'!A103</f>
        <v>5559</v>
      </c>
      <c r="B101" s="83" t="str">
        <f>'A) Base RI'!B103</f>
        <v>Giez</v>
      </c>
      <c r="C101" s="14">
        <f>'B) D RI'!U103</f>
        <v>14748.809242424242</v>
      </c>
      <c r="D101" s="62">
        <f>'B) D RI'!AR103</f>
        <v>384</v>
      </c>
      <c r="E101" s="346">
        <f t="shared" si="11"/>
        <v>38.408357402146464</v>
      </c>
      <c r="F101" s="112">
        <f t="shared" si="14"/>
        <v>0.83475358323408266</v>
      </c>
      <c r="G101" s="116">
        <f t="shared" si="15"/>
        <v>0</v>
      </c>
      <c r="H101" s="116">
        <f t="shared" si="16"/>
        <v>0</v>
      </c>
      <c r="I101" s="116">
        <f t="shared" si="17"/>
        <v>0</v>
      </c>
      <c r="J101" s="116">
        <f t="shared" si="18"/>
        <v>0</v>
      </c>
      <c r="K101" s="116">
        <f t="shared" si="19"/>
        <v>0</v>
      </c>
      <c r="L101" s="350">
        <f t="shared" si="20"/>
        <v>0</v>
      </c>
      <c r="M101" s="164">
        <f>L101*D101*'B) D RI'!S103</f>
        <v>0</v>
      </c>
      <c r="N101" s="18">
        <f>(('B) D RI'!S103*C101)-M101)/'B) D RI'!S103</f>
        <v>14748.809242424242</v>
      </c>
      <c r="O101" s="167">
        <f t="shared" si="12"/>
        <v>38.408357402146464</v>
      </c>
      <c r="P101" s="106">
        <f t="shared" si="13"/>
        <v>0.87578678551920686</v>
      </c>
    </row>
    <row r="102" spans="1:16" x14ac:dyDescent="0.25">
      <c r="A102" s="82">
        <f>'A) Base RI'!A104</f>
        <v>5560</v>
      </c>
      <c r="B102" s="83" t="str">
        <f>'A) Base RI'!B104</f>
        <v>Grandevent</v>
      </c>
      <c r="C102" s="14">
        <f>'B) D RI'!U104</f>
        <v>6117.1622727272734</v>
      </c>
      <c r="D102" s="62">
        <f>'B) D RI'!AR104</f>
        <v>226</v>
      </c>
      <c r="E102" s="346">
        <f t="shared" si="11"/>
        <v>27.067089702333067</v>
      </c>
      <c r="F102" s="112">
        <f t="shared" si="14"/>
        <v>0.58826650356774113</v>
      </c>
      <c r="G102" s="116">
        <f t="shared" si="15"/>
        <v>0</v>
      </c>
      <c r="H102" s="116">
        <f t="shared" si="16"/>
        <v>0</v>
      </c>
      <c r="I102" s="116">
        <f t="shared" si="17"/>
        <v>0</v>
      </c>
      <c r="J102" s="116">
        <f t="shared" si="18"/>
        <v>0</v>
      </c>
      <c r="K102" s="116">
        <f t="shared" si="19"/>
        <v>0</v>
      </c>
      <c r="L102" s="350">
        <f t="shared" si="20"/>
        <v>0</v>
      </c>
      <c r="M102" s="164">
        <f>L102*D102*'B) D RI'!S104</f>
        <v>0</v>
      </c>
      <c r="N102" s="18">
        <f>(('B) D RI'!S104*C102)-M102)/'B) D RI'!S104</f>
        <v>6117.1622727272734</v>
      </c>
      <c r="O102" s="167">
        <f t="shared" si="12"/>
        <v>27.067089702333067</v>
      </c>
      <c r="P102" s="106">
        <f t="shared" si="13"/>
        <v>0.61718337068071394</v>
      </c>
    </row>
    <row r="103" spans="1:16" x14ac:dyDescent="0.25">
      <c r="A103" s="82">
        <f>'A) Base RI'!A105</f>
        <v>5561</v>
      </c>
      <c r="B103" s="83" t="str">
        <f>'A) Base RI'!B105</f>
        <v>Grandson</v>
      </c>
      <c r="C103" s="14">
        <f>'B) D RI'!U105</f>
        <v>108535.21144927538</v>
      </c>
      <c r="D103" s="62">
        <f>'B) D RI'!AR105</f>
        <v>3244</v>
      </c>
      <c r="E103" s="346">
        <f t="shared" si="11"/>
        <v>33.457216846262448</v>
      </c>
      <c r="F103" s="112">
        <f t="shared" si="14"/>
        <v>0.72714725482887999</v>
      </c>
      <c r="G103" s="116">
        <f t="shared" si="15"/>
        <v>0</v>
      </c>
      <c r="H103" s="116">
        <f t="shared" si="16"/>
        <v>0</v>
      </c>
      <c r="I103" s="116">
        <f t="shared" si="17"/>
        <v>0</v>
      </c>
      <c r="J103" s="116">
        <f t="shared" si="18"/>
        <v>0</v>
      </c>
      <c r="K103" s="116">
        <f t="shared" si="19"/>
        <v>0</v>
      </c>
      <c r="L103" s="350">
        <f t="shared" si="20"/>
        <v>0</v>
      </c>
      <c r="M103" s="164">
        <f>L103*D103*'B) D RI'!S105</f>
        <v>0</v>
      </c>
      <c r="N103" s="18">
        <f>(('B) D RI'!S105*C103)-M103)/'B) D RI'!S105</f>
        <v>108535.21144927538</v>
      </c>
      <c r="O103" s="167">
        <f t="shared" si="12"/>
        <v>33.457216846262448</v>
      </c>
      <c r="P103" s="106">
        <f t="shared" si="13"/>
        <v>0.76289095332594792</v>
      </c>
    </row>
    <row r="104" spans="1:16" x14ac:dyDescent="0.25">
      <c r="A104" s="82">
        <f>'A) Base RI'!A106</f>
        <v>5562</v>
      </c>
      <c r="B104" s="83" t="str">
        <f>'A) Base RI'!B106</f>
        <v>Mauborget</v>
      </c>
      <c r="C104" s="14">
        <f>'B) D RI'!U106</f>
        <v>3378.0009047619046</v>
      </c>
      <c r="D104" s="62">
        <f>'B) D RI'!AR106</f>
        <v>110</v>
      </c>
      <c r="E104" s="346">
        <f t="shared" si="11"/>
        <v>30.709099134199132</v>
      </c>
      <c r="F104" s="112">
        <f t="shared" si="14"/>
        <v>0.66742064160053871</v>
      </c>
      <c r="G104" s="116">
        <f t="shared" si="15"/>
        <v>0</v>
      </c>
      <c r="H104" s="116">
        <f t="shared" si="16"/>
        <v>0</v>
      </c>
      <c r="I104" s="116">
        <f t="shared" si="17"/>
        <v>0</v>
      </c>
      <c r="J104" s="116">
        <f t="shared" si="18"/>
        <v>0</v>
      </c>
      <c r="K104" s="116">
        <f t="shared" si="19"/>
        <v>0</v>
      </c>
      <c r="L104" s="350">
        <f t="shared" si="20"/>
        <v>0</v>
      </c>
      <c r="M104" s="164">
        <f>L104*D104*'B) D RI'!S106</f>
        <v>0</v>
      </c>
      <c r="N104" s="18">
        <f>(('B) D RI'!S106*C104)-M104)/'B) D RI'!S106</f>
        <v>3378.0009047619046</v>
      </c>
      <c r="O104" s="167">
        <f t="shared" si="12"/>
        <v>30.709099134199132</v>
      </c>
      <c r="P104" s="106">
        <f t="shared" si="13"/>
        <v>0.70022841475193887</v>
      </c>
    </row>
    <row r="105" spans="1:16" x14ac:dyDescent="0.25">
      <c r="A105" s="82">
        <f>'A) Base RI'!A107</f>
        <v>5563</v>
      </c>
      <c r="B105" s="83" t="str">
        <f>'A) Base RI'!B107</f>
        <v>Mutrux</v>
      </c>
      <c r="C105" s="14">
        <f>'B) D RI'!U107</f>
        <v>3733.6552866242037</v>
      </c>
      <c r="D105" s="62">
        <f>'B) D RI'!AR107</f>
        <v>149</v>
      </c>
      <c r="E105" s="346">
        <f t="shared" si="11"/>
        <v>25.058089171974522</v>
      </c>
      <c r="F105" s="112">
        <f t="shared" si="14"/>
        <v>0.54460360036474587</v>
      </c>
      <c r="G105" s="116">
        <f t="shared" si="15"/>
        <v>0</v>
      </c>
      <c r="H105" s="116">
        <f t="shared" si="16"/>
        <v>0</v>
      </c>
      <c r="I105" s="116">
        <f t="shared" si="17"/>
        <v>0</v>
      </c>
      <c r="J105" s="116">
        <f t="shared" si="18"/>
        <v>0</v>
      </c>
      <c r="K105" s="116">
        <f t="shared" si="19"/>
        <v>0</v>
      </c>
      <c r="L105" s="350">
        <f t="shared" si="20"/>
        <v>0</v>
      </c>
      <c r="M105" s="164">
        <f>L105*D105*'B) D RI'!S107</f>
        <v>0</v>
      </c>
      <c r="N105" s="18">
        <f>(('B) D RI'!S107*C105)-M105)/'B) D RI'!S107</f>
        <v>3733.6552866242037</v>
      </c>
      <c r="O105" s="167">
        <f t="shared" si="12"/>
        <v>25.058089171974522</v>
      </c>
      <c r="P105" s="106">
        <f t="shared" si="13"/>
        <v>0.57137417092329956</v>
      </c>
    </row>
    <row r="106" spans="1:16" x14ac:dyDescent="0.25">
      <c r="A106" s="82">
        <f>'A) Base RI'!A108</f>
        <v>5564</v>
      </c>
      <c r="B106" s="83" t="str">
        <f>'A) Base RI'!B108</f>
        <v>Novalles</v>
      </c>
      <c r="C106" s="14">
        <f>'B) D RI'!U108</f>
        <v>2399.5770723684213</v>
      </c>
      <c r="D106" s="62">
        <f>'B) D RI'!AR108</f>
        <v>102</v>
      </c>
      <c r="E106" s="346">
        <f t="shared" si="11"/>
        <v>23.52526541537668</v>
      </c>
      <c r="F106" s="112">
        <f t="shared" si="14"/>
        <v>0.51128975385240139</v>
      </c>
      <c r="G106" s="116">
        <f t="shared" si="15"/>
        <v>0</v>
      </c>
      <c r="H106" s="116">
        <f t="shared" si="16"/>
        <v>0</v>
      </c>
      <c r="I106" s="116">
        <f t="shared" si="17"/>
        <v>0</v>
      </c>
      <c r="J106" s="116">
        <f t="shared" si="18"/>
        <v>0</v>
      </c>
      <c r="K106" s="116">
        <f t="shared" si="19"/>
        <v>0</v>
      </c>
      <c r="L106" s="350">
        <f t="shared" si="20"/>
        <v>0</v>
      </c>
      <c r="M106" s="164">
        <f>L106*D106*'B) D RI'!S108</f>
        <v>0</v>
      </c>
      <c r="N106" s="18">
        <f>(('B) D RI'!S108*C106)-M106)/'B) D RI'!S108</f>
        <v>2399.5770723684213</v>
      </c>
      <c r="O106" s="167">
        <f t="shared" si="12"/>
        <v>23.52526541537668</v>
      </c>
      <c r="P106" s="106">
        <f t="shared" si="13"/>
        <v>0.53642274677092805</v>
      </c>
    </row>
    <row r="107" spans="1:16" x14ac:dyDescent="0.25">
      <c r="A107" s="82">
        <f>'A) Base RI'!A109</f>
        <v>5565</v>
      </c>
      <c r="B107" s="83" t="str">
        <f>'A) Base RI'!B109</f>
        <v>Onnens</v>
      </c>
      <c r="C107" s="14">
        <f>'B) D RI'!U109</f>
        <v>18028.040615384612</v>
      </c>
      <c r="D107" s="62">
        <f>'B) D RI'!AR109</f>
        <v>500</v>
      </c>
      <c r="E107" s="346">
        <f t="shared" si="11"/>
        <v>36.056081230769223</v>
      </c>
      <c r="F107" s="112">
        <f t="shared" si="14"/>
        <v>0.78363004930488722</v>
      </c>
      <c r="G107" s="116">
        <f t="shared" si="15"/>
        <v>0</v>
      </c>
      <c r="H107" s="116">
        <f t="shared" si="16"/>
        <v>0</v>
      </c>
      <c r="I107" s="116">
        <f t="shared" si="17"/>
        <v>0</v>
      </c>
      <c r="J107" s="116">
        <f t="shared" si="18"/>
        <v>0</v>
      </c>
      <c r="K107" s="116">
        <f t="shared" si="19"/>
        <v>0</v>
      </c>
      <c r="L107" s="350">
        <f t="shared" si="20"/>
        <v>0</v>
      </c>
      <c r="M107" s="164">
        <f>L107*D107*'B) D RI'!S109</f>
        <v>0</v>
      </c>
      <c r="N107" s="18">
        <f>(('B) D RI'!S109*C107)-M107)/'B) D RI'!S109</f>
        <v>18028.040615384612</v>
      </c>
      <c r="O107" s="167">
        <f t="shared" si="12"/>
        <v>36.056081230769223</v>
      </c>
      <c r="P107" s="106">
        <f t="shared" si="13"/>
        <v>0.82215021977873148</v>
      </c>
    </row>
    <row r="108" spans="1:16" x14ac:dyDescent="0.25">
      <c r="A108" s="82">
        <f>'A) Base RI'!A110</f>
        <v>5566</v>
      </c>
      <c r="B108" s="83" t="str">
        <f>'A) Base RI'!B110</f>
        <v>Provence</v>
      </c>
      <c r="C108" s="14">
        <f>'B) D RI'!U110</f>
        <v>6953.5259259259255</v>
      </c>
      <c r="D108" s="62">
        <f>'B) D RI'!AR110</f>
        <v>373</v>
      </c>
      <c r="E108" s="346">
        <f t="shared" si="11"/>
        <v>18.642160659318836</v>
      </c>
      <c r="F108" s="112">
        <f t="shared" si="14"/>
        <v>0.40516209132969017</v>
      </c>
      <c r="G108" s="116">
        <f t="shared" si="15"/>
        <v>0</v>
      </c>
      <c r="H108" s="116">
        <f t="shared" si="16"/>
        <v>0</v>
      </c>
      <c r="I108" s="116">
        <f t="shared" si="17"/>
        <v>0</v>
      </c>
      <c r="J108" s="116">
        <f t="shared" si="18"/>
        <v>0</v>
      </c>
      <c r="K108" s="116">
        <f t="shared" si="19"/>
        <v>0</v>
      </c>
      <c r="L108" s="350">
        <f t="shared" si="20"/>
        <v>0</v>
      </c>
      <c r="M108" s="164">
        <f>L108*D108*'B) D RI'!S110</f>
        <v>0</v>
      </c>
      <c r="N108" s="18">
        <f>(('B) D RI'!S110*C108)-M108)/'B) D RI'!S110</f>
        <v>6953.5259259259255</v>
      </c>
      <c r="O108" s="167">
        <f t="shared" si="12"/>
        <v>18.642160659318836</v>
      </c>
      <c r="P108" s="106">
        <f t="shared" si="13"/>
        <v>0.42507826585796782</v>
      </c>
    </row>
    <row r="109" spans="1:16" x14ac:dyDescent="0.25">
      <c r="A109" s="82">
        <f>'A) Base RI'!A111</f>
        <v>5568</v>
      </c>
      <c r="B109" s="83" t="str">
        <f>'A) Base RI'!B111</f>
        <v>Sainte-Croix</v>
      </c>
      <c r="C109" s="14">
        <f>'B) D RI'!U111</f>
        <v>95577.709714285724</v>
      </c>
      <c r="D109" s="62">
        <f>'B) D RI'!AR111</f>
        <v>4732</v>
      </c>
      <c r="E109" s="346">
        <f t="shared" si="11"/>
        <v>20.198163506822848</v>
      </c>
      <c r="F109" s="112">
        <f t="shared" si="14"/>
        <v>0.43897970396219033</v>
      </c>
      <c r="G109" s="116">
        <f t="shared" si="15"/>
        <v>0</v>
      </c>
      <c r="H109" s="116">
        <f t="shared" si="16"/>
        <v>0</v>
      </c>
      <c r="I109" s="116">
        <f t="shared" si="17"/>
        <v>0</v>
      </c>
      <c r="J109" s="116">
        <f t="shared" si="18"/>
        <v>0</v>
      </c>
      <c r="K109" s="116">
        <f t="shared" si="19"/>
        <v>0</v>
      </c>
      <c r="L109" s="350">
        <f t="shared" si="20"/>
        <v>0</v>
      </c>
      <c r="M109" s="164">
        <f>L109*D109*'B) D RI'!S111</f>
        <v>0</v>
      </c>
      <c r="N109" s="18">
        <f>(('B) D RI'!S111*C109)-M109)/'B) D RI'!S111</f>
        <v>95577.709714285724</v>
      </c>
      <c r="O109" s="167">
        <f t="shared" si="12"/>
        <v>20.198163506822848</v>
      </c>
      <c r="P109" s="106">
        <f t="shared" si="13"/>
        <v>0.46055821929117857</v>
      </c>
    </row>
    <row r="110" spans="1:16" x14ac:dyDescent="0.25">
      <c r="A110" s="82">
        <f>'A) Base RI'!A112</f>
        <v>5571</v>
      </c>
      <c r="B110" s="83" t="str">
        <f>'A) Base RI'!B112</f>
        <v>Tévenon</v>
      </c>
      <c r="C110" s="14">
        <f>'B) D RI'!U112</f>
        <v>19746.460639269408</v>
      </c>
      <c r="D110" s="62">
        <f>'B) D RI'!AR112</f>
        <v>760</v>
      </c>
      <c r="E110" s="346">
        <f t="shared" si="11"/>
        <v>25.982185051670275</v>
      </c>
      <c r="F110" s="112">
        <f t="shared" si="14"/>
        <v>0.56468757164087158</v>
      </c>
      <c r="G110" s="116">
        <f t="shared" si="15"/>
        <v>0</v>
      </c>
      <c r="H110" s="116">
        <f t="shared" si="16"/>
        <v>0</v>
      </c>
      <c r="I110" s="116">
        <f t="shared" si="17"/>
        <v>0</v>
      </c>
      <c r="J110" s="116">
        <f t="shared" si="18"/>
        <v>0</v>
      </c>
      <c r="K110" s="116">
        <f t="shared" si="19"/>
        <v>0</v>
      </c>
      <c r="L110" s="350">
        <f t="shared" si="20"/>
        <v>0</v>
      </c>
      <c r="M110" s="164">
        <f>L110*D110*'B) D RI'!S112</f>
        <v>0</v>
      </c>
      <c r="N110" s="18">
        <f>(('B) D RI'!S112*C110)-M110)/'B) D RI'!S112</f>
        <v>19746.460639269408</v>
      </c>
      <c r="O110" s="167">
        <f t="shared" si="12"/>
        <v>25.982185051670275</v>
      </c>
      <c r="P110" s="106">
        <f t="shared" si="13"/>
        <v>0.59244539121831419</v>
      </c>
    </row>
    <row r="111" spans="1:16" x14ac:dyDescent="0.25">
      <c r="A111" s="82">
        <f>'A) Base RI'!A113</f>
        <v>5581</v>
      </c>
      <c r="B111" s="83" t="str">
        <f>'A) Base RI'!B113</f>
        <v>Belmont-sur-Lausanne</v>
      </c>
      <c r="C111" s="14">
        <f>'B) D RI'!U113</f>
        <v>180220.53318944844</v>
      </c>
      <c r="D111" s="62">
        <f>'B) D RI'!AR113</f>
        <v>3554</v>
      </c>
      <c r="E111" s="346">
        <f t="shared" si="11"/>
        <v>50.709210239011945</v>
      </c>
      <c r="F111" s="112">
        <f t="shared" si="14"/>
        <v>1.1020959450773087</v>
      </c>
      <c r="G111" s="116">
        <f t="shared" si="15"/>
        <v>0</v>
      </c>
      <c r="H111" s="116">
        <f t="shared" si="16"/>
        <v>0</v>
      </c>
      <c r="I111" s="116">
        <f t="shared" si="17"/>
        <v>0</v>
      </c>
      <c r="J111" s="116">
        <f t="shared" si="18"/>
        <v>0</v>
      </c>
      <c r="K111" s="116">
        <f t="shared" si="19"/>
        <v>0</v>
      </c>
      <c r="L111" s="350">
        <f t="shared" si="20"/>
        <v>0</v>
      </c>
      <c r="M111" s="164">
        <f>L111*D111*'B) D RI'!S113</f>
        <v>0</v>
      </c>
      <c r="N111" s="18">
        <f>(('B) D RI'!S113*C111)-M111)/'B) D RI'!S113</f>
        <v>180220.53318944844</v>
      </c>
      <c r="O111" s="167">
        <f t="shared" si="12"/>
        <v>50.709210239011945</v>
      </c>
      <c r="P111" s="106">
        <f t="shared" si="13"/>
        <v>1.1562706461630674</v>
      </c>
    </row>
    <row r="112" spans="1:16" x14ac:dyDescent="0.25">
      <c r="A112" s="82">
        <f>'A) Base RI'!A114</f>
        <v>5582</v>
      </c>
      <c r="B112" s="83" t="str">
        <f>'A) Base RI'!B114</f>
        <v>Cheseaux-sur-Lausanne</v>
      </c>
      <c r="C112" s="14">
        <f>'B) D RI'!U114</f>
        <v>145388.39302013422</v>
      </c>
      <c r="D112" s="62">
        <f>'B) D RI'!AR114</f>
        <v>4080</v>
      </c>
      <c r="E112" s="346">
        <f t="shared" si="11"/>
        <v>35.634410053954461</v>
      </c>
      <c r="F112" s="112">
        <f t="shared" si="14"/>
        <v>0.77446559787815206</v>
      </c>
      <c r="G112" s="116">
        <f t="shared" si="15"/>
        <v>0</v>
      </c>
      <c r="H112" s="116">
        <f t="shared" si="16"/>
        <v>0</v>
      </c>
      <c r="I112" s="116">
        <f t="shared" si="17"/>
        <v>0</v>
      </c>
      <c r="J112" s="116">
        <f t="shared" si="18"/>
        <v>0</v>
      </c>
      <c r="K112" s="116">
        <f t="shared" si="19"/>
        <v>0</v>
      </c>
      <c r="L112" s="350">
        <f t="shared" si="20"/>
        <v>0</v>
      </c>
      <c r="M112" s="164">
        <f>L112*D112*'B) D RI'!S114</f>
        <v>0</v>
      </c>
      <c r="N112" s="18">
        <f>(('B) D RI'!S114*C112)-M112)/'B) D RI'!S114</f>
        <v>145388.39302013422</v>
      </c>
      <c r="O112" s="167">
        <f t="shared" si="12"/>
        <v>35.634410053954461</v>
      </c>
      <c r="P112" s="106">
        <f t="shared" si="13"/>
        <v>0.81253527997221786</v>
      </c>
    </row>
    <row r="113" spans="1:16" x14ac:dyDescent="0.25">
      <c r="A113" s="82">
        <f>'A) Base RI'!A115</f>
        <v>5583</v>
      </c>
      <c r="B113" s="83" t="str">
        <f>'A) Base RI'!B115</f>
        <v>Crissier</v>
      </c>
      <c r="C113" s="14">
        <f>'B) D RI'!U115</f>
        <v>300610.54815384618</v>
      </c>
      <c r="D113" s="62">
        <f>'B) D RI'!AR115</f>
        <v>7407</v>
      </c>
      <c r="E113" s="346">
        <f t="shared" si="11"/>
        <v>40.584656156857861</v>
      </c>
      <c r="F113" s="112">
        <f t="shared" si="14"/>
        <v>0.88205248656030733</v>
      </c>
      <c r="G113" s="116">
        <f t="shared" si="15"/>
        <v>0</v>
      </c>
      <c r="H113" s="116">
        <f t="shared" si="16"/>
        <v>0</v>
      </c>
      <c r="I113" s="116">
        <f t="shared" si="17"/>
        <v>0</v>
      </c>
      <c r="J113" s="116">
        <f t="shared" si="18"/>
        <v>0</v>
      </c>
      <c r="K113" s="116">
        <f t="shared" si="19"/>
        <v>0</v>
      </c>
      <c r="L113" s="350">
        <f t="shared" si="20"/>
        <v>0</v>
      </c>
      <c r="M113" s="164">
        <f>L113*D113*'B) D RI'!S115</f>
        <v>0</v>
      </c>
      <c r="N113" s="18">
        <f>(('B) D RI'!S115*C113)-M113)/'B) D RI'!S115</f>
        <v>300610.54815384618</v>
      </c>
      <c r="O113" s="167">
        <f t="shared" si="12"/>
        <v>40.584656156857861</v>
      </c>
      <c r="P113" s="106">
        <f t="shared" si="13"/>
        <v>0.92541071686211895</v>
      </c>
    </row>
    <row r="114" spans="1:16" x14ac:dyDescent="0.25">
      <c r="A114" s="82">
        <f>'A) Base RI'!A116</f>
        <v>5584</v>
      </c>
      <c r="B114" s="83" t="str">
        <f>'A) Base RI'!B116</f>
        <v>Epalinges</v>
      </c>
      <c r="C114" s="14">
        <f>'B) D RI'!U116</f>
        <v>461506.63590909087</v>
      </c>
      <c r="D114" s="62">
        <f>'B) D RI'!AR116</f>
        <v>8912</v>
      </c>
      <c r="E114" s="346">
        <f t="shared" si="11"/>
        <v>51.784855914395294</v>
      </c>
      <c r="F114" s="112">
        <f t="shared" si="14"/>
        <v>1.1254736457275927</v>
      </c>
      <c r="G114" s="116">
        <f t="shared" si="15"/>
        <v>0</v>
      </c>
      <c r="H114" s="116">
        <f t="shared" si="16"/>
        <v>0</v>
      </c>
      <c r="I114" s="116">
        <f t="shared" si="17"/>
        <v>0</v>
      </c>
      <c r="J114" s="116">
        <f t="shared" si="18"/>
        <v>0</v>
      </c>
      <c r="K114" s="116">
        <f t="shared" si="19"/>
        <v>0</v>
      </c>
      <c r="L114" s="350">
        <f t="shared" si="20"/>
        <v>0</v>
      </c>
      <c r="M114" s="164">
        <f>L114*D114*'B) D RI'!S116</f>
        <v>0</v>
      </c>
      <c r="N114" s="18">
        <f>(('B) D RI'!S116*C114)-M114)/'B) D RI'!S116</f>
        <v>461506.63590909087</v>
      </c>
      <c r="O114" s="167">
        <f t="shared" si="12"/>
        <v>51.784855914395294</v>
      </c>
      <c r="P114" s="106">
        <f t="shared" si="13"/>
        <v>1.1807975026109552</v>
      </c>
    </row>
    <row r="115" spans="1:16" x14ac:dyDescent="0.25">
      <c r="A115" s="82">
        <f>'A) Base RI'!A117</f>
        <v>5585</v>
      </c>
      <c r="B115" s="83" t="str">
        <f>'A) Base RI'!B117</f>
        <v>Jouxtens-Mézery</v>
      </c>
      <c r="C115" s="14">
        <f>'B) D RI'!U117</f>
        <v>191565.37515151518</v>
      </c>
      <c r="D115" s="62">
        <f>'B) D RI'!AR117</f>
        <v>1398</v>
      </c>
      <c r="E115" s="346">
        <f t="shared" si="11"/>
        <v>137.02816534443147</v>
      </c>
      <c r="F115" s="112">
        <f t="shared" si="14"/>
        <v>2.9781214236166238</v>
      </c>
      <c r="G115" s="116">
        <f t="shared" si="15"/>
        <v>81.814231785728637</v>
      </c>
      <c r="H115" s="116">
        <f t="shared" si="16"/>
        <v>68.010748396052932</v>
      </c>
      <c r="I115" s="116">
        <f t="shared" si="17"/>
        <v>45.004942746593414</v>
      </c>
      <c r="J115" s="116">
        <f t="shared" si="18"/>
        <v>0</v>
      </c>
      <c r="K115" s="116">
        <f t="shared" si="19"/>
        <v>0</v>
      </c>
      <c r="L115" s="350">
        <f t="shared" si="20"/>
        <v>40.754692557126944</v>
      </c>
      <c r="M115" s="164">
        <f>L115*D115*'B) D RI'!S117</f>
        <v>3133628.3107174905</v>
      </c>
      <c r="N115" s="18">
        <f>(('B) D RI'!S117*C115)-M115)/'B) D RI'!S117</f>
        <v>134590.31495665171</v>
      </c>
      <c r="O115" s="167">
        <f t="shared" si="12"/>
        <v>96.273472787304513</v>
      </c>
      <c r="P115" s="106">
        <f t="shared" si="13"/>
        <v>2.1952262727708391</v>
      </c>
    </row>
    <row r="116" spans="1:16" x14ac:dyDescent="0.25">
      <c r="A116" s="82">
        <f>'A) Base RI'!A118</f>
        <v>5586</v>
      </c>
      <c r="B116" s="83" t="str">
        <f>'A) Base RI'!B118</f>
        <v>Lausanne</v>
      </c>
      <c r="C116" s="14">
        <f>'B) D RI'!U118</f>
        <v>6035853.3985654004</v>
      </c>
      <c r="D116" s="62">
        <f>'B) D RI'!AR118</f>
        <v>133521</v>
      </c>
      <c r="E116" s="346">
        <f t="shared" ref="E116:E169" si="21">C116/D116</f>
        <v>45.205274065992619</v>
      </c>
      <c r="F116" s="112">
        <f t="shared" si="14"/>
        <v>0.9824753532822843</v>
      </c>
      <c r="G116" s="116">
        <f t="shared" si="15"/>
        <v>0</v>
      </c>
      <c r="H116" s="116">
        <f t="shared" si="16"/>
        <v>0</v>
      </c>
      <c r="I116" s="116">
        <f t="shared" si="17"/>
        <v>0</v>
      </c>
      <c r="J116" s="116">
        <f t="shared" si="18"/>
        <v>0</v>
      </c>
      <c r="K116" s="116">
        <f t="shared" si="19"/>
        <v>0</v>
      </c>
      <c r="L116" s="350">
        <f t="shared" si="20"/>
        <v>0</v>
      </c>
      <c r="M116" s="164">
        <f>L116*D116*'B) D RI'!S118</f>
        <v>0</v>
      </c>
      <c r="N116" s="18">
        <f>(('B) D RI'!S118*C116)-M116)/'B) D RI'!S118</f>
        <v>6035853.3985654004</v>
      </c>
      <c r="O116" s="167">
        <f t="shared" si="12"/>
        <v>45.205274065992619</v>
      </c>
      <c r="P116" s="106">
        <f t="shared" si="13"/>
        <v>1.0307699766550791</v>
      </c>
    </row>
    <row r="117" spans="1:16" x14ac:dyDescent="0.25">
      <c r="A117" s="82">
        <f>'A) Base RI'!A119</f>
        <v>5587</v>
      </c>
      <c r="B117" s="83" t="str">
        <f>'A) Base RI'!B119</f>
        <v>Le Mont-sur-Lausanne</v>
      </c>
      <c r="C117" s="14">
        <f>'B) D RI'!U119</f>
        <v>349051.38502222218</v>
      </c>
      <c r="D117" s="62">
        <f>'B) D RI'!AR119</f>
        <v>6937</v>
      </c>
      <c r="E117" s="346">
        <f t="shared" si="21"/>
        <v>50.317339631284732</v>
      </c>
      <c r="F117" s="112">
        <f t="shared" si="14"/>
        <v>1.0935791686231788</v>
      </c>
      <c r="G117" s="116">
        <f t="shared" si="15"/>
        <v>0</v>
      </c>
      <c r="H117" s="116">
        <f t="shared" si="16"/>
        <v>0</v>
      </c>
      <c r="I117" s="116">
        <f t="shared" si="17"/>
        <v>0</v>
      </c>
      <c r="J117" s="116">
        <f t="shared" si="18"/>
        <v>0</v>
      </c>
      <c r="K117" s="116">
        <f t="shared" si="19"/>
        <v>0</v>
      </c>
      <c r="L117" s="350">
        <f t="shared" si="20"/>
        <v>0</v>
      </c>
      <c r="M117" s="164">
        <f>L117*D117*'B) D RI'!S119</f>
        <v>0</v>
      </c>
      <c r="N117" s="18">
        <f>(('B) D RI'!S119*C117)-M117)/'B) D RI'!S119</f>
        <v>349051.38502222218</v>
      </c>
      <c r="O117" s="167">
        <f t="shared" si="12"/>
        <v>50.317339631284732</v>
      </c>
      <c r="P117" s="106">
        <f t="shared" si="13"/>
        <v>1.1473352184829007</v>
      </c>
    </row>
    <row r="118" spans="1:16" x14ac:dyDescent="0.25">
      <c r="A118" s="82">
        <f>'A) Base RI'!A120</f>
        <v>5588</v>
      </c>
      <c r="B118" s="83" t="str">
        <f>'A) Base RI'!B120</f>
        <v>Paudex</v>
      </c>
      <c r="C118" s="14">
        <f>'B) D RI'!U120</f>
        <v>152550.33605110337</v>
      </c>
      <c r="D118" s="62">
        <f>'B) D RI'!AR120</f>
        <v>1454</v>
      </c>
      <c r="E118" s="346">
        <f t="shared" si="21"/>
        <v>104.91770017269833</v>
      </c>
      <c r="F118" s="112">
        <f t="shared" si="14"/>
        <v>2.2802439908285326</v>
      </c>
      <c r="G118" s="116">
        <f t="shared" si="15"/>
        <v>49.703766613995498</v>
      </c>
      <c r="H118" s="116">
        <f t="shared" si="16"/>
        <v>35.900283224319793</v>
      </c>
      <c r="I118" s="116">
        <f t="shared" si="17"/>
        <v>12.894477574860275</v>
      </c>
      <c r="J118" s="116">
        <f t="shared" si="18"/>
        <v>0</v>
      </c>
      <c r="K118" s="116">
        <f t="shared" si="19"/>
        <v>0</v>
      </c>
      <c r="L118" s="350">
        <f t="shared" si="20"/>
        <v>22.772832060956389</v>
      </c>
      <c r="M118" s="164">
        <f>L118*D118*'B) D RI'!S120</f>
        <v>2036369.4157227813</v>
      </c>
      <c r="N118" s="18">
        <f>(('B) D RI'!S120*C118)-M118)/'B) D RI'!S120</f>
        <v>119438.63823447276</v>
      </c>
      <c r="O118" s="167">
        <f t="shared" si="12"/>
        <v>82.144868111741928</v>
      </c>
      <c r="P118" s="106">
        <f t="shared" si="13"/>
        <v>1.8730660422999812</v>
      </c>
    </row>
    <row r="119" spans="1:16" x14ac:dyDescent="0.25">
      <c r="A119" s="82">
        <f>'A) Base RI'!A121</f>
        <v>5589</v>
      </c>
      <c r="B119" s="83" t="str">
        <f>'A) Base RI'!B121</f>
        <v>Prilly</v>
      </c>
      <c r="C119" s="14">
        <f>'B) D RI'!U121</f>
        <v>409964.00829931977</v>
      </c>
      <c r="D119" s="62">
        <f>'B) D RI'!AR121</f>
        <v>11824</v>
      </c>
      <c r="E119" s="346">
        <f t="shared" si="21"/>
        <v>34.672192853460736</v>
      </c>
      <c r="F119" s="112">
        <f t="shared" si="14"/>
        <v>0.75355311137028802</v>
      </c>
      <c r="G119" s="116">
        <f t="shared" si="15"/>
        <v>0</v>
      </c>
      <c r="H119" s="116">
        <f t="shared" si="16"/>
        <v>0</v>
      </c>
      <c r="I119" s="116">
        <f t="shared" si="17"/>
        <v>0</v>
      </c>
      <c r="J119" s="116">
        <f t="shared" si="18"/>
        <v>0</v>
      </c>
      <c r="K119" s="116">
        <f t="shared" si="19"/>
        <v>0</v>
      </c>
      <c r="L119" s="350">
        <f t="shared" si="20"/>
        <v>0</v>
      </c>
      <c r="M119" s="164">
        <f>L119*D119*'B) D RI'!S121</f>
        <v>0</v>
      </c>
      <c r="N119" s="18">
        <f>(('B) D RI'!S121*C119)-M119)/'B) D RI'!S121</f>
        <v>409964.00829931977</v>
      </c>
      <c r="O119" s="167">
        <f t="shared" si="12"/>
        <v>34.672192853460736</v>
      </c>
      <c r="P119" s="106">
        <f t="shared" si="13"/>
        <v>0.79059481789599806</v>
      </c>
    </row>
    <row r="120" spans="1:16" x14ac:dyDescent="0.25">
      <c r="A120" s="82">
        <f>'A) Base RI'!A122</f>
        <v>5590</v>
      </c>
      <c r="B120" s="83" t="str">
        <f>'A) Base RI'!B122</f>
        <v>Pully</v>
      </c>
      <c r="C120" s="14">
        <f>'B) D RI'!U122</f>
        <v>1412228.1927210884</v>
      </c>
      <c r="D120" s="62">
        <f>'B) D RI'!AR122</f>
        <v>17598</v>
      </c>
      <c r="E120" s="346">
        <f t="shared" si="21"/>
        <v>80.249357467955932</v>
      </c>
      <c r="F120" s="112">
        <f t="shared" si="14"/>
        <v>1.7441110016036596</v>
      </c>
      <c r="G120" s="116">
        <f t="shared" si="15"/>
        <v>25.035423909253097</v>
      </c>
      <c r="H120" s="116">
        <f t="shared" si="16"/>
        <v>11.231940519577392</v>
      </c>
      <c r="I120" s="116">
        <f t="shared" si="17"/>
        <v>0</v>
      </c>
      <c r="J120" s="116">
        <f t="shared" si="18"/>
        <v>0</v>
      </c>
      <c r="K120" s="116">
        <f t="shared" si="19"/>
        <v>0</v>
      </c>
      <c r="L120" s="350">
        <f t="shared" si="20"/>
        <v>10.135946659288855</v>
      </c>
      <c r="M120" s="164">
        <f>L120*D120*'B) D RI'!S122</f>
        <v>11237460.526540413</v>
      </c>
      <c r="N120" s="18">
        <f>(('B) D RI'!S122*C120)-M120)/'B) D RI'!S122</f>
        <v>1233855.8034109231</v>
      </c>
      <c r="O120" s="167">
        <f t="shared" si="12"/>
        <v>70.113410808667069</v>
      </c>
      <c r="P120" s="106">
        <f t="shared" si="13"/>
        <v>1.5987249345497534</v>
      </c>
    </row>
    <row r="121" spans="1:16" x14ac:dyDescent="0.25">
      <c r="A121" s="82">
        <f>'A) Base RI'!A123</f>
        <v>5591</v>
      </c>
      <c r="B121" s="83" t="str">
        <f>'A) Base RI'!B123</f>
        <v>Renens</v>
      </c>
      <c r="C121" s="14">
        <f>'B) D RI'!U123</f>
        <v>507224.92132848047</v>
      </c>
      <c r="D121" s="62">
        <f>'B) D RI'!AR123</f>
        <v>20307</v>
      </c>
      <c r="E121" s="346">
        <f t="shared" si="21"/>
        <v>24.977836279533189</v>
      </c>
      <c r="F121" s="112">
        <f t="shared" si="14"/>
        <v>0.54285941253528769</v>
      </c>
      <c r="G121" s="116">
        <f t="shared" si="15"/>
        <v>0</v>
      </c>
      <c r="H121" s="116">
        <f t="shared" si="16"/>
        <v>0</v>
      </c>
      <c r="I121" s="116">
        <f t="shared" si="17"/>
        <v>0</v>
      </c>
      <c r="J121" s="116">
        <f t="shared" si="18"/>
        <v>0</v>
      </c>
      <c r="K121" s="116">
        <f t="shared" si="19"/>
        <v>0</v>
      </c>
      <c r="L121" s="350">
        <f t="shared" si="20"/>
        <v>0</v>
      </c>
      <c r="M121" s="164">
        <f>L121*D121*'B) D RI'!S123</f>
        <v>0</v>
      </c>
      <c r="N121" s="18">
        <f>(('B) D RI'!S123*C121)-M121)/'B) D RI'!S123</f>
        <v>507224.92132848047</v>
      </c>
      <c r="O121" s="167">
        <f t="shared" si="12"/>
        <v>24.977836279533189</v>
      </c>
      <c r="P121" s="106">
        <f t="shared" si="13"/>
        <v>0.5695442456816675</v>
      </c>
    </row>
    <row r="122" spans="1:16" x14ac:dyDescent="0.25">
      <c r="A122" s="82">
        <f>'A) Base RI'!A124</f>
        <v>5592</v>
      </c>
      <c r="B122" s="83" t="str">
        <f>'A) Base RI'!B124</f>
        <v>Romanel-sur-Lausanne</v>
      </c>
      <c r="C122" s="14">
        <f>'B) D RI'!U124</f>
        <v>115467.46028571429</v>
      </c>
      <c r="D122" s="62">
        <f>'B) D RI'!AR124</f>
        <v>3290</v>
      </c>
      <c r="E122" s="346">
        <f t="shared" si="21"/>
        <v>35.096492488059056</v>
      </c>
      <c r="F122" s="112">
        <f t="shared" si="14"/>
        <v>0.76277468876391197</v>
      </c>
      <c r="G122" s="116">
        <f t="shared" si="15"/>
        <v>0</v>
      </c>
      <c r="H122" s="116">
        <f t="shared" si="16"/>
        <v>0</v>
      </c>
      <c r="I122" s="116">
        <f t="shared" si="17"/>
        <v>0</v>
      </c>
      <c r="J122" s="116">
        <f t="shared" si="18"/>
        <v>0</v>
      </c>
      <c r="K122" s="116">
        <f t="shared" si="19"/>
        <v>0</v>
      </c>
      <c r="L122" s="350">
        <f t="shared" si="20"/>
        <v>0</v>
      </c>
      <c r="M122" s="164">
        <f>L122*D122*'B) D RI'!S124</f>
        <v>0</v>
      </c>
      <c r="N122" s="18">
        <f>(('B) D RI'!S124*C122)-M122)/'B) D RI'!S124</f>
        <v>115467.46028571429</v>
      </c>
      <c r="O122" s="167">
        <f t="shared" si="12"/>
        <v>35.096492488059056</v>
      </c>
      <c r="P122" s="106">
        <f t="shared" si="13"/>
        <v>0.80026969175720286</v>
      </c>
    </row>
    <row r="123" spans="1:16" x14ac:dyDescent="0.25">
      <c r="A123" s="82">
        <f>'A) Base RI'!A125</f>
        <v>5601</v>
      </c>
      <c r="B123" s="83" t="str">
        <f>'A) Base RI'!B125</f>
        <v>Chexbres</v>
      </c>
      <c r="C123" s="14">
        <f>'B) D RI'!U125</f>
        <v>102004.96828125001</v>
      </c>
      <c r="D123" s="62">
        <f>'B) D RI'!AR125</f>
        <v>2180</v>
      </c>
      <c r="E123" s="346">
        <f t="shared" si="21"/>
        <v>46.791269853784407</v>
      </c>
      <c r="F123" s="112">
        <f t="shared" si="14"/>
        <v>1.0169448218146555</v>
      </c>
      <c r="G123" s="116">
        <f t="shared" si="15"/>
        <v>0</v>
      </c>
      <c r="H123" s="116">
        <f t="shared" si="16"/>
        <v>0</v>
      </c>
      <c r="I123" s="116">
        <f t="shared" si="17"/>
        <v>0</v>
      </c>
      <c r="J123" s="116">
        <f t="shared" si="18"/>
        <v>0</v>
      </c>
      <c r="K123" s="116">
        <f t="shared" si="19"/>
        <v>0</v>
      </c>
      <c r="L123" s="350">
        <f t="shared" si="20"/>
        <v>0</v>
      </c>
      <c r="M123" s="164">
        <f>L123*D123*'B) D RI'!S125</f>
        <v>0</v>
      </c>
      <c r="N123" s="18">
        <f>(('B) D RI'!S125*C123)-M123)/'B) D RI'!S125</f>
        <v>102004.96828125001</v>
      </c>
      <c r="O123" s="167">
        <f t="shared" si="12"/>
        <v>46.791269853784407</v>
      </c>
      <c r="P123" s="106">
        <f t="shared" si="13"/>
        <v>1.0669338286598395</v>
      </c>
    </row>
    <row r="124" spans="1:16" x14ac:dyDescent="0.25">
      <c r="A124" s="82">
        <f>'A) Base RI'!A126</f>
        <v>5604</v>
      </c>
      <c r="B124" s="83" t="str">
        <f>'A) Base RI'!B126</f>
        <v>Forel (Lavaux)</v>
      </c>
      <c r="C124" s="14">
        <f>'B) D RI'!U126</f>
        <v>73679.184999999969</v>
      </c>
      <c r="D124" s="62">
        <f>'B) D RI'!AR126</f>
        <v>2072</v>
      </c>
      <c r="E124" s="346">
        <f t="shared" si="21"/>
        <v>35.559452220077205</v>
      </c>
      <c r="F124" s="112">
        <f t="shared" si="14"/>
        <v>0.77283649096880502</v>
      </c>
      <c r="G124" s="116">
        <f t="shared" si="15"/>
        <v>0</v>
      </c>
      <c r="H124" s="116">
        <f t="shared" si="16"/>
        <v>0</v>
      </c>
      <c r="I124" s="116">
        <f t="shared" si="17"/>
        <v>0</v>
      </c>
      <c r="J124" s="116">
        <f t="shared" si="18"/>
        <v>0</v>
      </c>
      <c r="K124" s="116">
        <f t="shared" si="19"/>
        <v>0</v>
      </c>
      <c r="L124" s="350">
        <f t="shared" si="20"/>
        <v>0</v>
      </c>
      <c r="M124" s="164">
        <f>L124*D124*'B) D RI'!S126</f>
        <v>0</v>
      </c>
      <c r="N124" s="18">
        <f>(('B) D RI'!S126*C124)-M124)/'B) D RI'!S126</f>
        <v>73679.184999999969</v>
      </c>
      <c r="O124" s="167">
        <f t="shared" si="12"/>
        <v>35.559452220077205</v>
      </c>
      <c r="P124" s="106">
        <f t="shared" si="13"/>
        <v>0.81082609257600868</v>
      </c>
    </row>
    <row r="125" spans="1:16" x14ac:dyDescent="0.25">
      <c r="A125" s="82">
        <f>'A) Base RI'!A127</f>
        <v>5606</v>
      </c>
      <c r="B125" s="83" t="str">
        <f>'A) Base RI'!B127</f>
        <v>Lutry</v>
      </c>
      <c r="C125" s="14">
        <f>'B) D RI'!U127</f>
        <v>810972.19494897977</v>
      </c>
      <c r="D125" s="62">
        <f>'B) D RI'!AR127</f>
        <v>9648</v>
      </c>
      <c r="E125" s="346">
        <f t="shared" si="21"/>
        <v>84.055990355408355</v>
      </c>
      <c r="F125" s="112">
        <f t="shared" si="14"/>
        <v>1.8268430072863613</v>
      </c>
      <c r="G125" s="116">
        <f t="shared" si="15"/>
        <v>28.842056796705521</v>
      </c>
      <c r="H125" s="116">
        <f t="shared" si="16"/>
        <v>15.038573407029816</v>
      </c>
      <c r="I125" s="116">
        <f t="shared" si="17"/>
        <v>0</v>
      </c>
      <c r="J125" s="116">
        <f t="shared" si="18"/>
        <v>0</v>
      </c>
      <c r="K125" s="116">
        <f t="shared" si="19"/>
        <v>0</v>
      </c>
      <c r="L125" s="350">
        <f t="shared" si="20"/>
        <v>11.886997787516968</v>
      </c>
      <c r="M125" s="164">
        <f>L125*D125*'B) D RI'!S127</f>
        <v>6422402.2606219677</v>
      </c>
      <c r="N125" s="18">
        <f>(('B) D RI'!S127*C125)-M125)/'B) D RI'!S127</f>
        <v>696286.44029501616</v>
      </c>
      <c r="O125" s="167">
        <f t="shared" si="12"/>
        <v>72.168992567891394</v>
      </c>
      <c r="P125" s="106">
        <f t="shared" si="13"/>
        <v>1.6455962787843907</v>
      </c>
    </row>
    <row r="126" spans="1:16" x14ac:dyDescent="0.25">
      <c r="A126" s="82">
        <f>'A) Base RI'!A128</f>
        <v>5607</v>
      </c>
      <c r="B126" s="83" t="str">
        <f>'A) Base RI'!B128</f>
        <v>Puidoux</v>
      </c>
      <c r="C126" s="14">
        <f>'B) D RI'!U128</f>
        <v>102046.9552557545</v>
      </c>
      <c r="D126" s="62">
        <f>'B) D RI'!AR128</f>
        <v>2815</v>
      </c>
      <c r="E126" s="346">
        <f t="shared" si="21"/>
        <v>36.251138634371046</v>
      </c>
      <c r="F126" s="112">
        <f t="shared" si="14"/>
        <v>0.78786935755981036</v>
      </c>
      <c r="G126" s="116">
        <f t="shared" si="15"/>
        <v>0</v>
      </c>
      <c r="H126" s="116">
        <f t="shared" si="16"/>
        <v>0</v>
      </c>
      <c r="I126" s="116">
        <f t="shared" si="17"/>
        <v>0</v>
      </c>
      <c r="J126" s="116">
        <f t="shared" si="18"/>
        <v>0</v>
      </c>
      <c r="K126" s="116">
        <f t="shared" si="19"/>
        <v>0</v>
      </c>
      <c r="L126" s="350">
        <f t="shared" si="20"/>
        <v>0</v>
      </c>
      <c r="M126" s="164">
        <f>L126*D126*'B) D RI'!S128</f>
        <v>0</v>
      </c>
      <c r="N126" s="18">
        <f>(('B) D RI'!S128*C126)-M126)/'B) D RI'!S128</f>
        <v>102046.9552557545</v>
      </c>
      <c r="O126" s="167">
        <f t="shared" si="12"/>
        <v>36.251138634371046</v>
      </c>
      <c r="P126" s="106">
        <f t="shared" si="13"/>
        <v>0.82659791575030195</v>
      </c>
    </row>
    <row r="127" spans="1:16" x14ac:dyDescent="0.25">
      <c r="A127" s="82">
        <f>'A) Base RI'!A129</f>
        <v>5609</v>
      </c>
      <c r="B127" s="83" t="str">
        <f>'A) Base RI'!B129</f>
        <v>Rivaz</v>
      </c>
      <c r="C127" s="14">
        <f>'B) D RI'!U129</f>
        <v>17457.580472440943</v>
      </c>
      <c r="D127" s="62">
        <f>'B) D RI'!AR129</f>
        <v>345</v>
      </c>
      <c r="E127" s="346">
        <f t="shared" si="21"/>
        <v>50.601682528814329</v>
      </c>
      <c r="F127" s="112">
        <f t="shared" si="14"/>
        <v>1.0997589760566184</v>
      </c>
      <c r="G127" s="116">
        <f t="shared" si="15"/>
        <v>0</v>
      </c>
      <c r="H127" s="116">
        <f t="shared" si="16"/>
        <v>0</v>
      </c>
      <c r="I127" s="116">
        <f t="shared" si="17"/>
        <v>0</v>
      </c>
      <c r="J127" s="116">
        <f t="shared" si="18"/>
        <v>0</v>
      </c>
      <c r="K127" s="116">
        <f t="shared" si="19"/>
        <v>0</v>
      </c>
      <c r="L127" s="350">
        <f t="shared" si="20"/>
        <v>0</v>
      </c>
      <c r="M127" s="164">
        <f>L127*D127*'B) D RI'!S129</f>
        <v>0</v>
      </c>
      <c r="N127" s="18">
        <f>(('B) D RI'!S129*C127)-M127)/'B) D RI'!S129</f>
        <v>17457.580472440943</v>
      </c>
      <c r="O127" s="167">
        <f t="shared" si="12"/>
        <v>50.601682528814329</v>
      </c>
      <c r="P127" s="106">
        <f t="shared" si="13"/>
        <v>1.1538188009388051</v>
      </c>
    </row>
    <row r="128" spans="1:16" x14ac:dyDescent="0.25">
      <c r="A128" s="82">
        <f>'A) Base RI'!A130</f>
        <v>5610</v>
      </c>
      <c r="B128" s="83" t="str">
        <f>'A) Base RI'!B130</f>
        <v>St-Saphorin (Lavaux)</v>
      </c>
      <c r="C128" s="14">
        <f>'B) D RI'!U130</f>
        <v>20355.755166666662</v>
      </c>
      <c r="D128" s="62">
        <f>'B) D RI'!AR130</f>
        <v>378</v>
      </c>
      <c r="E128" s="346">
        <f t="shared" si="21"/>
        <v>53.851204144620802</v>
      </c>
      <c r="F128" s="112">
        <f t="shared" si="14"/>
        <v>1.1703829234488459</v>
      </c>
      <c r="G128" s="116">
        <f t="shared" si="15"/>
        <v>0</v>
      </c>
      <c r="H128" s="116">
        <f t="shared" si="16"/>
        <v>0</v>
      </c>
      <c r="I128" s="116">
        <f t="shared" si="17"/>
        <v>0</v>
      </c>
      <c r="J128" s="116">
        <f t="shared" si="18"/>
        <v>0</v>
      </c>
      <c r="K128" s="116">
        <f t="shared" si="19"/>
        <v>0</v>
      </c>
      <c r="L128" s="350">
        <f t="shared" si="20"/>
        <v>0</v>
      </c>
      <c r="M128" s="164">
        <f>L128*D128*'B) D RI'!S130</f>
        <v>0</v>
      </c>
      <c r="N128" s="18">
        <f>(('B) D RI'!S130*C128)-M128)/'B) D RI'!S130</f>
        <v>20355.755166666662</v>
      </c>
      <c r="O128" s="167">
        <f t="shared" si="12"/>
        <v>53.851204144620802</v>
      </c>
      <c r="P128" s="106">
        <f t="shared" si="13"/>
        <v>1.2279143437547884</v>
      </c>
    </row>
    <row r="129" spans="1:16" x14ac:dyDescent="0.25">
      <c r="A129" s="82">
        <f>'A) Base RI'!A131</f>
        <v>5611</v>
      </c>
      <c r="B129" s="83" t="str">
        <f>'A) Base RI'!B131</f>
        <v>Savigny</v>
      </c>
      <c r="C129" s="14">
        <f>'B) D RI'!U131</f>
        <v>133649.01597014922</v>
      </c>
      <c r="D129" s="62">
        <f>'B) D RI'!AR131</f>
        <v>3304</v>
      </c>
      <c r="E129" s="346">
        <f t="shared" si="21"/>
        <v>40.450670693144438</v>
      </c>
      <c r="F129" s="112">
        <f t="shared" si="14"/>
        <v>0.87914049413207063</v>
      </c>
      <c r="G129" s="116">
        <f t="shared" si="15"/>
        <v>0</v>
      </c>
      <c r="H129" s="116">
        <f t="shared" si="16"/>
        <v>0</v>
      </c>
      <c r="I129" s="116">
        <f t="shared" si="17"/>
        <v>0</v>
      </c>
      <c r="J129" s="116">
        <f t="shared" si="18"/>
        <v>0</v>
      </c>
      <c r="K129" s="116">
        <f t="shared" si="19"/>
        <v>0</v>
      </c>
      <c r="L129" s="350">
        <f t="shared" si="20"/>
        <v>0</v>
      </c>
      <c r="M129" s="164">
        <f>L129*D129*'B) D RI'!S131</f>
        <v>0</v>
      </c>
      <c r="N129" s="18">
        <f>(('B) D RI'!S131*C129)-M129)/'B) D RI'!S131</f>
        <v>133649.01597014922</v>
      </c>
      <c r="O129" s="167">
        <f t="shared" si="12"/>
        <v>40.450670693144438</v>
      </c>
      <c r="P129" s="106">
        <f t="shared" si="13"/>
        <v>0.92235558234170023</v>
      </c>
    </row>
    <row r="130" spans="1:16" x14ac:dyDescent="0.25">
      <c r="A130" s="82">
        <f>'A) Base RI'!A132</f>
        <v>5613</v>
      </c>
      <c r="B130" s="83" t="str">
        <f>'A) Base RI'!B132</f>
        <v>Bourg-en-Lavaux</v>
      </c>
      <c r="C130" s="14">
        <f>'B) D RI'!U132</f>
        <v>319171.56765027321</v>
      </c>
      <c r="D130" s="62">
        <f>'B) D RI'!AR132</f>
        <v>5184</v>
      </c>
      <c r="E130" s="346">
        <f t="shared" si="21"/>
        <v>61.568589438710113</v>
      </c>
      <c r="F130" s="112">
        <f t="shared" si="14"/>
        <v>1.3381098314232818</v>
      </c>
      <c r="G130" s="116">
        <f t="shared" si="15"/>
        <v>6.3546558800072788</v>
      </c>
      <c r="H130" s="116">
        <f t="shared" si="16"/>
        <v>0</v>
      </c>
      <c r="I130" s="116">
        <f t="shared" si="17"/>
        <v>0</v>
      </c>
      <c r="J130" s="116">
        <f t="shared" si="18"/>
        <v>0</v>
      </c>
      <c r="K130" s="116">
        <f t="shared" si="19"/>
        <v>0</v>
      </c>
      <c r="L130" s="350">
        <f t="shared" si="20"/>
        <v>2.2876761168026203</v>
      </c>
      <c r="M130" s="164">
        <f>L130*D130*'B) D RI'!S132</f>
        <v>723418.09235979186</v>
      </c>
      <c r="N130" s="18">
        <f>(('B) D RI'!S132*C130)-M130)/'B) D RI'!S132</f>
        <v>307312.25466076838</v>
      </c>
      <c r="O130" s="167">
        <f t="shared" si="12"/>
        <v>59.280913321907477</v>
      </c>
      <c r="P130" s="106">
        <f t="shared" si="13"/>
        <v>1.3517224904269052</v>
      </c>
    </row>
    <row r="131" spans="1:16" x14ac:dyDescent="0.25">
      <c r="A131" s="82">
        <f>'A) Base RI'!A133</f>
        <v>5621</v>
      </c>
      <c r="B131" s="83" t="str">
        <f>'A) Base RI'!B133</f>
        <v>Aclens</v>
      </c>
      <c r="C131" s="14">
        <f>'B) D RI'!U133</f>
        <v>40747.294721407634</v>
      </c>
      <c r="D131" s="62">
        <f>'B) D RI'!AR133</f>
        <v>538</v>
      </c>
      <c r="E131" s="346">
        <f t="shared" si="21"/>
        <v>75.738466024921252</v>
      </c>
      <c r="F131" s="112">
        <f t="shared" si="14"/>
        <v>1.6460728908813635</v>
      </c>
      <c r="G131" s="116">
        <f t="shared" si="15"/>
        <v>20.524532466218417</v>
      </c>
      <c r="H131" s="116">
        <f t="shared" si="16"/>
        <v>6.7210490765427124</v>
      </c>
      <c r="I131" s="116">
        <f t="shared" si="17"/>
        <v>0</v>
      </c>
      <c r="J131" s="116">
        <f t="shared" si="18"/>
        <v>0</v>
      </c>
      <c r="K131" s="116">
        <f t="shared" si="19"/>
        <v>0</v>
      </c>
      <c r="L131" s="350">
        <f t="shared" si="20"/>
        <v>8.0609365954929011</v>
      </c>
      <c r="M131" s="164">
        <f>L131*D131*'B) D RI'!S133</f>
        <v>268880.60107926122</v>
      </c>
      <c r="N131" s="18">
        <f>(('B) D RI'!S133*C131)-M131)/'B) D RI'!S133</f>
        <v>36410.510833032451</v>
      </c>
      <c r="O131" s="167">
        <f t="shared" si="12"/>
        <v>67.677529429428347</v>
      </c>
      <c r="P131" s="106">
        <f t="shared" si="13"/>
        <v>1.5431820041220556</v>
      </c>
    </row>
    <row r="132" spans="1:16" x14ac:dyDescent="0.25">
      <c r="A132" s="82">
        <f>'A) Base RI'!A134</f>
        <v>5622</v>
      </c>
      <c r="B132" s="83" t="str">
        <f>'A) Base RI'!B134</f>
        <v>Bremblens</v>
      </c>
      <c r="C132" s="14">
        <f>'B) D RI'!U134</f>
        <v>25805.300909090911</v>
      </c>
      <c r="D132" s="62">
        <f>'B) D RI'!AR134</f>
        <v>495</v>
      </c>
      <c r="E132" s="346">
        <f t="shared" si="21"/>
        <v>52.131921028466486</v>
      </c>
      <c r="F132" s="112">
        <f t="shared" si="14"/>
        <v>1.1330166355137241</v>
      </c>
      <c r="G132" s="116">
        <f t="shared" si="15"/>
        <v>0</v>
      </c>
      <c r="H132" s="116">
        <f t="shared" si="16"/>
        <v>0</v>
      </c>
      <c r="I132" s="116">
        <f t="shared" si="17"/>
        <v>0</v>
      </c>
      <c r="J132" s="116">
        <f t="shared" si="18"/>
        <v>0</v>
      </c>
      <c r="K132" s="116">
        <f t="shared" si="19"/>
        <v>0</v>
      </c>
      <c r="L132" s="350">
        <f t="shared" si="20"/>
        <v>0</v>
      </c>
      <c r="M132" s="164">
        <f>L132*D132*'B) D RI'!S134</f>
        <v>0</v>
      </c>
      <c r="N132" s="18">
        <f>(('B) D RI'!S134*C132)-M132)/'B) D RI'!S134</f>
        <v>25805.300909090911</v>
      </c>
      <c r="O132" s="167">
        <f t="shared" si="12"/>
        <v>52.131921028466486</v>
      </c>
      <c r="P132" s="106">
        <f t="shared" si="13"/>
        <v>1.1887112761013383</v>
      </c>
    </row>
    <row r="133" spans="1:16" x14ac:dyDescent="0.25">
      <c r="A133" s="82">
        <f>'A) Base RI'!A135</f>
        <v>5623</v>
      </c>
      <c r="B133" s="83" t="str">
        <f>'A) Base RI'!B135</f>
        <v>Buchillon</v>
      </c>
      <c r="C133" s="14">
        <f>'B) D RI'!U135</f>
        <v>91715.647358490576</v>
      </c>
      <c r="D133" s="62">
        <f>'B) D RI'!AR135</f>
        <v>616</v>
      </c>
      <c r="E133" s="346">
        <f t="shared" si="21"/>
        <v>148.88903791962755</v>
      </c>
      <c r="F133" s="112">
        <f t="shared" si="14"/>
        <v>3.235901410892895</v>
      </c>
      <c r="G133" s="116">
        <f t="shared" si="15"/>
        <v>93.67510436092472</v>
      </c>
      <c r="H133" s="116">
        <f t="shared" si="16"/>
        <v>79.871620971249015</v>
      </c>
      <c r="I133" s="116">
        <f t="shared" si="17"/>
        <v>56.865815321789498</v>
      </c>
      <c r="J133" s="116">
        <f t="shared" si="18"/>
        <v>10.854204022870476</v>
      </c>
      <c r="K133" s="116">
        <f t="shared" si="19"/>
        <v>10.854204022870476</v>
      </c>
      <c r="L133" s="350">
        <f t="shared" si="20"/>
        <v>48.482201601523798</v>
      </c>
      <c r="M133" s="164">
        <f>L133*D133*'B) D RI'!S135</f>
        <v>1582846.9178865489</v>
      </c>
      <c r="N133" s="18">
        <f>(('B) D RI'!S135*C133)-M133)/'B) D RI'!S135</f>
        <v>61850.611171951925</v>
      </c>
      <c r="O133" s="167">
        <f t="shared" ref="O133:O196" si="22">N133/D133</f>
        <v>100.40683631810377</v>
      </c>
      <c r="P133" s="106">
        <f t="shared" ref="P133:P196" si="23">O133/O$323</f>
        <v>2.2894751655865133</v>
      </c>
    </row>
    <row r="134" spans="1:16" x14ac:dyDescent="0.25">
      <c r="A134" s="82">
        <f>'A) Base RI'!A136</f>
        <v>5624</v>
      </c>
      <c r="B134" s="83" t="str">
        <f>'A) Base RI'!B136</f>
        <v>Bussigny</v>
      </c>
      <c r="C134" s="14">
        <f>'B) D RI'!U136</f>
        <v>356632.38967741939</v>
      </c>
      <c r="D134" s="62">
        <f>'B) D RI'!AR136</f>
        <v>8208</v>
      </c>
      <c r="E134" s="346">
        <f t="shared" si="21"/>
        <v>43.44936521411055</v>
      </c>
      <c r="F134" s="112">
        <f t="shared" ref="F134:F197" si="24">E134/$E$323</f>
        <v>0.94431305462956749</v>
      </c>
      <c r="G134" s="116">
        <f t="shared" ref="G134:G197" si="25">IF(E134-$G$2&lt;0,0,E134-$G$2)</f>
        <v>0</v>
      </c>
      <c r="H134" s="116">
        <f t="shared" ref="H134:H197" si="26">IF(E134-$H$2&lt;0,0,E134-$H$2)</f>
        <v>0</v>
      </c>
      <c r="I134" s="116">
        <f t="shared" ref="I134:I197" si="27">IF(E134-$I$2&lt;0,0,E134-$I$2)</f>
        <v>0</v>
      </c>
      <c r="J134" s="116">
        <f t="shared" ref="J134:J197" si="28">IF(E134-$J$2&lt;0,0,E134-$J$2)</f>
        <v>0</v>
      </c>
      <c r="K134" s="116">
        <f t="shared" ref="K134:K197" si="29">IF(E134&gt;$K$2,E134-$K$2,0)</f>
        <v>0</v>
      </c>
      <c r="L134" s="350">
        <f t="shared" ref="L134:L197" si="30">(G134-H134)*$G$3+(H134-I134)*$H$3+(I134-J134)*$I$3+(K134*$J$3)</f>
        <v>0</v>
      </c>
      <c r="M134" s="164">
        <f>L134*D134*'B) D RI'!S136</f>
        <v>0</v>
      </c>
      <c r="N134" s="18">
        <f>(('B) D RI'!S136*C134)-M134)/'B) D RI'!S136</f>
        <v>356632.38967741939</v>
      </c>
      <c r="O134" s="167">
        <f t="shared" si="22"/>
        <v>43.44936521411055</v>
      </c>
      <c r="P134" s="106">
        <f t="shared" si="23"/>
        <v>0.99073176952861186</v>
      </c>
    </row>
    <row r="135" spans="1:16" x14ac:dyDescent="0.25">
      <c r="A135" s="82">
        <f>'A) Base RI'!A137</f>
        <v>5625</v>
      </c>
      <c r="B135" s="83" t="str">
        <f>'A) Base RI'!B137</f>
        <v>Bussy-Chardonney</v>
      </c>
      <c r="C135" s="14">
        <f>'B) D RI'!U137</f>
        <v>13870.18990740741</v>
      </c>
      <c r="D135" s="62">
        <f>'B) D RI'!AR137</f>
        <v>388</v>
      </c>
      <c r="E135" s="346">
        <f t="shared" si="21"/>
        <v>35.747912132493326</v>
      </c>
      <c r="F135" s="112">
        <f t="shared" si="24"/>
        <v>0.77693241169611393</v>
      </c>
      <c r="G135" s="116">
        <f t="shared" si="25"/>
        <v>0</v>
      </c>
      <c r="H135" s="116">
        <f t="shared" si="26"/>
        <v>0</v>
      </c>
      <c r="I135" s="116">
        <f t="shared" si="27"/>
        <v>0</v>
      </c>
      <c r="J135" s="116">
        <f t="shared" si="28"/>
        <v>0</v>
      </c>
      <c r="K135" s="116">
        <f t="shared" si="29"/>
        <v>0</v>
      </c>
      <c r="L135" s="350">
        <f t="shared" si="30"/>
        <v>0</v>
      </c>
      <c r="M135" s="164">
        <f>L135*D135*'B) D RI'!S137</f>
        <v>0</v>
      </c>
      <c r="N135" s="18">
        <f>(('B) D RI'!S137*C135)-M135)/'B) D RI'!S137</f>
        <v>13870.18990740741</v>
      </c>
      <c r="O135" s="167">
        <f t="shared" si="22"/>
        <v>35.747912132493326</v>
      </c>
      <c r="P135" s="106">
        <f t="shared" si="23"/>
        <v>0.81512335265318459</v>
      </c>
    </row>
    <row r="136" spans="1:16" x14ac:dyDescent="0.25">
      <c r="A136" s="82">
        <f>'A) Base RI'!A138</f>
        <v>5627</v>
      </c>
      <c r="B136" s="83" t="str">
        <f>'A) Base RI'!B138</f>
        <v>Chavannes-près-Renens</v>
      </c>
      <c r="C136" s="14">
        <f>'B) D RI'!U138</f>
        <v>170689.33978902953</v>
      </c>
      <c r="D136" s="62">
        <f>'B) D RI'!AR138</f>
        <v>7169</v>
      </c>
      <c r="E136" s="346">
        <f t="shared" si="21"/>
        <v>23.809365293489961</v>
      </c>
      <c r="F136" s="112">
        <f t="shared" si="24"/>
        <v>0.51746427958825525</v>
      </c>
      <c r="G136" s="116">
        <f t="shared" si="25"/>
        <v>0</v>
      </c>
      <c r="H136" s="116">
        <f t="shared" si="26"/>
        <v>0</v>
      </c>
      <c r="I136" s="116">
        <f t="shared" si="27"/>
        <v>0</v>
      </c>
      <c r="J136" s="116">
        <f t="shared" si="28"/>
        <v>0</v>
      </c>
      <c r="K136" s="116">
        <f t="shared" si="29"/>
        <v>0</v>
      </c>
      <c r="L136" s="350">
        <f t="shared" si="30"/>
        <v>0</v>
      </c>
      <c r="M136" s="164">
        <f>L136*D136*'B) D RI'!S138</f>
        <v>0</v>
      </c>
      <c r="N136" s="18">
        <f>(('B) D RI'!S138*C136)-M136)/'B) D RI'!S138</f>
        <v>170689.33978902953</v>
      </c>
      <c r="O136" s="167">
        <f t="shared" si="22"/>
        <v>23.809365293489961</v>
      </c>
      <c r="P136" s="106">
        <f t="shared" si="23"/>
        <v>0.54290078790177121</v>
      </c>
    </row>
    <row r="137" spans="1:16" x14ac:dyDescent="0.25">
      <c r="A137" s="82">
        <f>'A) Base RI'!A139</f>
        <v>5628</v>
      </c>
      <c r="B137" s="83" t="str">
        <f>'A) Base RI'!B139</f>
        <v>Chigny</v>
      </c>
      <c r="C137" s="14">
        <f>'B) D RI'!U139</f>
        <v>19182.221249999991</v>
      </c>
      <c r="D137" s="62">
        <f>'B) D RI'!AR139</f>
        <v>330</v>
      </c>
      <c r="E137" s="346">
        <f t="shared" si="21"/>
        <v>58.127943181818154</v>
      </c>
      <c r="F137" s="112">
        <f t="shared" si="24"/>
        <v>1.2633320490383213</v>
      </c>
      <c r="G137" s="116">
        <f t="shared" si="25"/>
        <v>2.9140096231153194</v>
      </c>
      <c r="H137" s="116">
        <f t="shared" si="26"/>
        <v>0</v>
      </c>
      <c r="I137" s="116">
        <f t="shared" si="27"/>
        <v>0</v>
      </c>
      <c r="J137" s="116">
        <f t="shared" si="28"/>
        <v>0</v>
      </c>
      <c r="K137" s="116">
        <f t="shared" si="29"/>
        <v>0</v>
      </c>
      <c r="L137" s="350">
        <f t="shared" si="30"/>
        <v>1.049043464321515</v>
      </c>
      <c r="M137" s="164">
        <f>L137*D137*'B) D RI'!S139</f>
        <v>21463.429280018197</v>
      </c>
      <c r="N137" s="18">
        <f>(('B) D RI'!S139*C137)-M137)/'B) D RI'!S139</f>
        <v>18836.036906773894</v>
      </c>
      <c r="O137" s="167">
        <f t="shared" si="22"/>
        <v>57.078899717496647</v>
      </c>
      <c r="P137" s="106">
        <f t="shared" si="23"/>
        <v>1.3015122094694396</v>
      </c>
    </row>
    <row r="138" spans="1:16" x14ac:dyDescent="0.25">
      <c r="A138" s="82">
        <f>'A) Base RI'!A140</f>
        <v>5629</v>
      </c>
      <c r="B138" s="83" t="str">
        <f>'A) Base RI'!B140</f>
        <v>Clarmont</v>
      </c>
      <c r="C138" s="14">
        <f>'B) D RI'!U140</f>
        <v>7795.3318666666655</v>
      </c>
      <c r="D138" s="62">
        <f>'B) D RI'!AR140</f>
        <v>155</v>
      </c>
      <c r="E138" s="346">
        <f t="shared" si="21"/>
        <v>50.29246365591397</v>
      </c>
      <c r="F138" s="112">
        <f t="shared" si="24"/>
        <v>1.0930385230194168</v>
      </c>
      <c r="G138" s="116">
        <f t="shared" si="25"/>
        <v>0</v>
      </c>
      <c r="H138" s="116">
        <f t="shared" si="26"/>
        <v>0</v>
      </c>
      <c r="I138" s="116">
        <f t="shared" si="27"/>
        <v>0</v>
      </c>
      <c r="J138" s="116">
        <f t="shared" si="28"/>
        <v>0</v>
      </c>
      <c r="K138" s="116">
        <f t="shared" si="29"/>
        <v>0</v>
      </c>
      <c r="L138" s="350">
        <f t="shared" si="30"/>
        <v>0</v>
      </c>
      <c r="M138" s="164">
        <f>L138*D138*'B) D RI'!S140</f>
        <v>0</v>
      </c>
      <c r="N138" s="18">
        <f>(('B) D RI'!S140*C138)-M138)/'B) D RI'!S140</f>
        <v>7795.3318666666655</v>
      </c>
      <c r="O138" s="167">
        <f t="shared" si="22"/>
        <v>50.29246365591397</v>
      </c>
      <c r="P138" s="106">
        <f t="shared" si="23"/>
        <v>1.1467679968681228</v>
      </c>
    </row>
    <row r="139" spans="1:16" x14ac:dyDescent="0.25">
      <c r="A139" s="82">
        <f>'A) Base RI'!A141</f>
        <v>5631</v>
      </c>
      <c r="B139" s="83" t="str">
        <f>'A) Base RI'!B141</f>
        <v>Denens</v>
      </c>
      <c r="C139" s="14">
        <f>'B) D RI'!U141</f>
        <v>35350.552500000005</v>
      </c>
      <c r="D139" s="62">
        <f>'B) D RI'!AR141</f>
        <v>699</v>
      </c>
      <c r="E139" s="346">
        <f t="shared" si="21"/>
        <v>50.573036480686703</v>
      </c>
      <c r="F139" s="112">
        <f t="shared" si="24"/>
        <v>1.0991363930320528</v>
      </c>
      <c r="G139" s="116">
        <f t="shared" si="25"/>
        <v>0</v>
      </c>
      <c r="H139" s="116">
        <f t="shared" si="26"/>
        <v>0</v>
      </c>
      <c r="I139" s="116">
        <f t="shared" si="27"/>
        <v>0</v>
      </c>
      <c r="J139" s="116">
        <f t="shared" si="28"/>
        <v>0</v>
      </c>
      <c r="K139" s="116">
        <f t="shared" si="29"/>
        <v>0</v>
      </c>
      <c r="L139" s="350">
        <f t="shared" si="30"/>
        <v>0</v>
      </c>
      <c r="M139" s="164">
        <f>L139*D139*'B) D RI'!S141</f>
        <v>0</v>
      </c>
      <c r="N139" s="18">
        <f>(('B) D RI'!S141*C139)-M139)/'B) D RI'!S141</f>
        <v>35350.552500000005</v>
      </c>
      <c r="O139" s="167">
        <f t="shared" si="22"/>
        <v>50.573036480686703</v>
      </c>
      <c r="P139" s="106">
        <f t="shared" si="23"/>
        <v>1.1531656141819531</v>
      </c>
    </row>
    <row r="140" spans="1:16" x14ac:dyDescent="0.25">
      <c r="A140" s="82">
        <f>'A) Base RI'!A142</f>
        <v>5632</v>
      </c>
      <c r="B140" s="83" t="str">
        <f>'A) Base RI'!B142</f>
        <v>Denges</v>
      </c>
      <c r="C140" s="14">
        <f>'B) D RI'!U142</f>
        <v>61597.331370967739</v>
      </c>
      <c r="D140" s="62">
        <f>'B) D RI'!AR142</f>
        <v>1612</v>
      </c>
      <c r="E140" s="346">
        <f t="shared" si="21"/>
        <v>38.211744026654927</v>
      </c>
      <c r="F140" s="112">
        <f t="shared" si="24"/>
        <v>0.83048045803935266</v>
      </c>
      <c r="G140" s="116">
        <f t="shared" si="25"/>
        <v>0</v>
      </c>
      <c r="H140" s="116">
        <f t="shared" si="26"/>
        <v>0</v>
      </c>
      <c r="I140" s="116">
        <f t="shared" si="27"/>
        <v>0</v>
      </c>
      <c r="J140" s="116">
        <f t="shared" si="28"/>
        <v>0</v>
      </c>
      <c r="K140" s="116">
        <f t="shared" si="29"/>
        <v>0</v>
      </c>
      <c r="L140" s="350">
        <f t="shared" si="30"/>
        <v>0</v>
      </c>
      <c r="M140" s="164">
        <f>L140*D140*'B) D RI'!S142</f>
        <v>0</v>
      </c>
      <c r="N140" s="18">
        <f>(('B) D RI'!S142*C140)-M140)/'B) D RI'!S142</f>
        <v>61597.331370967739</v>
      </c>
      <c r="O140" s="167">
        <f t="shared" si="22"/>
        <v>38.211744026654927</v>
      </c>
      <c r="P140" s="106">
        <f t="shared" si="23"/>
        <v>0.87130361030010228</v>
      </c>
    </row>
    <row r="141" spans="1:16" x14ac:dyDescent="0.25">
      <c r="A141" s="82">
        <f>'A) Base RI'!A143</f>
        <v>5633</v>
      </c>
      <c r="B141" s="83" t="str">
        <f>'A) Base RI'!B143</f>
        <v>Echandens</v>
      </c>
      <c r="C141" s="14">
        <f>'B) D RI'!U143</f>
        <v>124899.1516129032</v>
      </c>
      <c r="D141" s="62">
        <f>'B) D RI'!AR143</f>
        <v>2405</v>
      </c>
      <c r="E141" s="346">
        <f t="shared" si="21"/>
        <v>51.933119173764325</v>
      </c>
      <c r="F141" s="112">
        <f t="shared" si="24"/>
        <v>1.1286959466899698</v>
      </c>
      <c r="G141" s="116">
        <f t="shared" si="25"/>
        <v>0</v>
      </c>
      <c r="H141" s="116">
        <f t="shared" si="26"/>
        <v>0</v>
      </c>
      <c r="I141" s="116">
        <f t="shared" si="27"/>
        <v>0</v>
      </c>
      <c r="J141" s="116">
        <f t="shared" si="28"/>
        <v>0</v>
      </c>
      <c r="K141" s="116">
        <f t="shared" si="29"/>
        <v>0</v>
      </c>
      <c r="L141" s="350">
        <f t="shared" si="30"/>
        <v>0</v>
      </c>
      <c r="M141" s="164">
        <f>L141*D141*'B) D RI'!S143</f>
        <v>0</v>
      </c>
      <c r="N141" s="18">
        <f>(('B) D RI'!S143*C141)-M141)/'B) D RI'!S143</f>
        <v>124899.1516129032</v>
      </c>
      <c r="O141" s="167">
        <f t="shared" si="22"/>
        <v>51.933119173764325</v>
      </c>
      <c r="P141" s="106">
        <f t="shared" si="23"/>
        <v>1.184178199212319</v>
      </c>
    </row>
    <row r="142" spans="1:16" x14ac:dyDescent="0.25">
      <c r="A142" s="82">
        <f>'A) Base RI'!A144</f>
        <v>5634</v>
      </c>
      <c r="B142" s="83" t="str">
        <f>'A) Base RI'!B144</f>
        <v>Echichens</v>
      </c>
      <c r="C142" s="14">
        <f>'B) D RI'!U144</f>
        <v>128757.51117647058</v>
      </c>
      <c r="D142" s="62">
        <f>'B) D RI'!AR144</f>
        <v>2570</v>
      </c>
      <c r="E142" s="346">
        <f t="shared" si="21"/>
        <v>50.100198901350417</v>
      </c>
      <c r="F142" s="112">
        <f t="shared" si="24"/>
        <v>1.0888599092057323</v>
      </c>
      <c r="G142" s="116">
        <f t="shared" si="25"/>
        <v>0</v>
      </c>
      <c r="H142" s="116">
        <f t="shared" si="26"/>
        <v>0</v>
      </c>
      <c r="I142" s="116">
        <f t="shared" si="27"/>
        <v>0</v>
      </c>
      <c r="J142" s="116">
        <f t="shared" si="28"/>
        <v>0</v>
      </c>
      <c r="K142" s="116">
        <f t="shared" si="29"/>
        <v>0</v>
      </c>
      <c r="L142" s="350">
        <f t="shared" si="30"/>
        <v>0</v>
      </c>
      <c r="M142" s="164">
        <f>L142*D142*'B) D RI'!S144</f>
        <v>0</v>
      </c>
      <c r="N142" s="18">
        <f>(('B) D RI'!S144*C142)-M142)/'B) D RI'!S144</f>
        <v>128757.51117647058</v>
      </c>
      <c r="O142" s="167">
        <f t="shared" si="22"/>
        <v>50.100198901350417</v>
      </c>
      <c r="P142" s="106">
        <f t="shared" si="23"/>
        <v>1.1423839788377541</v>
      </c>
    </row>
    <row r="143" spans="1:16" x14ac:dyDescent="0.25">
      <c r="A143" s="82">
        <f>'A) Base RI'!A145</f>
        <v>5635</v>
      </c>
      <c r="B143" s="83" t="str">
        <f>'A) Base RI'!B145</f>
        <v>Ecublens</v>
      </c>
      <c r="C143" s="14">
        <f>'B) D RI'!U145</f>
        <v>456934.05313242786</v>
      </c>
      <c r="D143" s="62">
        <f>'B) D RI'!AR145</f>
        <v>12181</v>
      </c>
      <c r="E143" s="346">
        <f t="shared" si="21"/>
        <v>37.512031289091851</v>
      </c>
      <c r="F143" s="112">
        <f t="shared" si="24"/>
        <v>0.81527315019226765</v>
      </c>
      <c r="G143" s="116">
        <f t="shared" si="25"/>
        <v>0</v>
      </c>
      <c r="H143" s="116">
        <f t="shared" si="26"/>
        <v>0</v>
      </c>
      <c r="I143" s="116">
        <f t="shared" si="27"/>
        <v>0</v>
      </c>
      <c r="J143" s="116">
        <f t="shared" si="28"/>
        <v>0</v>
      </c>
      <c r="K143" s="116">
        <f t="shared" si="29"/>
        <v>0</v>
      </c>
      <c r="L143" s="350">
        <f t="shared" si="30"/>
        <v>0</v>
      </c>
      <c r="M143" s="164">
        <f>L143*D143*'B) D RI'!S145</f>
        <v>0</v>
      </c>
      <c r="N143" s="18">
        <f>(('B) D RI'!S145*C143)-M143)/'B) D RI'!S145</f>
        <v>456934.05313242786</v>
      </c>
      <c r="O143" s="167">
        <f t="shared" si="22"/>
        <v>37.512031289091851</v>
      </c>
      <c r="P143" s="106">
        <f t="shared" si="23"/>
        <v>0.85534877102382112</v>
      </c>
    </row>
    <row r="144" spans="1:16" x14ac:dyDescent="0.25">
      <c r="A144" s="82">
        <f>'A) Base RI'!A146</f>
        <v>5636</v>
      </c>
      <c r="B144" s="83" t="str">
        <f>'A) Base RI'!B146</f>
        <v>Etoy</v>
      </c>
      <c r="C144" s="14">
        <f>'B) D RI'!U146</f>
        <v>141771.26016393444</v>
      </c>
      <c r="D144" s="62">
        <f>'B) D RI'!AR146</f>
        <v>2890</v>
      </c>
      <c r="E144" s="346">
        <f t="shared" si="21"/>
        <v>49.055799364683196</v>
      </c>
      <c r="F144" s="112">
        <f t="shared" si="24"/>
        <v>1.0661613010243718</v>
      </c>
      <c r="G144" s="116">
        <f t="shared" si="25"/>
        <v>0</v>
      </c>
      <c r="H144" s="116">
        <f t="shared" si="26"/>
        <v>0</v>
      </c>
      <c r="I144" s="116">
        <f t="shared" si="27"/>
        <v>0</v>
      </c>
      <c r="J144" s="116">
        <f t="shared" si="28"/>
        <v>0</v>
      </c>
      <c r="K144" s="116">
        <f t="shared" si="29"/>
        <v>0</v>
      </c>
      <c r="L144" s="350">
        <f t="shared" si="30"/>
        <v>0</v>
      </c>
      <c r="M144" s="164">
        <f>L144*D144*'B) D RI'!S146</f>
        <v>0</v>
      </c>
      <c r="N144" s="18">
        <f>(('B) D RI'!S146*C144)-M144)/'B) D RI'!S146</f>
        <v>141771.26016393444</v>
      </c>
      <c r="O144" s="167">
        <f t="shared" si="22"/>
        <v>49.055799364683196</v>
      </c>
      <c r="P144" s="106">
        <f t="shared" si="23"/>
        <v>1.118569596373056</v>
      </c>
    </row>
    <row r="145" spans="1:16" x14ac:dyDescent="0.25">
      <c r="A145" s="82">
        <f>'A) Base RI'!A147</f>
        <v>5637</v>
      </c>
      <c r="B145" s="83" t="str">
        <f>'A) Base RI'!B147</f>
        <v>Lavigny</v>
      </c>
      <c r="C145" s="14">
        <f>'B) D RI'!U147</f>
        <v>30305.948814317679</v>
      </c>
      <c r="D145" s="62">
        <f>'B) D RI'!AR147</f>
        <v>930</v>
      </c>
      <c r="E145" s="346">
        <f t="shared" si="21"/>
        <v>32.587041735825458</v>
      </c>
      <c r="F145" s="112">
        <f t="shared" si="24"/>
        <v>0.7082351783796591</v>
      </c>
      <c r="G145" s="116">
        <f t="shared" si="25"/>
        <v>0</v>
      </c>
      <c r="H145" s="116">
        <f t="shared" si="26"/>
        <v>0</v>
      </c>
      <c r="I145" s="116">
        <f t="shared" si="27"/>
        <v>0</v>
      </c>
      <c r="J145" s="116">
        <f t="shared" si="28"/>
        <v>0</v>
      </c>
      <c r="K145" s="116">
        <f t="shared" si="29"/>
        <v>0</v>
      </c>
      <c r="L145" s="350">
        <f t="shared" si="30"/>
        <v>0</v>
      </c>
      <c r="M145" s="164">
        <f>L145*D145*'B) D RI'!S147</f>
        <v>0</v>
      </c>
      <c r="N145" s="18">
        <f>(('B) D RI'!S147*C145)-M145)/'B) D RI'!S147</f>
        <v>30305.948814317679</v>
      </c>
      <c r="O145" s="167">
        <f t="shared" si="22"/>
        <v>32.587041735825458</v>
      </c>
      <c r="P145" s="106">
        <f t="shared" si="23"/>
        <v>0.7430492335973703</v>
      </c>
    </row>
    <row r="146" spans="1:16" x14ac:dyDescent="0.25">
      <c r="A146" s="82">
        <f>'A) Base RI'!A148</f>
        <v>5638</v>
      </c>
      <c r="B146" s="83" t="str">
        <f>'A) Base RI'!B148</f>
        <v>Lonay</v>
      </c>
      <c r="C146" s="14">
        <f>'B) D RI'!U148</f>
        <v>131856.2218181818</v>
      </c>
      <c r="D146" s="62">
        <f>'B) D RI'!AR148</f>
        <v>2508</v>
      </c>
      <c r="E146" s="346">
        <f t="shared" si="21"/>
        <v>52.574251123676952</v>
      </c>
      <c r="F146" s="112">
        <f t="shared" si="24"/>
        <v>1.1426300805273495</v>
      </c>
      <c r="G146" s="116">
        <f t="shared" si="25"/>
        <v>0</v>
      </c>
      <c r="H146" s="116">
        <f t="shared" si="26"/>
        <v>0</v>
      </c>
      <c r="I146" s="116">
        <f t="shared" si="27"/>
        <v>0</v>
      </c>
      <c r="J146" s="116">
        <f t="shared" si="28"/>
        <v>0</v>
      </c>
      <c r="K146" s="116">
        <f t="shared" si="29"/>
        <v>0</v>
      </c>
      <c r="L146" s="350">
        <f t="shared" si="30"/>
        <v>0</v>
      </c>
      <c r="M146" s="164">
        <f>L146*D146*'B) D RI'!S148</f>
        <v>0</v>
      </c>
      <c r="N146" s="18">
        <f>(('B) D RI'!S148*C146)-M146)/'B) D RI'!S148</f>
        <v>131856.2218181818</v>
      </c>
      <c r="O146" s="167">
        <f t="shared" si="22"/>
        <v>52.574251123676952</v>
      </c>
      <c r="P146" s="106">
        <f t="shared" si="23"/>
        <v>1.1987972802531621</v>
      </c>
    </row>
    <row r="147" spans="1:16" x14ac:dyDescent="0.25">
      <c r="A147" s="82">
        <f>'A) Base RI'!A149</f>
        <v>5639</v>
      </c>
      <c r="B147" s="83" t="str">
        <f>'A) Base RI'!B149</f>
        <v>Lully</v>
      </c>
      <c r="C147" s="14">
        <f>'B) D RI'!U149</f>
        <v>41983.035245901636</v>
      </c>
      <c r="D147" s="62">
        <f>'B) D RI'!AR149</f>
        <v>764</v>
      </c>
      <c r="E147" s="346">
        <f t="shared" si="21"/>
        <v>54.95161681400738</v>
      </c>
      <c r="F147" s="112">
        <f t="shared" si="24"/>
        <v>1.1942989011405993</v>
      </c>
      <c r="G147" s="116">
        <f t="shared" si="25"/>
        <v>0</v>
      </c>
      <c r="H147" s="116">
        <f t="shared" si="26"/>
        <v>0</v>
      </c>
      <c r="I147" s="116">
        <f t="shared" si="27"/>
        <v>0</v>
      </c>
      <c r="J147" s="116">
        <f t="shared" si="28"/>
        <v>0</v>
      </c>
      <c r="K147" s="116">
        <f t="shared" si="29"/>
        <v>0</v>
      </c>
      <c r="L147" s="350">
        <f t="shared" si="30"/>
        <v>0</v>
      </c>
      <c r="M147" s="164">
        <f>L147*D147*'B) D RI'!S149</f>
        <v>0</v>
      </c>
      <c r="N147" s="18">
        <f>(('B) D RI'!S149*C147)-M147)/'B) D RI'!S149</f>
        <v>41983.035245901636</v>
      </c>
      <c r="O147" s="167">
        <f t="shared" si="22"/>
        <v>54.95161681400738</v>
      </c>
      <c r="P147" s="106">
        <f t="shared" si="23"/>
        <v>1.2530059368259574</v>
      </c>
    </row>
    <row r="148" spans="1:16" x14ac:dyDescent="0.25">
      <c r="A148" s="82">
        <f>'A) Base RI'!A150</f>
        <v>5640</v>
      </c>
      <c r="B148" s="83" t="str">
        <f>'A) Base RI'!B150</f>
        <v>Lussy-sur-Morges</v>
      </c>
      <c r="C148" s="14">
        <f>'B) D RI'!U150</f>
        <v>50734.215909090912</v>
      </c>
      <c r="D148" s="62">
        <f>'B) D RI'!AR150</f>
        <v>653</v>
      </c>
      <c r="E148" s="346">
        <f t="shared" si="21"/>
        <v>77.694051928163731</v>
      </c>
      <c r="F148" s="112">
        <f t="shared" si="24"/>
        <v>1.6885748995708183</v>
      </c>
      <c r="G148" s="116">
        <f t="shared" si="25"/>
        <v>22.480118369460897</v>
      </c>
      <c r="H148" s="116">
        <f t="shared" si="26"/>
        <v>8.6766349797851916</v>
      </c>
      <c r="I148" s="116">
        <f t="shared" si="27"/>
        <v>0</v>
      </c>
      <c r="J148" s="116">
        <f t="shared" si="28"/>
        <v>0</v>
      </c>
      <c r="K148" s="116">
        <f t="shared" si="29"/>
        <v>0</v>
      </c>
      <c r="L148" s="350">
        <f t="shared" si="30"/>
        <v>8.9605061109844417</v>
      </c>
      <c r="M148" s="164">
        <f>L148*D148*'B) D RI'!S150</f>
        <v>386179.89237120748</v>
      </c>
      <c r="N148" s="18">
        <f>(('B) D RI'!S150*C148)-M148)/'B) D RI'!S150</f>
        <v>44883.005418618071</v>
      </c>
      <c r="O148" s="167">
        <f t="shared" si="22"/>
        <v>68.733545817179277</v>
      </c>
      <c r="P148" s="106">
        <f t="shared" si="23"/>
        <v>1.5672612738497507</v>
      </c>
    </row>
    <row r="149" spans="1:16" x14ac:dyDescent="0.25">
      <c r="A149" s="82">
        <f>'A) Base RI'!A151</f>
        <v>5642</v>
      </c>
      <c r="B149" s="83" t="str">
        <f>'A) Base RI'!B151</f>
        <v>Morges</v>
      </c>
      <c r="C149" s="14">
        <f>'B) D RI'!U151</f>
        <v>722363.52321167884</v>
      </c>
      <c r="D149" s="62">
        <f>'B) D RI'!AR151</f>
        <v>15401</v>
      </c>
      <c r="E149" s="346">
        <f t="shared" si="21"/>
        <v>46.903676593187377</v>
      </c>
      <c r="F149" s="112">
        <f t="shared" si="24"/>
        <v>1.0193878299212986</v>
      </c>
      <c r="G149" s="116">
        <f t="shared" si="25"/>
        <v>0</v>
      </c>
      <c r="H149" s="116">
        <f t="shared" si="26"/>
        <v>0</v>
      </c>
      <c r="I149" s="116">
        <f t="shared" si="27"/>
        <v>0</v>
      </c>
      <c r="J149" s="116">
        <f t="shared" si="28"/>
        <v>0</v>
      </c>
      <c r="K149" s="116">
        <f t="shared" si="29"/>
        <v>0</v>
      </c>
      <c r="L149" s="350">
        <f t="shared" si="30"/>
        <v>0</v>
      </c>
      <c r="M149" s="164">
        <f>L149*D149*'B) D RI'!S151</f>
        <v>0</v>
      </c>
      <c r="N149" s="18">
        <f>(('B) D RI'!S151*C149)-M149)/'B) D RI'!S151</f>
        <v>722363.52321167884</v>
      </c>
      <c r="O149" s="167">
        <f t="shared" si="22"/>
        <v>46.903676593187377</v>
      </c>
      <c r="P149" s="106">
        <f t="shared" si="23"/>
        <v>1.0694969254343691</v>
      </c>
    </row>
    <row r="150" spans="1:16" x14ac:dyDescent="0.25">
      <c r="A150" s="82">
        <f>'A) Base RI'!A152</f>
        <v>5643</v>
      </c>
      <c r="B150" s="83" t="str">
        <f>'A) Base RI'!B152</f>
        <v>Préverenges</v>
      </c>
      <c r="C150" s="14">
        <f>'B) D RI'!U152</f>
        <v>265909.61515625002</v>
      </c>
      <c r="D150" s="62">
        <f>'B) D RI'!AR152</f>
        <v>5184</v>
      </c>
      <c r="E150" s="346">
        <f t="shared" si="21"/>
        <v>51.294293047116128</v>
      </c>
      <c r="F150" s="112">
        <f t="shared" si="24"/>
        <v>1.1148119267955567</v>
      </c>
      <c r="G150" s="116">
        <f t="shared" si="25"/>
        <v>0</v>
      </c>
      <c r="H150" s="116">
        <f t="shared" si="26"/>
        <v>0</v>
      </c>
      <c r="I150" s="116">
        <f t="shared" si="27"/>
        <v>0</v>
      </c>
      <c r="J150" s="116">
        <f t="shared" si="28"/>
        <v>0</v>
      </c>
      <c r="K150" s="116">
        <f t="shared" si="29"/>
        <v>0</v>
      </c>
      <c r="L150" s="350">
        <f t="shared" si="30"/>
        <v>0</v>
      </c>
      <c r="M150" s="164">
        <f>L150*D150*'B) D RI'!S152</f>
        <v>0</v>
      </c>
      <c r="N150" s="18">
        <f>(('B) D RI'!S152*C150)-M150)/'B) D RI'!S152</f>
        <v>265909.61515625002</v>
      </c>
      <c r="O150" s="167">
        <f t="shared" si="22"/>
        <v>51.294293047116128</v>
      </c>
      <c r="P150" s="106">
        <f t="shared" si="23"/>
        <v>1.1696116955187339</v>
      </c>
    </row>
    <row r="151" spans="1:16" x14ac:dyDescent="0.25">
      <c r="A151" s="82">
        <f>'A) Base RI'!A153</f>
        <v>5644</v>
      </c>
      <c r="B151" s="83" t="str">
        <f>'A) Base RI'!B153</f>
        <v>Reverolle</v>
      </c>
      <c r="C151" s="14">
        <f>'B) D RI'!U153</f>
        <v>14878.554871794875</v>
      </c>
      <c r="D151" s="62">
        <f>'B) D RI'!AR153</f>
        <v>356</v>
      </c>
      <c r="E151" s="346">
        <f t="shared" si="21"/>
        <v>41.793693460097963</v>
      </c>
      <c r="F151" s="112">
        <f t="shared" si="24"/>
        <v>0.90832927342146441</v>
      </c>
      <c r="G151" s="116">
        <f t="shared" si="25"/>
        <v>0</v>
      </c>
      <c r="H151" s="116">
        <f t="shared" si="26"/>
        <v>0</v>
      </c>
      <c r="I151" s="116">
        <f t="shared" si="27"/>
        <v>0</v>
      </c>
      <c r="J151" s="116">
        <f t="shared" si="28"/>
        <v>0</v>
      </c>
      <c r="K151" s="116">
        <f t="shared" si="29"/>
        <v>0</v>
      </c>
      <c r="L151" s="350">
        <f t="shared" si="30"/>
        <v>0</v>
      </c>
      <c r="M151" s="164">
        <f>L151*D151*'B) D RI'!S153</f>
        <v>0</v>
      </c>
      <c r="N151" s="18">
        <f>(('B) D RI'!S153*C151)-M151)/'B) D RI'!S153</f>
        <v>14878.554871794875</v>
      </c>
      <c r="O151" s="167">
        <f t="shared" si="22"/>
        <v>41.793693460097963</v>
      </c>
      <c r="P151" s="106">
        <f t="shared" si="23"/>
        <v>0.95297916719418874</v>
      </c>
    </row>
    <row r="152" spans="1:16" x14ac:dyDescent="0.25">
      <c r="A152" s="82">
        <f>'A) Base RI'!A154</f>
        <v>5645</v>
      </c>
      <c r="B152" s="83" t="str">
        <f>'A) Base RI'!B154</f>
        <v>Romanel-sur-Morges</v>
      </c>
      <c r="C152" s="14">
        <f>'B) D RI'!U154</f>
        <v>25051.786919642858</v>
      </c>
      <c r="D152" s="62">
        <f>'B) D RI'!AR154</f>
        <v>435</v>
      </c>
      <c r="E152" s="346">
        <f t="shared" si="21"/>
        <v>57.590314757799675</v>
      </c>
      <c r="F152" s="112">
        <f t="shared" si="24"/>
        <v>1.2516474240308266</v>
      </c>
      <c r="G152" s="116">
        <f t="shared" si="25"/>
        <v>2.3763811990968406</v>
      </c>
      <c r="H152" s="116">
        <f t="shared" si="26"/>
        <v>0</v>
      </c>
      <c r="I152" s="116">
        <f t="shared" si="27"/>
        <v>0</v>
      </c>
      <c r="J152" s="116">
        <f t="shared" si="28"/>
        <v>0</v>
      </c>
      <c r="K152" s="116">
        <f t="shared" si="29"/>
        <v>0</v>
      </c>
      <c r="L152" s="350">
        <f t="shared" si="30"/>
        <v>0.85549723167486258</v>
      </c>
      <c r="M152" s="164">
        <f>L152*D152*'B) D RI'!S154</f>
        <v>20839.912563599653</v>
      </c>
      <c r="N152" s="18">
        <f>(('B) D RI'!S154*C152)-M152)/'B) D RI'!S154</f>
        <v>24679.645623864293</v>
      </c>
      <c r="O152" s="167">
        <f t="shared" si="22"/>
        <v>56.734817526124814</v>
      </c>
      <c r="P152" s="106">
        <f t="shared" si="23"/>
        <v>1.2936664525374053</v>
      </c>
    </row>
    <row r="153" spans="1:16" x14ac:dyDescent="0.25">
      <c r="A153" s="82">
        <f>'A) Base RI'!A155</f>
        <v>5646</v>
      </c>
      <c r="B153" s="83" t="str">
        <f>'A) Base RI'!B155</f>
        <v>Saint-Prex</v>
      </c>
      <c r="C153" s="14">
        <f>'B) D RI'!U155</f>
        <v>375526.35254545452</v>
      </c>
      <c r="D153" s="62">
        <f>'B) D RI'!AR155</f>
        <v>5447</v>
      </c>
      <c r="E153" s="346">
        <f t="shared" si="21"/>
        <v>68.941867550110985</v>
      </c>
      <c r="F153" s="112">
        <f t="shared" si="24"/>
        <v>1.498358036240532</v>
      </c>
      <c r="G153" s="116">
        <f t="shared" si="25"/>
        <v>13.72793399140815</v>
      </c>
      <c r="H153" s="116">
        <f t="shared" si="26"/>
        <v>0</v>
      </c>
      <c r="I153" s="116">
        <f t="shared" si="27"/>
        <v>0</v>
      </c>
      <c r="J153" s="116">
        <f t="shared" si="28"/>
        <v>0</v>
      </c>
      <c r="K153" s="116">
        <f t="shared" si="29"/>
        <v>0</v>
      </c>
      <c r="L153" s="350">
        <f t="shared" si="30"/>
        <v>4.9420562369069341</v>
      </c>
      <c r="M153" s="164">
        <f>L153*D153*'B) D RI'!S155</f>
        <v>1480565.9177337638</v>
      </c>
      <c r="N153" s="18">
        <f>(('B) D RI'!S155*C153)-M153)/'B) D RI'!S155</f>
        <v>348606.97222302243</v>
      </c>
      <c r="O153" s="167">
        <f t="shared" si="22"/>
        <v>63.999811313204042</v>
      </c>
      <c r="P153" s="106">
        <f t="shared" si="23"/>
        <v>1.4593227311692938</v>
      </c>
    </row>
    <row r="154" spans="1:16" x14ac:dyDescent="0.25">
      <c r="A154" s="82">
        <f>'A) Base RI'!A156</f>
        <v>5648</v>
      </c>
      <c r="B154" s="83" t="str">
        <f>'A) Base RI'!B156</f>
        <v>Saint-Sulpice</v>
      </c>
      <c r="C154" s="14">
        <f>'B) D RI'!U156</f>
        <v>290036.18604545452</v>
      </c>
      <c r="D154" s="62">
        <f>'B) D RI'!AR156</f>
        <v>3463</v>
      </c>
      <c r="E154" s="346">
        <f t="shared" si="21"/>
        <v>83.752869201690586</v>
      </c>
      <c r="F154" s="112">
        <f t="shared" si="24"/>
        <v>1.8202550799097581</v>
      </c>
      <c r="G154" s="116">
        <f t="shared" si="25"/>
        <v>28.538935642987752</v>
      </c>
      <c r="H154" s="116">
        <f t="shared" si="26"/>
        <v>14.735452253312047</v>
      </c>
      <c r="I154" s="116">
        <f t="shared" si="27"/>
        <v>0</v>
      </c>
      <c r="J154" s="116">
        <f t="shared" si="28"/>
        <v>0</v>
      </c>
      <c r="K154" s="116">
        <f t="shared" si="29"/>
        <v>0</v>
      </c>
      <c r="L154" s="350">
        <f t="shared" si="30"/>
        <v>11.747562056806796</v>
      </c>
      <c r="M154" s="164">
        <f>L154*D154*'B) D RI'!S156</f>
        <v>2237499.4071497065</v>
      </c>
      <c r="N154" s="18">
        <f>(('B) D RI'!S156*C154)-M154)/'B) D RI'!S156</f>
        <v>249354.37864273257</v>
      </c>
      <c r="O154" s="167">
        <f t="shared" si="22"/>
        <v>72.005307144883787</v>
      </c>
      <c r="P154" s="106">
        <f t="shared" si="23"/>
        <v>1.6418639262406143</v>
      </c>
    </row>
    <row r="155" spans="1:16" x14ac:dyDescent="0.25">
      <c r="A155" s="82">
        <f>'A) Base RI'!A157</f>
        <v>5649</v>
      </c>
      <c r="B155" s="83" t="str">
        <f>'A) Base RI'!B157</f>
        <v>Tolochenaz</v>
      </c>
      <c r="C155" s="14">
        <f>'B) D RI'!U157</f>
        <v>103201.6483076923</v>
      </c>
      <c r="D155" s="62">
        <f>'B) D RI'!AR157</f>
        <v>1812</v>
      </c>
      <c r="E155" s="346">
        <f t="shared" si="21"/>
        <v>56.954552046187807</v>
      </c>
      <c r="F155" s="112">
        <f t="shared" si="24"/>
        <v>1.2378299833095796</v>
      </c>
      <c r="G155" s="116">
        <f t="shared" si="25"/>
        <v>1.7406184874849728</v>
      </c>
      <c r="H155" s="116">
        <f t="shared" si="26"/>
        <v>0</v>
      </c>
      <c r="I155" s="116">
        <f t="shared" si="27"/>
        <v>0</v>
      </c>
      <c r="J155" s="116">
        <f t="shared" si="28"/>
        <v>0</v>
      </c>
      <c r="K155" s="116">
        <f t="shared" si="29"/>
        <v>0</v>
      </c>
      <c r="L155" s="350">
        <f t="shared" si="30"/>
        <v>0.62662265549459017</v>
      </c>
      <c r="M155" s="164">
        <f>L155*D155*'B) D RI'!S157</f>
        <v>73803.616364152826</v>
      </c>
      <c r="N155" s="18">
        <f>(('B) D RI'!S157*C155)-M155)/'B) D RI'!S157</f>
        <v>102066.20805593611</v>
      </c>
      <c r="O155" s="167">
        <f t="shared" si="22"/>
        <v>56.327929390693214</v>
      </c>
      <c r="P155" s="106">
        <f t="shared" si="23"/>
        <v>1.2843885954172873</v>
      </c>
    </row>
    <row r="156" spans="1:16" x14ac:dyDescent="0.25">
      <c r="A156" s="82">
        <f>'A) Base RI'!A158</f>
        <v>5650</v>
      </c>
      <c r="B156" s="83" t="str">
        <f>'A) Base RI'!B158</f>
        <v>Vaux-sur-Morges</v>
      </c>
      <c r="C156" s="14">
        <f>'B) D RI'!U158</f>
        <v>157222.88974358974</v>
      </c>
      <c r="D156" s="62">
        <f>'B) D RI'!AR158</f>
        <v>196</v>
      </c>
      <c r="E156" s="346">
        <f t="shared" si="21"/>
        <v>802.15760073260071</v>
      </c>
      <c r="F156" s="112">
        <f t="shared" si="24"/>
        <v>17.433808077732895</v>
      </c>
      <c r="G156" s="116">
        <f t="shared" si="25"/>
        <v>746.94366717389789</v>
      </c>
      <c r="H156" s="116">
        <f t="shared" si="26"/>
        <v>733.14018378422213</v>
      </c>
      <c r="I156" s="116">
        <f t="shared" si="27"/>
        <v>710.13437813476264</v>
      </c>
      <c r="J156" s="116">
        <f t="shared" si="28"/>
        <v>664.12276683584366</v>
      </c>
      <c r="K156" s="116">
        <f t="shared" si="29"/>
        <v>664.12276683584366</v>
      </c>
      <c r="L156" s="350">
        <f t="shared" si="30"/>
        <v>479.63945305808613</v>
      </c>
      <c r="M156" s="164">
        <f>L156*D156*'B) D RI'!S158</f>
        <v>3666363.9791760105</v>
      </c>
      <c r="N156" s="18">
        <f>(('B) D RI'!S158*C156)-M156)/'B) D RI'!S158</f>
        <v>63213.556944204865</v>
      </c>
      <c r="O156" s="167">
        <f t="shared" si="22"/>
        <v>322.51814767451464</v>
      </c>
      <c r="P156" s="106">
        <f t="shared" si="23"/>
        <v>7.3540539332641917</v>
      </c>
    </row>
    <row r="157" spans="1:16" x14ac:dyDescent="0.25">
      <c r="A157" s="82">
        <f>'A) Base RI'!A159</f>
        <v>5651</v>
      </c>
      <c r="B157" s="83" t="str">
        <f>'A) Base RI'!B159</f>
        <v>Villars-Sainte-Croix</v>
      </c>
      <c r="C157" s="14">
        <f>'B) D RI'!U159</f>
        <v>47709.999830508481</v>
      </c>
      <c r="D157" s="62">
        <f>'B) D RI'!AR159</f>
        <v>673</v>
      </c>
      <c r="E157" s="346">
        <f t="shared" si="21"/>
        <v>70.891530208779315</v>
      </c>
      <c r="F157" s="112">
        <f t="shared" si="24"/>
        <v>1.5407313112384917</v>
      </c>
      <c r="G157" s="116">
        <f t="shared" si="25"/>
        <v>15.677596650076481</v>
      </c>
      <c r="H157" s="116">
        <f t="shared" si="26"/>
        <v>1.874113260400776</v>
      </c>
      <c r="I157" s="116">
        <f t="shared" si="27"/>
        <v>0</v>
      </c>
      <c r="J157" s="116">
        <f t="shared" si="28"/>
        <v>0</v>
      </c>
      <c r="K157" s="116">
        <f t="shared" si="29"/>
        <v>0</v>
      </c>
      <c r="L157" s="350">
        <f t="shared" si="30"/>
        <v>5.8313461200676109</v>
      </c>
      <c r="M157" s="164">
        <f>L157*D157*'B) D RI'!S159</f>
        <v>231545.26038952463</v>
      </c>
      <c r="N157" s="18">
        <f>(('B) D RI'!S159*C157)-M157)/'B) D RI'!S159</f>
        <v>43785.503891702981</v>
      </c>
      <c r="O157" s="167">
        <f t="shared" si="22"/>
        <v>65.060184088711708</v>
      </c>
      <c r="P157" s="106">
        <f t="shared" si="23"/>
        <v>1.4835013351848365</v>
      </c>
    </row>
    <row r="158" spans="1:16" x14ac:dyDescent="0.25">
      <c r="A158" s="82">
        <f>'A) Base RI'!A160</f>
        <v>5652</v>
      </c>
      <c r="B158" s="83" t="str">
        <f>'A) Base RI'!B160</f>
        <v>Villars-sous-Yens</v>
      </c>
      <c r="C158" s="14">
        <f>'B) D RI'!U160</f>
        <v>24426.645087719295</v>
      </c>
      <c r="D158" s="62">
        <f>'B) D RI'!AR160</f>
        <v>570</v>
      </c>
      <c r="E158" s="346">
        <f t="shared" si="21"/>
        <v>42.853763311788235</v>
      </c>
      <c r="F158" s="112">
        <f t="shared" si="24"/>
        <v>0.93136845465777063</v>
      </c>
      <c r="G158" s="116">
        <f t="shared" si="25"/>
        <v>0</v>
      </c>
      <c r="H158" s="116">
        <f t="shared" si="26"/>
        <v>0</v>
      </c>
      <c r="I158" s="116">
        <f t="shared" si="27"/>
        <v>0</v>
      </c>
      <c r="J158" s="116">
        <f t="shared" si="28"/>
        <v>0</v>
      </c>
      <c r="K158" s="116">
        <f t="shared" si="29"/>
        <v>0</v>
      </c>
      <c r="L158" s="350">
        <f t="shared" si="30"/>
        <v>0</v>
      </c>
      <c r="M158" s="164">
        <f>L158*D158*'B) D RI'!S160</f>
        <v>0</v>
      </c>
      <c r="N158" s="18">
        <f>(('B) D RI'!S160*C158)-M158)/'B) D RI'!S160</f>
        <v>24426.645087719295</v>
      </c>
      <c r="O158" s="167">
        <f t="shared" si="22"/>
        <v>42.853763311788235</v>
      </c>
      <c r="P158" s="106">
        <f t="shared" si="23"/>
        <v>0.97715086394542139</v>
      </c>
    </row>
    <row r="159" spans="1:16" x14ac:dyDescent="0.25">
      <c r="A159" s="82">
        <f>'A) Base RI'!A161</f>
        <v>5653</v>
      </c>
      <c r="B159" s="83" t="str">
        <f>'A) Base RI'!B161</f>
        <v>Vufflens-le-Château</v>
      </c>
      <c r="C159" s="14">
        <f>'B) D RI'!U161</f>
        <v>54206.67831818181</v>
      </c>
      <c r="D159" s="62">
        <f>'B) D RI'!AR161</f>
        <v>825</v>
      </c>
      <c r="E159" s="346">
        <f t="shared" si="21"/>
        <v>65.705064628099166</v>
      </c>
      <c r="F159" s="112">
        <f t="shared" si="24"/>
        <v>1.428010512416956</v>
      </c>
      <c r="G159" s="116">
        <f t="shared" si="25"/>
        <v>10.491131069396332</v>
      </c>
      <c r="H159" s="116">
        <f t="shared" si="26"/>
        <v>0</v>
      </c>
      <c r="I159" s="116">
        <f t="shared" si="27"/>
        <v>0</v>
      </c>
      <c r="J159" s="116">
        <f t="shared" si="28"/>
        <v>0</v>
      </c>
      <c r="K159" s="116">
        <f t="shared" si="29"/>
        <v>0</v>
      </c>
      <c r="L159" s="350">
        <f t="shared" si="30"/>
        <v>3.7768071849826792</v>
      </c>
      <c r="M159" s="164">
        <f>L159*D159*'B) D RI'!S161</f>
        <v>171372.62601858907</v>
      </c>
      <c r="N159" s="18">
        <f>(('B) D RI'!S161*C159)-M159)/'B) D RI'!S161</f>
        <v>51090.812390571104</v>
      </c>
      <c r="O159" s="167">
        <f t="shared" si="22"/>
        <v>61.928257443116486</v>
      </c>
      <c r="P159" s="106">
        <f t="shared" si="23"/>
        <v>1.4120871911039312</v>
      </c>
    </row>
    <row r="160" spans="1:16" x14ac:dyDescent="0.25">
      <c r="A160" s="82">
        <f>'A) Base RI'!A162</f>
        <v>5654</v>
      </c>
      <c r="B160" s="83" t="str">
        <f>'A) Base RI'!B162</f>
        <v>Vullierens</v>
      </c>
      <c r="C160" s="14">
        <f>'B) D RI'!U162</f>
        <v>15860.891578947369</v>
      </c>
      <c r="D160" s="62">
        <f>'B) D RI'!AR162</f>
        <v>457</v>
      </c>
      <c r="E160" s="346">
        <f t="shared" si="21"/>
        <v>34.706546124611307</v>
      </c>
      <c r="F160" s="112">
        <f t="shared" si="24"/>
        <v>0.75429973315076415</v>
      </c>
      <c r="G160" s="116">
        <f t="shared" si="25"/>
        <v>0</v>
      </c>
      <c r="H160" s="116">
        <f t="shared" si="26"/>
        <v>0</v>
      </c>
      <c r="I160" s="116">
        <f t="shared" si="27"/>
        <v>0</v>
      </c>
      <c r="J160" s="116">
        <f t="shared" si="28"/>
        <v>0</v>
      </c>
      <c r="K160" s="116">
        <f t="shared" si="29"/>
        <v>0</v>
      </c>
      <c r="L160" s="350">
        <f t="shared" si="30"/>
        <v>0</v>
      </c>
      <c r="M160" s="164">
        <f>L160*D160*'B) D RI'!S162</f>
        <v>0</v>
      </c>
      <c r="N160" s="18">
        <f>(('B) D RI'!S162*C160)-M160)/'B) D RI'!S162</f>
        <v>15860.891578947369</v>
      </c>
      <c r="O160" s="167">
        <f t="shared" si="22"/>
        <v>34.706546124611307</v>
      </c>
      <c r="P160" s="106">
        <f t="shared" si="23"/>
        <v>0.79137814066604051</v>
      </c>
    </row>
    <row r="161" spans="1:16" x14ac:dyDescent="0.25">
      <c r="A161" s="82">
        <f>'A) Base RI'!A163</f>
        <v>5655</v>
      </c>
      <c r="B161" s="83" t="str">
        <f>'A) Base RI'!B163</f>
        <v>Yens</v>
      </c>
      <c r="C161" s="14">
        <f>'B) D RI'!U163</f>
        <v>73269.942328767123</v>
      </c>
      <c r="D161" s="62">
        <f>'B) D RI'!AR163</f>
        <v>1327</v>
      </c>
      <c r="E161" s="346">
        <f t="shared" si="21"/>
        <v>55.21472669839271</v>
      </c>
      <c r="F161" s="112">
        <f t="shared" si="24"/>
        <v>1.2000172378160097</v>
      </c>
      <c r="G161" s="116">
        <f t="shared" si="25"/>
        <v>7.9313968987548833E-4</v>
      </c>
      <c r="H161" s="116">
        <f t="shared" si="26"/>
        <v>0</v>
      </c>
      <c r="I161" s="116">
        <f t="shared" si="27"/>
        <v>0</v>
      </c>
      <c r="J161" s="116">
        <f t="shared" si="28"/>
        <v>0</v>
      </c>
      <c r="K161" s="116">
        <f t="shared" si="29"/>
        <v>0</v>
      </c>
      <c r="L161" s="350">
        <f t="shared" si="30"/>
        <v>2.8553028835517577E-4</v>
      </c>
      <c r="M161" s="164">
        <f>L161*D161*'B) D RI'!S163</f>
        <v>27.659604563254231</v>
      </c>
      <c r="N161" s="18">
        <f>(('B) D RI'!S163*C161)-M161)/'B) D RI'!S163</f>
        <v>73269.563430074471</v>
      </c>
      <c r="O161" s="167">
        <f t="shared" si="22"/>
        <v>55.214441168104351</v>
      </c>
      <c r="P161" s="106">
        <f t="shared" si="23"/>
        <v>1.2589988537794401</v>
      </c>
    </row>
    <row r="162" spans="1:16" x14ac:dyDescent="0.25">
      <c r="A162" s="82">
        <f>'A) Base RI'!A164</f>
        <v>5661</v>
      </c>
      <c r="B162" s="83" t="str">
        <f>'A) Base RI'!B164</f>
        <v>Boulens</v>
      </c>
      <c r="C162" s="14">
        <f>'B) D RI'!U164</f>
        <v>6901.8381012658238</v>
      </c>
      <c r="D162" s="62">
        <f>'B) D RI'!AR164</f>
        <v>313</v>
      </c>
      <c r="E162" s="346">
        <f t="shared" si="21"/>
        <v>22.050600962510618</v>
      </c>
      <c r="F162" s="112">
        <f t="shared" si="24"/>
        <v>0.4792399209681375</v>
      </c>
      <c r="G162" s="116">
        <f t="shared" si="25"/>
        <v>0</v>
      </c>
      <c r="H162" s="116">
        <f t="shared" si="26"/>
        <v>0</v>
      </c>
      <c r="I162" s="116">
        <f t="shared" si="27"/>
        <v>0</v>
      </c>
      <c r="J162" s="116">
        <f t="shared" si="28"/>
        <v>0</v>
      </c>
      <c r="K162" s="116">
        <f t="shared" si="29"/>
        <v>0</v>
      </c>
      <c r="L162" s="350">
        <f t="shared" si="30"/>
        <v>0</v>
      </c>
      <c r="M162" s="164">
        <f>L162*D162*'B) D RI'!S164</f>
        <v>0</v>
      </c>
      <c r="N162" s="18">
        <f>(('B) D RI'!S164*C162)-M162)/'B) D RI'!S164</f>
        <v>6901.8381012658238</v>
      </c>
      <c r="O162" s="167">
        <f t="shared" si="22"/>
        <v>22.050600962510618</v>
      </c>
      <c r="P162" s="106">
        <f t="shared" si="23"/>
        <v>0.50279747018404553</v>
      </c>
    </row>
    <row r="163" spans="1:16" x14ac:dyDescent="0.25">
      <c r="A163" s="82">
        <f>'A) Base RI'!A165</f>
        <v>5662</v>
      </c>
      <c r="B163" s="83" t="str">
        <f>'A) Base RI'!B165</f>
        <v>Brenles</v>
      </c>
      <c r="C163" s="14">
        <f>'B) D RI'!U165</f>
        <v>4031.2468945868945</v>
      </c>
      <c r="D163" s="62">
        <f>'B) D RI'!AR165</f>
        <v>144</v>
      </c>
      <c r="E163" s="346">
        <f t="shared" si="21"/>
        <v>27.994770101297878</v>
      </c>
      <c r="F163" s="112">
        <f t="shared" si="24"/>
        <v>0.60842837951114248</v>
      </c>
      <c r="G163" s="116">
        <f t="shared" si="25"/>
        <v>0</v>
      </c>
      <c r="H163" s="116">
        <f t="shared" si="26"/>
        <v>0</v>
      </c>
      <c r="I163" s="116">
        <f t="shared" si="27"/>
        <v>0</v>
      </c>
      <c r="J163" s="116">
        <f t="shared" si="28"/>
        <v>0</v>
      </c>
      <c r="K163" s="116">
        <f t="shared" si="29"/>
        <v>0</v>
      </c>
      <c r="L163" s="350">
        <f t="shared" si="30"/>
        <v>0</v>
      </c>
      <c r="M163" s="164">
        <f>L163*D163*'B) D RI'!S165</f>
        <v>0</v>
      </c>
      <c r="N163" s="18">
        <f>(('B) D RI'!S165*C163)-M163)/'B) D RI'!S165</f>
        <v>4031.2468945868945</v>
      </c>
      <c r="O163" s="167">
        <f t="shared" si="22"/>
        <v>27.994770101297878</v>
      </c>
      <c r="P163" s="106">
        <f t="shared" si="23"/>
        <v>0.63833632512997551</v>
      </c>
    </row>
    <row r="164" spans="1:16" x14ac:dyDescent="0.25">
      <c r="A164" s="82">
        <f>'A) Base RI'!A166</f>
        <v>5663</v>
      </c>
      <c r="B164" s="83" t="str">
        <f>'A) Base RI'!B166</f>
        <v>Bussy-sur-Moudon</v>
      </c>
      <c r="C164" s="14">
        <f>'B) D RI'!U166</f>
        <v>5172.1214999999993</v>
      </c>
      <c r="D164" s="62">
        <f>'B) D RI'!AR166</f>
        <v>197</v>
      </c>
      <c r="E164" s="346">
        <f t="shared" si="21"/>
        <v>26.254423857868016</v>
      </c>
      <c r="F164" s="112">
        <f t="shared" si="24"/>
        <v>0.57060431305705706</v>
      </c>
      <c r="G164" s="116">
        <f t="shared" si="25"/>
        <v>0</v>
      </c>
      <c r="H164" s="116">
        <f t="shared" si="26"/>
        <v>0</v>
      </c>
      <c r="I164" s="116">
        <f t="shared" si="27"/>
        <v>0</v>
      </c>
      <c r="J164" s="116">
        <f t="shared" si="28"/>
        <v>0</v>
      </c>
      <c r="K164" s="116">
        <f t="shared" si="29"/>
        <v>0</v>
      </c>
      <c r="L164" s="350">
        <f t="shared" si="30"/>
        <v>0</v>
      </c>
      <c r="M164" s="164">
        <f>L164*D164*'B) D RI'!S166</f>
        <v>0</v>
      </c>
      <c r="N164" s="18">
        <f>(('B) D RI'!S166*C164)-M164)/'B) D RI'!S166</f>
        <v>5172.1214999999993</v>
      </c>
      <c r="O164" s="167">
        <f t="shared" si="22"/>
        <v>26.254423857868016</v>
      </c>
      <c r="P164" s="106">
        <f t="shared" si="23"/>
        <v>0.59865297636644088</v>
      </c>
    </row>
    <row r="165" spans="1:16" x14ac:dyDescent="0.25">
      <c r="A165" s="82">
        <f>'A) Base RI'!A167</f>
        <v>5665</v>
      </c>
      <c r="B165" s="83" t="str">
        <f>'A) Base RI'!B167</f>
        <v>Chavannes-sur-Moudon</v>
      </c>
      <c r="C165" s="14">
        <f>'B) D RI'!U167</f>
        <v>3708.5273611111106</v>
      </c>
      <c r="D165" s="62">
        <f>'B) D RI'!AR167</f>
        <v>233</v>
      </c>
      <c r="E165" s="346">
        <f t="shared" si="21"/>
        <v>15.916426442536956</v>
      </c>
      <c r="F165" s="112">
        <f t="shared" si="24"/>
        <v>0.34592195302908002</v>
      </c>
      <c r="G165" s="116">
        <f t="shared" si="25"/>
        <v>0</v>
      </c>
      <c r="H165" s="116">
        <f t="shared" si="26"/>
        <v>0</v>
      </c>
      <c r="I165" s="116">
        <f t="shared" si="27"/>
        <v>0</v>
      </c>
      <c r="J165" s="116">
        <f t="shared" si="28"/>
        <v>0</v>
      </c>
      <c r="K165" s="116">
        <f t="shared" si="29"/>
        <v>0</v>
      </c>
      <c r="L165" s="350">
        <f t="shared" si="30"/>
        <v>0</v>
      </c>
      <c r="M165" s="164">
        <f>L165*D165*'B) D RI'!S167</f>
        <v>0</v>
      </c>
      <c r="N165" s="18">
        <f>(('B) D RI'!S167*C165)-M165)/'B) D RI'!S167</f>
        <v>3708.5273611111106</v>
      </c>
      <c r="O165" s="167">
        <f t="shared" si="22"/>
        <v>15.916426442536956</v>
      </c>
      <c r="P165" s="106">
        <f t="shared" si="23"/>
        <v>0.36292611540537628</v>
      </c>
    </row>
    <row r="166" spans="1:16" x14ac:dyDescent="0.25">
      <c r="A166" s="82">
        <f>'A) Base RI'!A168</f>
        <v>5666</v>
      </c>
      <c r="B166" s="83" t="str">
        <f>'A) Base RI'!B168</f>
        <v>Chesalles-sur-Moudon</v>
      </c>
      <c r="C166" s="14">
        <f>'B) D RI'!U168</f>
        <v>3731.231866666667</v>
      </c>
      <c r="D166" s="62">
        <f>'B) D RI'!AR168</f>
        <v>160</v>
      </c>
      <c r="E166" s="346">
        <f t="shared" si="21"/>
        <v>23.320199166666669</v>
      </c>
      <c r="F166" s="112">
        <f t="shared" si="24"/>
        <v>0.50683291691665966</v>
      </c>
      <c r="G166" s="116">
        <f t="shared" si="25"/>
        <v>0</v>
      </c>
      <c r="H166" s="116">
        <f t="shared" si="26"/>
        <v>0</v>
      </c>
      <c r="I166" s="116">
        <f t="shared" si="27"/>
        <v>0</v>
      </c>
      <c r="J166" s="116">
        <f t="shared" si="28"/>
        <v>0</v>
      </c>
      <c r="K166" s="116">
        <f t="shared" si="29"/>
        <v>0</v>
      </c>
      <c r="L166" s="350">
        <f t="shared" si="30"/>
        <v>0</v>
      </c>
      <c r="M166" s="164">
        <f>L166*D166*'B) D RI'!S168</f>
        <v>0</v>
      </c>
      <c r="N166" s="18">
        <f>(('B) D RI'!S168*C166)-M166)/'B) D RI'!S168</f>
        <v>3731.231866666667</v>
      </c>
      <c r="O166" s="167">
        <f t="shared" si="22"/>
        <v>23.320199166666669</v>
      </c>
      <c r="P166" s="106">
        <f t="shared" si="23"/>
        <v>0.53174682926433381</v>
      </c>
    </row>
    <row r="167" spans="1:16" x14ac:dyDescent="0.25">
      <c r="A167" s="82">
        <f>'A) Base RI'!A169</f>
        <v>5668</v>
      </c>
      <c r="B167" s="83" t="str">
        <f>'A) Base RI'!B169</f>
        <v>Cremin</v>
      </c>
      <c r="C167" s="14">
        <f>'B) D RI'!U169</f>
        <v>1020.8936363636363</v>
      </c>
      <c r="D167" s="62">
        <f>'B) D RI'!AR169</f>
        <v>51</v>
      </c>
      <c r="E167" s="346">
        <f t="shared" si="21"/>
        <v>20.017522281639927</v>
      </c>
      <c r="F167" s="112">
        <f t="shared" si="24"/>
        <v>0.43505371180318148</v>
      </c>
      <c r="G167" s="116">
        <f t="shared" si="25"/>
        <v>0</v>
      </c>
      <c r="H167" s="116">
        <f t="shared" si="26"/>
        <v>0</v>
      </c>
      <c r="I167" s="116">
        <f t="shared" si="27"/>
        <v>0</v>
      </c>
      <c r="J167" s="116">
        <f t="shared" si="28"/>
        <v>0</v>
      </c>
      <c r="K167" s="116">
        <f t="shared" si="29"/>
        <v>0</v>
      </c>
      <c r="L167" s="350">
        <f t="shared" si="30"/>
        <v>0</v>
      </c>
      <c r="M167" s="164">
        <f>L167*D167*'B) D RI'!S169</f>
        <v>0</v>
      </c>
      <c r="N167" s="18">
        <f>(('B) D RI'!S169*C167)-M167)/'B) D RI'!S169</f>
        <v>1020.8936363636363</v>
      </c>
      <c r="O167" s="167">
        <f t="shared" si="22"/>
        <v>20.017522281639927</v>
      </c>
      <c r="P167" s="106">
        <f t="shared" si="23"/>
        <v>0.4564392408022323</v>
      </c>
    </row>
    <row r="168" spans="1:16" x14ac:dyDescent="0.25">
      <c r="A168" s="82">
        <f>'A) Base RI'!A170</f>
        <v>5669</v>
      </c>
      <c r="B168" s="83" t="str">
        <f>'A) Base RI'!B170</f>
        <v>Curtilles</v>
      </c>
      <c r="C168" s="14">
        <f>'B) D RI'!U170</f>
        <v>8099.7640277777791</v>
      </c>
      <c r="D168" s="62">
        <f>'B) D RI'!AR170</f>
        <v>306</v>
      </c>
      <c r="E168" s="346">
        <f t="shared" si="21"/>
        <v>26.469817084241107</v>
      </c>
      <c r="F168" s="112">
        <f t="shared" si="24"/>
        <v>0.57528559285344949</v>
      </c>
      <c r="G168" s="116">
        <f t="shared" si="25"/>
        <v>0</v>
      </c>
      <c r="H168" s="116">
        <f t="shared" si="26"/>
        <v>0</v>
      </c>
      <c r="I168" s="116">
        <f t="shared" si="27"/>
        <v>0</v>
      </c>
      <c r="J168" s="116">
        <f t="shared" si="28"/>
        <v>0</v>
      </c>
      <c r="K168" s="116">
        <f t="shared" si="29"/>
        <v>0</v>
      </c>
      <c r="L168" s="350">
        <f t="shared" si="30"/>
        <v>0</v>
      </c>
      <c r="M168" s="164">
        <f>L168*D168*'B) D RI'!S170</f>
        <v>0</v>
      </c>
      <c r="N168" s="18">
        <f>(('B) D RI'!S170*C168)-M168)/'B) D RI'!S170</f>
        <v>8099.7640277777791</v>
      </c>
      <c r="O168" s="167">
        <f t="shared" si="22"/>
        <v>26.469817084241107</v>
      </c>
      <c r="P168" s="106">
        <f t="shared" si="23"/>
        <v>0.60356436946177172</v>
      </c>
    </row>
    <row r="169" spans="1:16" x14ac:dyDescent="0.25">
      <c r="A169" s="82">
        <f>'A) Base RI'!A171</f>
        <v>5671</v>
      </c>
      <c r="B169" s="83" t="str">
        <f>'A) Base RI'!B171</f>
        <v>Dompierre</v>
      </c>
      <c r="C169" s="14">
        <f>'B) D RI'!U171</f>
        <v>5882.5981250000004</v>
      </c>
      <c r="D169" s="62">
        <f>'B) D RI'!AR171</f>
        <v>247</v>
      </c>
      <c r="E169" s="346">
        <f t="shared" si="21"/>
        <v>23.816186740890689</v>
      </c>
      <c r="F169" s="112">
        <f t="shared" si="24"/>
        <v>0.51761253450061662</v>
      </c>
      <c r="G169" s="116">
        <f t="shared" si="25"/>
        <v>0</v>
      </c>
      <c r="H169" s="116">
        <f t="shared" si="26"/>
        <v>0</v>
      </c>
      <c r="I169" s="116">
        <f t="shared" si="27"/>
        <v>0</v>
      </c>
      <c r="J169" s="116">
        <f t="shared" si="28"/>
        <v>0</v>
      </c>
      <c r="K169" s="116">
        <f t="shared" si="29"/>
        <v>0</v>
      </c>
      <c r="L169" s="350">
        <f t="shared" si="30"/>
        <v>0</v>
      </c>
      <c r="M169" s="164">
        <f>L169*D169*'B) D RI'!S171</f>
        <v>0</v>
      </c>
      <c r="N169" s="18">
        <f>(('B) D RI'!S171*C169)-M169)/'B) D RI'!S171</f>
        <v>5882.5981250000004</v>
      </c>
      <c r="O169" s="167">
        <f t="shared" si="22"/>
        <v>23.816186740890689</v>
      </c>
      <c r="P169" s="106">
        <f t="shared" si="23"/>
        <v>0.54305633044239898</v>
      </c>
    </row>
    <row r="170" spans="1:16" x14ac:dyDescent="0.25">
      <c r="A170" s="82">
        <f>'A) Base RI'!A172</f>
        <v>5672</v>
      </c>
      <c r="B170" s="83" t="str">
        <f>'A) Base RI'!B172</f>
        <v>Forel-sur-Lucens</v>
      </c>
      <c r="C170" s="14">
        <f>'B) D RI'!U172</f>
        <v>3859.3261000000002</v>
      </c>
      <c r="D170" s="62">
        <f>'B) D RI'!AR172</f>
        <v>153</v>
      </c>
      <c r="E170" s="346">
        <f t="shared" ref="E170:E225" si="31">C170/D170</f>
        <v>25.224353594771245</v>
      </c>
      <c r="F170" s="112">
        <f t="shared" si="24"/>
        <v>0.54821713221253465</v>
      </c>
      <c r="G170" s="116">
        <f t="shared" si="25"/>
        <v>0</v>
      </c>
      <c r="H170" s="116">
        <f t="shared" si="26"/>
        <v>0</v>
      </c>
      <c r="I170" s="116">
        <f t="shared" si="27"/>
        <v>0</v>
      </c>
      <c r="J170" s="116">
        <f t="shared" si="28"/>
        <v>0</v>
      </c>
      <c r="K170" s="116">
        <f t="shared" si="29"/>
        <v>0</v>
      </c>
      <c r="L170" s="350">
        <f t="shared" si="30"/>
        <v>0</v>
      </c>
      <c r="M170" s="164">
        <f>L170*D170*'B) D RI'!S172</f>
        <v>0</v>
      </c>
      <c r="N170" s="18">
        <f>(('B) D RI'!S172*C170)-M170)/'B) D RI'!S172</f>
        <v>3859.3261000000002</v>
      </c>
      <c r="O170" s="167">
        <f t="shared" si="22"/>
        <v>25.224353594771245</v>
      </c>
      <c r="P170" s="106">
        <f t="shared" si="23"/>
        <v>0.57516532978132484</v>
      </c>
    </row>
    <row r="171" spans="1:16" x14ac:dyDescent="0.25">
      <c r="A171" s="82">
        <f>'A) Base RI'!A173</f>
        <v>5673</v>
      </c>
      <c r="B171" s="83" t="str">
        <f>'A) Base RI'!B173</f>
        <v>Hermenches</v>
      </c>
      <c r="C171" s="14">
        <f>'B) D RI'!U173</f>
        <v>9584.1538967136148</v>
      </c>
      <c r="D171" s="62">
        <f>'B) D RI'!AR173</f>
        <v>376</v>
      </c>
      <c r="E171" s="346">
        <f t="shared" si="31"/>
        <v>25.48977100189791</v>
      </c>
      <c r="F171" s="112">
        <f t="shared" si="24"/>
        <v>0.55398561976673821</v>
      </c>
      <c r="G171" s="116">
        <f t="shared" si="25"/>
        <v>0</v>
      </c>
      <c r="H171" s="116">
        <f t="shared" si="26"/>
        <v>0</v>
      </c>
      <c r="I171" s="116">
        <f t="shared" si="27"/>
        <v>0</v>
      </c>
      <c r="J171" s="116">
        <f t="shared" si="28"/>
        <v>0</v>
      </c>
      <c r="K171" s="116">
        <f t="shared" si="29"/>
        <v>0</v>
      </c>
      <c r="L171" s="350">
        <f t="shared" si="30"/>
        <v>0</v>
      </c>
      <c r="M171" s="164">
        <f>L171*D171*'B) D RI'!S173</f>
        <v>0</v>
      </c>
      <c r="N171" s="18">
        <f>(('B) D RI'!S173*C171)-M171)/'B) D RI'!S173</f>
        <v>9584.1538967136148</v>
      </c>
      <c r="O171" s="167">
        <f t="shared" si="22"/>
        <v>25.48977100189791</v>
      </c>
      <c r="P171" s="106">
        <f t="shared" si="23"/>
        <v>0.58121737349083569</v>
      </c>
    </row>
    <row r="172" spans="1:16" x14ac:dyDescent="0.25">
      <c r="A172" s="82">
        <f>'A) Base RI'!A174</f>
        <v>5674</v>
      </c>
      <c r="B172" s="83" t="str">
        <f>'A) Base RI'!B174</f>
        <v>Lovatens</v>
      </c>
      <c r="C172" s="14">
        <f>'B) D RI'!U174</f>
        <v>5762.0609054325942</v>
      </c>
      <c r="D172" s="62">
        <f>'B) D RI'!AR174</f>
        <v>140</v>
      </c>
      <c r="E172" s="346">
        <f t="shared" si="31"/>
        <v>41.157577895947099</v>
      </c>
      <c r="F172" s="112">
        <f t="shared" si="24"/>
        <v>0.89450416392859589</v>
      </c>
      <c r="G172" s="116">
        <f t="shared" si="25"/>
        <v>0</v>
      </c>
      <c r="H172" s="116">
        <f t="shared" si="26"/>
        <v>0</v>
      </c>
      <c r="I172" s="116">
        <f t="shared" si="27"/>
        <v>0</v>
      </c>
      <c r="J172" s="116">
        <f t="shared" si="28"/>
        <v>0</v>
      </c>
      <c r="K172" s="116">
        <f t="shared" si="29"/>
        <v>0</v>
      </c>
      <c r="L172" s="350">
        <f t="shared" si="30"/>
        <v>0</v>
      </c>
      <c r="M172" s="164">
        <f>L172*D172*'B) D RI'!S174</f>
        <v>0</v>
      </c>
      <c r="N172" s="18">
        <f>(('B) D RI'!S174*C172)-M172)/'B) D RI'!S174</f>
        <v>5762.0609054325942</v>
      </c>
      <c r="O172" s="167">
        <f t="shared" si="22"/>
        <v>41.157577895947099</v>
      </c>
      <c r="P172" s="106">
        <f t="shared" si="23"/>
        <v>0.93847446970573833</v>
      </c>
    </row>
    <row r="173" spans="1:16" x14ac:dyDescent="0.25">
      <c r="A173" s="82">
        <f>'A) Base RI'!A175</f>
        <v>5675</v>
      </c>
      <c r="B173" s="83" t="str">
        <f>'A) Base RI'!B175</f>
        <v>Lucens</v>
      </c>
      <c r="C173" s="14">
        <f>'B) D RI'!U175</f>
        <v>78725.785578512397</v>
      </c>
      <c r="D173" s="62">
        <f>'B) D RI'!AR175</f>
        <v>3262</v>
      </c>
      <c r="E173" s="346">
        <f t="shared" si="31"/>
        <v>24.13420771873464</v>
      </c>
      <c r="F173" s="112">
        <f t="shared" si="24"/>
        <v>0.52452428935697015</v>
      </c>
      <c r="G173" s="116">
        <f t="shared" si="25"/>
        <v>0</v>
      </c>
      <c r="H173" s="116">
        <f t="shared" si="26"/>
        <v>0</v>
      </c>
      <c r="I173" s="116">
        <f t="shared" si="27"/>
        <v>0</v>
      </c>
      <c r="J173" s="116">
        <f t="shared" si="28"/>
        <v>0</v>
      </c>
      <c r="K173" s="116">
        <f t="shared" si="29"/>
        <v>0</v>
      </c>
      <c r="L173" s="350">
        <f t="shared" si="30"/>
        <v>0</v>
      </c>
      <c r="M173" s="164">
        <f>L173*D173*'B) D RI'!S175</f>
        <v>0</v>
      </c>
      <c r="N173" s="18">
        <f>(('B) D RI'!S175*C173)-M173)/'B) D RI'!S175</f>
        <v>78725.785578512397</v>
      </c>
      <c r="O173" s="167">
        <f t="shared" si="22"/>
        <v>24.13420771873464</v>
      </c>
      <c r="P173" s="106">
        <f t="shared" si="23"/>
        <v>0.55030783997709376</v>
      </c>
    </row>
    <row r="174" spans="1:16" x14ac:dyDescent="0.25">
      <c r="A174" s="82">
        <f>'A) Base RI'!A176</f>
        <v>5678</v>
      </c>
      <c r="B174" s="83" t="str">
        <f>'A) Base RI'!B176</f>
        <v>Moudon</v>
      </c>
      <c r="C174" s="14">
        <f>'B) D RI'!U176</f>
        <v>119060.24706666666</v>
      </c>
      <c r="D174" s="62">
        <f>'B) D RI'!AR176</f>
        <v>5656</v>
      </c>
      <c r="E174" s="346">
        <f t="shared" si="31"/>
        <v>21.050255846298914</v>
      </c>
      <c r="F174" s="112">
        <f t="shared" si="24"/>
        <v>0.45749877589688881</v>
      </c>
      <c r="G174" s="116">
        <f t="shared" si="25"/>
        <v>0</v>
      </c>
      <c r="H174" s="116">
        <f t="shared" si="26"/>
        <v>0</v>
      </c>
      <c r="I174" s="116">
        <f t="shared" si="27"/>
        <v>0</v>
      </c>
      <c r="J174" s="116">
        <f t="shared" si="28"/>
        <v>0</v>
      </c>
      <c r="K174" s="116">
        <f t="shared" si="29"/>
        <v>0</v>
      </c>
      <c r="L174" s="350">
        <f t="shared" si="30"/>
        <v>0</v>
      </c>
      <c r="M174" s="164">
        <f>L174*D174*'B) D RI'!S176</f>
        <v>0</v>
      </c>
      <c r="N174" s="18">
        <f>(('B) D RI'!S176*C174)-M174)/'B) D RI'!S176</f>
        <v>119060.24706666666</v>
      </c>
      <c r="O174" s="167">
        <f t="shared" si="22"/>
        <v>21.050255846298914</v>
      </c>
      <c r="P174" s="106">
        <f t="shared" si="23"/>
        <v>0.4799876159493543</v>
      </c>
    </row>
    <row r="175" spans="1:16" x14ac:dyDescent="0.25">
      <c r="A175" s="82">
        <f>'A) Base RI'!A177</f>
        <v>5680</v>
      </c>
      <c r="B175" s="83" t="str">
        <f>'A) Base RI'!B177</f>
        <v>Ogens</v>
      </c>
      <c r="C175" s="14">
        <f>'B) D RI'!U177</f>
        <v>6568.1873076923084</v>
      </c>
      <c r="D175" s="62">
        <f>'B) D RI'!AR177</f>
        <v>261</v>
      </c>
      <c r="E175" s="346">
        <f t="shared" si="31"/>
        <v>25.165468611847924</v>
      </c>
      <c r="F175" s="112">
        <f t="shared" si="24"/>
        <v>0.54693734693092888</v>
      </c>
      <c r="G175" s="116">
        <f t="shared" si="25"/>
        <v>0</v>
      </c>
      <c r="H175" s="116">
        <f t="shared" si="26"/>
        <v>0</v>
      </c>
      <c r="I175" s="116">
        <f t="shared" si="27"/>
        <v>0</v>
      </c>
      <c r="J175" s="116">
        <f t="shared" si="28"/>
        <v>0</v>
      </c>
      <c r="K175" s="116">
        <f t="shared" si="29"/>
        <v>0</v>
      </c>
      <c r="L175" s="350">
        <f t="shared" si="30"/>
        <v>0</v>
      </c>
      <c r="M175" s="164">
        <f>L175*D175*'B) D RI'!S177</f>
        <v>0</v>
      </c>
      <c r="N175" s="18">
        <f>(('B) D RI'!S177*C175)-M175)/'B) D RI'!S177</f>
        <v>6568.1873076923084</v>
      </c>
      <c r="O175" s="167">
        <f t="shared" si="22"/>
        <v>25.165468611847924</v>
      </c>
      <c r="P175" s="106">
        <f t="shared" si="23"/>
        <v>0.57382263528986799</v>
      </c>
    </row>
    <row r="176" spans="1:16" x14ac:dyDescent="0.25">
      <c r="A176" s="82">
        <f>'A) Base RI'!A178</f>
        <v>5683</v>
      </c>
      <c r="B176" s="83" t="str">
        <f>'A) Base RI'!B178</f>
        <v>Prévonloup</v>
      </c>
      <c r="C176" s="14">
        <f>'B) D RI'!U178</f>
        <v>3760.4979729729735</v>
      </c>
      <c r="D176" s="62">
        <f>'B) D RI'!AR178</f>
        <v>173</v>
      </c>
      <c r="E176" s="346">
        <f t="shared" si="31"/>
        <v>21.736982502733952</v>
      </c>
      <c r="F176" s="112">
        <f t="shared" si="24"/>
        <v>0.47242384887409122</v>
      </c>
      <c r="G176" s="116">
        <f t="shared" si="25"/>
        <v>0</v>
      </c>
      <c r="H176" s="116">
        <f t="shared" si="26"/>
        <v>0</v>
      </c>
      <c r="I176" s="116">
        <f t="shared" si="27"/>
        <v>0</v>
      </c>
      <c r="J176" s="116">
        <f t="shared" si="28"/>
        <v>0</v>
      </c>
      <c r="K176" s="116">
        <f t="shared" si="29"/>
        <v>0</v>
      </c>
      <c r="L176" s="350">
        <f t="shared" si="30"/>
        <v>0</v>
      </c>
      <c r="M176" s="164">
        <f>L176*D176*'B) D RI'!S178</f>
        <v>0</v>
      </c>
      <c r="N176" s="18">
        <f>(('B) D RI'!S178*C176)-M176)/'B) D RI'!S178</f>
        <v>3760.4979729729735</v>
      </c>
      <c r="O176" s="167">
        <f t="shared" si="22"/>
        <v>21.736982502733952</v>
      </c>
      <c r="P176" s="106">
        <f t="shared" si="23"/>
        <v>0.49564634679984321</v>
      </c>
    </row>
    <row r="177" spans="1:16" x14ac:dyDescent="0.25">
      <c r="A177" s="82">
        <f>'A) Base RI'!A179</f>
        <v>5684</v>
      </c>
      <c r="B177" s="83" t="str">
        <f>'A) Base RI'!B179</f>
        <v>Rossenges</v>
      </c>
      <c r="C177" s="14">
        <f>'B) D RI'!U179</f>
        <v>1257.3034166666666</v>
      </c>
      <c r="D177" s="62">
        <f>'B) D RI'!AR179</f>
        <v>63</v>
      </c>
      <c r="E177" s="346">
        <f t="shared" si="31"/>
        <v>19.957197089947091</v>
      </c>
      <c r="F177" s="112">
        <f t="shared" si="24"/>
        <v>0.43374262553626225</v>
      </c>
      <c r="G177" s="116">
        <f t="shared" si="25"/>
        <v>0</v>
      </c>
      <c r="H177" s="116">
        <f t="shared" si="26"/>
        <v>0</v>
      </c>
      <c r="I177" s="116">
        <f t="shared" si="27"/>
        <v>0</v>
      </c>
      <c r="J177" s="116">
        <f t="shared" si="28"/>
        <v>0</v>
      </c>
      <c r="K177" s="116">
        <f t="shared" si="29"/>
        <v>0</v>
      </c>
      <c r="L177" s="350">
        <f t="shared" si="30"/>
        <v>0</v>
      </c>
      <c r="M177" s="164">
        <f>L177*D177*'B) D RI'!S179</f>
        <v>0</v>
      </c>
      <c r="N177" s="18">
        <f>(('B) D RI'!S179*C177)-M177)/'B) D RI'!S179</f>
        <v>1257.3034166666666</v>
      </c>
      <c r="O177" s="167">
        <f t="shared" si="22"/>
        <v>19.957197089947091</v>
      </c>
      <c r="P177" s="106">
        <f t="shared" si="23"/>
        <v>0.45506370669216001</v>
      </c>
    </row>
    <row r="178" spans="1:16" x14ac:dyDescent="0.25">
      <c r="A178" s="82">
        <f>'A) Base RI'!A180</f>
        <v>5686</v>
      </c>
      <c r="B178" s="83" t="str">
        <f>'A) Base RI'!B180</f>
        <v>Sarzens</v>
      </c>
      <c r="C178" s="14">
        <f>'B) D RI'!U180</f>
        <v>1531.7207894736844</v>
      </c>
      <c r="D178" s="62">
        <f>'B) D RI'!AR180</f>
        <v>87</v>
      </c>
      <c r="E178" s="346">
        <f t="shared" si="31"/>
        <v>17.605986085904419</v>
      </c>
      <c r="F178" s="112">
        <f t="shared" si="24"/>
        <v>0.38264224157518356</v>
      </c>
      <c r="G178" s="116">
        <f t="shared" si="25"/>
        <v>0</v>
      </c>
      <c r="H178" s="116">
        <f t="shared" si="26"/>
        <v>0</v>
      </c>
      <c r="I178" s="116">
        <f t="shared" si="27"/>
        <v>0</v>
      </c>
      <c r="J178" s="116">
        <f t="shared" si="28"/>
        <v>0</v>
      </c>
      <c r="K178" s="116">
        <f t="shared" si="29"/>
        <v>0</v>
      </c>
      <c r="L178" s="350">
        <f t="shared" si="30"/>
        <v>0</v>
      </c>
      <c r="M178" s="164">
        <f>L178*D178*'B) D RI'!S180</f>
        <v>0</v>
      </c>
      <c r="N178" s="18">
        <f>(('B) D RI'!S180*C178)-M178)/'B) D RI'!S180</f>
        <v>1531.7207894736844</v>
      </c>
      <c r="O178" s="167">
        <f t="shared" si="22"/>
        <v>17.605986085904419</v>
      </c>
      <c r="P178" s="106">
        <f t="shared" si="23"/>
        <v>0.40145142888116359</v>
      </c>
    </row>
    <row r="179" spans="1:16" x14ac:dyDescent="0.25">
      <c r="A179" s="82">
        <f>'A) Base RI'!A181</f>
        <v>5688</v>
      </c>
      <c r="B179" s="83" t="str">
        <f>'A) Base RI'!B181</f>
        <v>Syens</v>
      </c>
      <c r="C179" s="14">
        <f>'B) D RI'!U181</f>
        <v>4602.8089947089957</v>
      </c>
      <c r="D179" s="62">
        <f>'B) D RI'!AR181</f>
        <v>126</v>
      </c>
      <c r="E179" s="346">
        <f t="shared" si="31"/>
        <v>36.530230116738061</v>
      </c>
      <c r="F179" s="112">
        <f t="shared" si="24"/>
        <v>0.793935032603309</v>
      </c>
      <c r="G179" s="116">
        <f t="shared" si="25"/>
        <v>0</v>
      </c>
      <c r="H179" s="116">
        <f t="shared" si="26"/>
        <v>0</v>
      </c>
      <c r="I179" s="116">
        <f t="shared" si="27"/>
        <v>0</v>
      </c>
      <c r="J179" s="116">
        <f t="shared" si="28"/>
        <v>0</v>
      </c>
      <c r="K179" s="116">
        <f t="shared" si="29"/>
        <v>0</v>
      </c>
      <c r="L179" s="350">
        <f t="shared" si="30"/>
        <v>0</v>
      </c>
      <c r="M179" s="164">
        <f>L179*D179*'B) D RI'!S181</f>
        <v>0</v>
      </c>
      <c r="N179" s="18">
        <f>(('B) D RI'!S181*C179)-M179)/'B) D RI'!S181</f>
        <v>4602.8089947089957</v>
      </c>
      <c r="O179" s="167">
        <f t="shared" si="22"/>
        <v>36.530230116738061</v>
      </c>
      <c r="P179" s="106">
        <f t="shared" si="23"/>
        <v>0.83296175551696527</v>
      </c>
    </row>
    <row r="180" spans="1:16" x14ac:dyDescent="0.25">
      <c r="A180" s="82">
        <f>'A) Base RI'!A182</f>
        <v>5690</v>
      </c>
      <c r="B180" s="83" t="str">
        <f>'A) Base RI'!B182</f>
        <v>Villars-le-Comte</v>
      </c>
      <c r="C180" s="14">
        <f>'B) D RI'!U182</f>
        <v>3143.0732894736843</v>
      </c>
      <c r="D180" s="62">
        <f>'B) D RI'!AR182</f>
        <v>153</v>
      </c>
      <c r="E180" s="346">
        <f t="shared" si="31"/>
        <v>20.54296267629859</v>
      </c>
      <c r="F180" s="112">
        <f t="shared" si="24"/>
        <v>0.44647344651416748</v>
      </c>
      <c r="G180" s="116">
        <f t="shared" si="25"/>
        <v>0</v>
      </c>
      <c r="H180" s="116">
        <f t="shared" si="26"/>
        <v>0</v>
      </c>
      <c r="I180" s="116">
        <f t="shared" si="27"/>
        <v>0</v>
      </c>
      <c r="J180" s="116">
        <f t="shared" si="28"/>
        <v>0</v>
      </c>
      <c r="K180" s="116">
        <f t="shared" si="29"/>
        <v>0</v>
      </c>
      <c r="L180" s="350">
        <f t="shared" si="30"/>
        <v>0</v>
      </c>
      <c r="M180" s="164">
        <f>L180*D180*'B) D RI'!S182</f>
        <v>0</v>
      </c>
      <c r="N180" s="18">
        <f>(('B) D RI'!S182*C180)-M180)/'B) D RI'!S182</f>
        <v>3143.0732894736843</v>
      </c>
      <c r="O180" s="167">
        <f t="shared" si="22"/>
        <v>20.54296267629859</v>
      </c>
      <c r="P180" s="106">
        <f t="shared" si="23"/>
        <v>0.46842032474711187</v>
      </c>
    </row>
    <row r="181" spans="1:16" x14ac:dyDescent="0.25">
      <c r="A181" s="82">
        <f>'A) Base RI'!A183</f>
        <v>5692</v>
      </c>
      <c r="B181" s="83" t="str">
        <f>'A) Base RI'!B183</f>
        <v>Vucherens</v>
      </c>
      <c r="C181" s="14">
        <f>'B) D RI'!U183</f>
        <v>15992.362531645569</v>
      </c>
      <c r="D181" s="62">
        <f>'B) D RI'!AR183</f>
        <v>532</v>
      </c>
      <c r="E181" s="346">
        <f t="shared" si="31"/>
        <v>30.060831826401447</v>
      </c>
      <c r="F181" s="112">
        <f t="shared" si="24"/>
        <v>0.65333143043194575</v>
      </c>
      <c r="G181" s="116">
        <f t="shared" si="25"/>
        <v>0</v>
      </c>
      <c r="H181" s="116">
        <f t="shared" si="26"/>
        <v>0</v>
      </c>
      <c r="I181" s="116">
        <f t="shared" si="27"/>
        <v>0</v>
      </c>
      <c r="J181" s="116">
        <f t="shared" si="28"/>
        <v>0</v>
      </c>
      <c r="K181" s="116">
        <f t="shared" si="29"/>
        <v>0</v>
      </c>
      <c r="L181" s="350">
        <f t="shared" si="30"/>
        <v>0</v>
      </c>
      <c r="M181" s="164">
        <f>L181*D181*'B) D RI'!S183</f>
        <v>0</v>
      </c>
      <c r="N181" s="18">
        <f>(('B) D RI'!S183*C181)-M181)/'B) D RI'!S183</f>
        <v>15992.362531645569</v>
      </c>
      <c r="O181" s="167">
        <f t="shared" si="22"/>
        <v>30.060831826401447</v>
      </c>
      <c r="P181" s="106">
        <f t="shared" si="23"/>
        <v>0.68544663338834444</v>
      </c>
    </row>
    <row r="182" spans="1:16" x14ac:dyDescent="0.25">
      <c r="A182" s="82">
        <f>'A) Base RI'!A184</f>
        <v>5693</v>
      </c>
      <c r="B182" s="83" t="str">
        <f>'A) Base RI'!B184</f>
        <v>Montanaire</v>
      </c>
      <c r="C182" s="14">
        <f>'B) D RI'!U184</f>
        <v>59073.542638888895</v>
      </c>
      <c r="D182" s="62">
        <f>'B) D RI'!AR184</f>
        <v>2436</v>
      </c>
      <c r="E182" s="346">
        <f>C182/D182</f>
        <v>24.250222758164572</v>
      </c>
      <c r="F182" s="112">
        <f t="shared" si="24"/>
        <v>0.52704571897342556</v>
      </c>
      <c r="G182" s="116">
        <f t="shared" si="25"/>
        <v>0</v>
      </c>
      <c r="H182" s="116">
        <f t="shared" si="26"/>
        <v>0</v>
      </c>
      <c r="I182" s="116">
        <f t="shared" si="27"/>
        <v>0</v>
      </c>
      <c r="J182" s="116">
        <f t="shared" si="28"/>
        <v>0</v>
      </c>
      <c r="K182" s="116">
        <f t="shared" si="29"/>
        <v>0</v>
      </c>
      <c r="L182" s="350">
        <f t="shared" si="30"/>
        <v>0</v>
      </c>
      <c r="M182" s="164">
        <f>L182*D182*'B) D RI'!S184</f>
        <v>0</v>
      </c>
      <c r="N182" s="18">
        <f>(('B) D RI'!S184*C182)-M182)/'B) D RI'!S184</f>
        <v>59073.542638888895</v>
      </c>
      <c r="O182" s="167">
        <f t="shared" si="22"/>
        <v>24.250222758164572</v>
      </c>
      <c r="P182" s="106">
        <f t="shared" si="23"/>
        <v>0.55295321315435297</v>
      </c>
    </row>
    <row r="183" spans="1:16" x14ac:dyDescent="0.25">
      <c r="A183" s="82">
        <f>'A) Base RI'!A185</f>
        <v>5701</v>
      </c>
      <c r="B183" s="83" t="str">
        <f>'A) Base RI'!B185</f>
        <v>Arnex-sur-Nyon</v>
      </c>
      <c r="C183" s="14">
        <f>'B) D RI'!U185</f>
        <v>14424.549365079363</v>
      </c>
      <c r="D183" s="62">
        <f>'B) D RI'!AR185</f>
        <v>190</v>
      </c>
      <c r="E183" s="346">
        <f>C183/D183</f>
        <v>75.918680868838749</v>
      </c>
      <c r="F183" s="112">
        <f t="shared" si="24"/>
        <v>1.6499896162215546</v>
      </c>
      <c r="G183" s="116">
        <f t="shared" si="25"/>
        <v>20.704747310135915</v>
      </c>
      <c r="H183" s="116">
        <f t="shared" si="26"/>
        <v>6.9012639204602095</v>
      </c>
      <c r="I183" s="116">
        <f t="shared" si="27"/>
        <v>0</v>
      </c>
      <c r="J183" s="116">
        <f t="shared" si="28"/>
        <v>0</v>
      </c>
      <c r="K183" s="116">
        <f t="shared" si="29"/>
        <v>0</v>
      </c>
      <c r="L183" s="350">
        <f t="shared" si="30"/>
        <v>8.1438354236949504</v>
      </c>
      <c r="M183" s="164">
        <f>L183*D183*'B) D RI'!S185</f>
        <v>97481.710021628562</v>
      </c>
      <c r="N183" s="18">
        <f>(('B) D RI'!S185*C183)-M183)/'B) D RI'!S185</f>
        <v>12877.220634577323</v>
      </c>
      <c r="O183" s="167">
        <f t="shared" si="22"/>
        <v>67.774845445143811</v>
      </c>
      <c r="P183" s="106">
        <f t="shared" si="23"/>
        <v>1.5454010024429321</v>
      </c>
    </row>
    <row r="184" spans="1:16" x14ac:dyDescent="0.25">
      <c r="A184" s="82">
        <f>'A) Base RI'!A186</f>
        <v>5702</v>
      </c>
      <c r="B184" s="83" t="str">
        <f>'A) Base RI'!B186</f>
        <v>Arzier-Le Muids</v>
      </c>
      <c r="C184" s="14">
        <f>'B) D RI'!U186</f>
        <v>123913.10833333334</v>
      </c>
      <c r="D184" s="62">
        <f>'B) D RI'!AR186</f>
        <v>2442</v>
      </c>
      <c r="E184" s="346">
        <f t="shared" si="31"/>
        <v>50.742468604968607</v>
      </c>
      <c r="F184" s="112">
        <f t="shared" si="24"/>
        <v>1.1028187705776069</v>
      </c>
      <c r="G184" s="116">
        <f t="shared" si="25"/>
        <v>0</v>
      </c>
      <c r="H184" s="116">
        <f t="shared" si="26"/>
        <v>0</v>
      </c>
      <c r="I184" s="116">
        <f t="shared" si="27"/>
        <v>0</v>
      </c>
      <c r="J184" s="116">
        <f t="shared" si="28"/>
        <v>0</v>
      </c>
      <c r="K184" s="116">
        <f t="shared" si="29"/>
        <v>0</v>
      </c>
      <c r="L184" s="350">
        <f t="shared" si="30"/>
        <v>0</v>
      </c>
      <c r="M184" s="164">
        <f>L184*D184*'B) D RI'!S186</f>
        <v>0</v>
      </c>
      <c r="N184" s="18">
        <f>(('B) D RI'!S186*C184)-M184)/'B) D RI'!S186</f>
        <v>123913.10833333334</v>
      </c>
      <c r="O184" s="167">
        <f t="shared" si="22"/>
        <v>50.742468604968607</v>
      </c>
      <c r="P184" s="106">
        <f t="shared" si="23"/>
        <v>1.1570290029214112</v>
      </c>
    </row>
    <row r="185" spans="1:16" x14ac:dyDescent="0.25">
      <c r="A185" s="82">
        <f>'A) Base RI'!A187</f>
        <v>5703</v>
      </c>
      <c r="B185" s="83" t="str">
        <f>'A) Base RI'!B187</f>
        <v>Bassins</v>
      </c>
      <c r="C185" s="14">
        <f>'B) D RI'!U187</f>
        <v>52680.758714285716</v>
      </c>
      <c r="D185" s="62">
        <f>'B) D RI'!AR187</f>
        <v>1318</v>
      </c>
      <c r="E185" s="346">
        <f t="shared" si="31"/>
        <v>39.970226642098417</v>
      </c>
      <c r="F185" s="112">
        <f t="shared" si="24"/>
        <v>0.86869869395418142</v>
      </c>
      <c r="G185" s="116">
        <f t="shared" si="25"/>
        <v>0</v>
      </c>
      <c r="H185" s="116">
        <f t="shared" si="26"/>
        <v>0</v>
      </c>
      <c r="I185" s="116">
        <f t="shared" si="27"/>
        <v>0</v>
      </c>
      <c r="J185" s="116">
        <f t="shared" si="28"/>
        <v>0</v>
      </c>
      <c r="K185" s="116">
        <f t="shared" si="29"/>
        <v>0</v>
      </c>
      <c r="L185" s="350">
        <f t="shared" si="30"/>
        <v>0</v>
      </c>
      <c r="M185" s="164">
        <f>L185*D185*'B) D RI'!S187</f>
        <v>0</v>
      </c>
      <c r="N185" s="18">
        <f>(('B) D RI'!S187*C185)-M185)/'B) D RI'!S187</f>
        <v>52680.758714285716</v>
      </c>
      <c r="O185" s="167">
        <f t="shared" si="22"/>
        <v>39.970226642098417</v>
      </c>
      <c r="P185" s="106">
        <f t="shared" si="23"/>
        <v>0.91140050434443332</v>
      </c>
    </row>
    <row r="186" spans="1:16" x14ac:dyDescent="0.25">
      <c r="A186" s="82">
        <f>'A) Base RI'!A188</f>
        <v>5704</v>
      </c>
      <c r="B186" s="83" t="str">
        <f>'A) Base RI'!B188</f>
        <v>Begnins</v>
      </c>
      <c r="C186" s="14">
        <f>'B) D RI'!U188</f>
        <v>98583.13114427861</v>
      </c>
      <c r="D186" s="62">
        <f>'B) D RI'!AR188</f>
        <v>1698</v>
      </c>
      <c r="E186" s="346">
        <f t="shared" si="31"/>
        <v>58.058381121483279</v>
      </c>
      <c r="F186" s="112">
        <f t="shared" si="24"/>
        <v>1.2618202119526136</v>
      </c>
      <c r="G186" s="116">
        <f t="shared" si="25"/>
        <v>2.8444475627804451</v>
      </c>
      <c r="H186" s="116">
        <f t="shared" si="26"/>
        <v>0</v>
      </c>
      <c r="I186" s="116">
        <f t="shared" si="27"/>
        <v>0</v>
      </c>
      <c r="J186" s="116">
        <f t="shared" si="28"/>
        <v>0</v>
      </c>
      <c r="K186" s="116">
        <f t="shared" si="29"/>
        <v>0</v>
      </c>
      <c r="L186" s="350">
        <f t="shared" si="30"/>
        <v>1.0240011226009602</v>
      </c>
      <c r="M186" s="164">
        <f>L186*D186*'B) D RI'!S188</f>
        <v>116496.51171382084</v>
      </c>
      <c r="N186" s="18">
        <f>(('B) D RI'!S188*C186)-M186)/'B) D RI'!S188</f>
        <v>96844.377238102184</v>
      </c>
      <c r="O186" s="167">
        <f t="shared" si="22"/>
        <v>57.034379998882322</v>
      </c>
      <c r="P186" s="106">
        <f t="shared" si="23"/>
        <v>1.3004970715178417</v>
      </c>
    </row>
    <row r="187" spans="1:16" x14ac:dyDescent="0.25">
      <c r="A187" s="82">
        <f>'A) Base RI'!A189</f>
        <v>5705</v>
      </c>
      <c r="B187" s="83" t="str">
        <f>'A) Base RI'!B189</f>
        <v>Bogis-Bossey</v>
      </c>
      <c r="C187" s="14">
        <f>'B) D RI'!U189</f>
        <v>43467.757968750004</v>
      </c>
      <c r="D187" s="62">
        <f>'B) D RI'!AR189</f>
        <v>830</v>
      </c>
      <c r="E187" s="346">
        <f t="shared" si="31"/>
        <v>52.370792733433738</v>
      </c>
      <c r="F187" s="112">
        <f t="shared" si="24"/>
        <v>1.1382081882158321</v>
      </c>
      <c r="G187" s="116">
        <f t="shared" si="25"/>
        <v>0</v>
      </c>
      <c r="H187" s="116">
        <f t="shared" si="26"/>
        <v>0</v>
      </c>
      <c r="I187" s="116">
        <f t="shared" si="27"/>
        <v>0</v>
      </c>
      <c r="J187" s="116">
        <f t="shared" si="28"/>
        <v>0</v>
      </c>
      <c r="K187" s="116">
        <f t="shared" si="29"/>
        <v>0</v>
      </c>
      <c r="L187" s="350">
        <f t="shared" si="30"/>
        <v>0</v>
      </c>
      <c r="M187" s="164">
        <f>L187*D187*'B) D RI'!S189</f>
        <v>0</v>
      </c>
      <c r="N187" s="18">
        <f>(('B) D RI'!S189*C187)-M187)/'B) D RI'!S189</f>
        <v>43467.757968750004</v>
      </c>
      <c r="O187" s="167">
        <f t="shared" si="22"/>
        <v>52.370792733433738</v>
      </c>
      <c r="P187" s="106">
        <f t="shared" si="23"/>
        <v>1.1941580251110493</v>
      </c>
    </row>
    <row r="188" spans="1:16" x14ac:dyDescent="0.25">
      <c r="A188" s="82">
        <f>'A) Base RI'!A190</f>
        <v>5706</v>
      </c>
      <c r="B188" s="83" t="str">
        <f>'A) Base RI'!B190</f>
        <v>Borex</v>
      </c>
      <c r="C188" s="14">
        <f>'B) D RI'!U190</f>
        <v>92938.421228070161</v>
      </c>
      <c r="D188" s="62">
        <f>'B) D RI'!AR190</f>
        <v>919</v>
      </c>
      <c r="E188" s="346">
        <f t="shared" si="31"/>
        <v>101.1299469293473</v>
      </c>
      <c r="F188" s="112">
        <f t="shared" si="24"/>
        <v>2.197922308617851</v>
      </c>
      <c r="G188" s="116">
        <f t="shared" si="25"/>
        <v>45.916013370644464</v>
      </c>
      <c r="H188" s="116">
        <f t="shared" si="26"/>
        <v>32.112529980968759</v>
      </c>
      <c r="I188" s="116">
        <f t="shared" si="27"/>
        <v>9.1067243315092412</v>
      </c>
      <c r="J188" s="116">
        <f t="shared" si="28"/>
        <v>0</v>
      </c>
      <c r="K188" s="116">
        <f t="shared" si="29"/>
        <v>0</v>
      </c>
      <c r="L188" s="350">
        <f t="shared" si="30"/>
        <v>20.651690244679809</v>
      </c>
      <c r="M188" s="164">
        <f>L188*D188*'B) D RI'!S190</f>
        <v>1081797.4900870624</v>
      </c>
      <c r="N188" s="18">
        <f>(('B) D RI'!S190*C188)-M188)/'B) D RI'!S190</f>
        <v>73959.517893209413</v>
      </c>
      <c r="O188" s="167">
        <f t="shared" si="22"/>
        <v>80.478256684667485</v>
      </c>
      <c r="P188" s="106">
        <f t="shared" si="23"/>
        <v>1.8350639937055901</v>
      </c>
    </row>
    <row r="189" spans="1:16" x14ac:dyDescent="0.25">
      <c r="A189" s="82">
        <f>'A) Base RI'!A191</f>
        <v>5707</v>
      </c>
      <c r="B189" s="83" t="str">
        <f>'A) Base RI'!B191</f>
        <v>Chavannes-de-Bogis</v>
      </c>
      <c r="C189" s="14">
        <f>'B) D RI'!U191</f>
        <v>97999.943502824884</v>
      </c>
      <c r="D189" s="62">
        <f>'B) D RI'!AR191</f>
        <v>1125</v>
      </c>
      <c r="E189" s="346">
        <f t="shared" si="31"/>
        <v>87.111060891399902</v>
      </c>
      <c r="F189" s="112">
        <f t="shared" si="24"/>
        <v>1.8932408240492642</v>
      </c>
      <c r="G189" s="116">
        <f t="shared" si="25"/>
        <v>31.897127332697067</v>
      </c>
      <c r="H189" s="116">
        <f t="shared" si="26"/>
        <v>18.093643943021362</v>
      </c>
      <c r="I189" s="116">
        <f t="shared" si="27"/>
        <v>0</v>
      </c>
      <c r="J189" s="116">
        <f t="shared" si="28"/>
        <v>0</v>
      </c>
      <c r="K189" s="116">
        <f t="shared" si="29"/>
        <v>0</v>
      </c>
      <c r="L189" s="350">
        <f t="shared" si="30"/>
        <v>13.292330234073081</v>
      </c>
      <c r="M189" s="164">
        <f>L189*D189*'B) D RI'!S191</f>
        <v>882278.41928660078</v>
      </c>
      <c r="N189" s="18">
        <f>(('B) D RI'!S191*C189)-M189)/'B) D RI'!S191</f>
        <v>83046.071989492659</v>
      </c>
      <c r="O189" s="167">
        <f t="shared" si="22"/>
        <v>73.81873065732681</v>
      </c>
      <c r="P189" s="106">
        <f t="shared" si="23"/>
        <v>1.6832135817887233</v>
      </c>
    </row>
    <row r="190" spans="1:16" x14ac:dyDescent="0.25">
      <c r="A190" s="82">
        <f>'A) Base RI'!A192</f>
        <v>5708</v>
      </c>
      <c r="B190" s="83" t="str">
        <f>'A) Base RI'!B192</f>
        <v>Chavannes-des-Bois</v>
      </c>
      <c r="C190" s="14">
        <f>'B) D RI'!U192</f>
        <v>60199.422131147534</v>
      </c>
      <c r="D190" s="62">
        <f>'B) D RI'!AR192</f>
        <v>797</v>
      </c>
      <c r="E190" s="346">
        <f t="shared" si="31"/>
        <v>75.532524631301797</v>
      </c>
      <c r="F190" s="112">
        <f t="shared" si="24"/>
        <v>1.641597033857328</v>
      </c>
      <c r="G190" s="116">
        <f t="shared" si="25"/>
        <v>20.318591072598963</v>
      </c>
      <c r="H190" s="116">
        <f t="shared" si="26"/>
        <v>6.5151076829232579</v>
      </c>
      <c r="I190" s="116">
        <f t="shared" si="27"/>
        <v>0</v>
      </c>
      <c r="J190" s="116">
        <f t="shared" si="28"/>
        <v>0</v>
      </c>
      <c r="K190" s="116">
        <f t="shared" si="29"/>
        <v>0</v>
      </c>
      <c r="L190" s="350">
        <f t="shared" si="30"/>
        <v>7.9662035544279526</v>
      </c>
      <c r="M190" s="164">
        <f>L190*D190*'B) D RI'!S192</f>
        <v>387292.91820562375</v>
      </c>
      <c r="N190" s="18">
        <f>(('B) D RI'!S192*C190)-M190)/'B) D RI'!S192</f>
        <v>53850.357898268448</v>
      </c>
      <c r="O190" s="167">
        <f t="shared" si="22"/>
        <v>67.566321076873834</v>
      </c>
      <c r="P190" s="106">
        <f t="shared" si="23"/>
        <v>1.5406462329463491</v>
      </c>
    </row>
    <row r="191" spans="1:16" x14ac:dyDescent="0.25">
      <c r="A191" s="82">
        <f>'A) Base RI'!A193</f>
        <v>5709</v>
      </c>
      <c r="B191" s="83" t="str">
        <f>'A) Base RI'!B193</f>
        <v>Chéserex</v>
      </c>
      <c r="C191" s="14">
        <f>'B) D RI'!U193</f>
        <v>145967.90288461538</v>
      </c>
      <c r="D191" s="62">
        <f>'B) D RI'!AR193</f>
        <v>1225</v>
      </c>
      <c r="E191" s="346">
        <f t="shared" si="31"/>
        <v>119.15747174254317</v>
      </c>
      <c r="F191" s="112">
        <f t="shared" si="24"/>
        <v>2.5897261230089237</v>
      </c>
      <c r="G191" s="116">
        <f t="shared" si="25"/>
        <v>63.943538183840332</v>
      </c>
      <c r="H191" s="116">
        <f t="shared" si="26"/>
        <v>50.140054794164627</v>
      </c>
      <c r="I191" s="116">
        <f t="shared" si="27"/>
        <v>27.134249144705109</v>
      </c>
      <c r="J191" s="116">
        <f t="shared" si="28"/>
        <v>0</v>
      </c>
      <c r="K191" s="116">
        <f t="shared" si="29"/>
        <v>0</v>
      </c>
      <c r="L191" s="350">
        <f t="shared" si="30"/>
        <v>30.747104140069496</v>
      </c>
      <c r="M191" s="164">
        <f>L191*D191*'B) D RI'!S193</f>
        <v>1958590.533722427</v>
      </c>
      <c r="N191" s="18">
        <f>(('B) D RI'!S193*C191)-M191)/'B) D RI'!S193</f>
        <v>108302.70031303026</v>
      </c>
      <c r="O191" s="167">
        <f t="shared" si="22"/>
        <v>88.410367602473684</v>
      </c>
      <c r="P191" s="106">
        <f t="shared" si="23"/>
        <v>2.0159318670788751</v>
      </c>
    </row>
    <row r="192" spans="1:16" x14ac:dyDescent="0.25">
      <c r="A192" s="82">
        <f>'A) Base RI'!A194</f>
        <v>5710</v>
      </c>
      <c r="B192" s="83" t="str">
        <f>'A) Base RI'!B194</f>
        <v>Coinsins</v>
      </c>
      <c r="C192" s="14">
        <f>'B) D RI'!U194</f>
        <v>102493.90717948719</v>
      </c>
      <c r="D192" s="62">
        <f>'B) D RI'!AR194</f>
        <v>427</v>
      </c>
      <c r="E192" s="346">
        <f t="shared" si="31"/>
        <v>240.03256950699574</v>
      </c>
      <c r="F192" s="112">
        <f t="shared" si="24"/>
        <v>5.2167825192558501</v>
      </c>
      <c r="G192" s="116">
        <f t="shared" si="25"/>
        <v>184.81863594829292</v>
      </c>
      <c r="H192" s="116">
        <f t="shared" si="26"/>
        <v>171.01515255861722</v>
      </c>
      <c r="I192" s="116">
        <f t="shared" si="27"/>
        <v>148.00934690915767</v>
      </c>
      <c r="J192" s="116">
        <f t="shared" si="28"/>
        <v>101.99773561023866</v>
      </c>
      <c r="K192" s="116">
        <f t="shared" si="29"/>
        <v>101.99773561023866</v>
      </c>
      <c r="L192" s="350">
        <f t="shared" si="30"/>
        <v>108.63693244918682</v>
      </c>
      <c r="M192" s="164">
        <f>L192*D192*'B) D RI'!S194</f>
        <v>1809130.8360763083</v>
      </c>
      <c r="N192" s="18">
        <f>(('B) D RI'!S194*C192)-M192)/'B) D RI'!S194</f>
        <v>56105.937023684404</v>
      </c>
      <c r="O192" s="167">
        <f t="shared" si="22"/>
        <v>131.3956370578089</v>
      </c>
      <c r="P192" s="106">
        <f t="shared" si="23"/>
        <v>2.9960813321237176</v>
      </c>
    </row>
    <row r="193" spans="1:16" x14ac:dyDescent="0.25">
      <c r="A193" s="82">
        <f>'A) Base RI'!A195</f>
        <v>5711</v>
      </c>
      <c r="B193" s="83" t="str">
        <f>'A) Base RI'!B195</f>
        <v>Commugny</v>
      </c>
      <c r="C193" s="14">
        <f>'B) D RI'!U195</f>
        <v>235951.75200265253</v>
      </c>
      <c r="D193" s="62">
        <f>'B) D RI'!AR195</f>
        <v>2524</v>
      </c>
      <c r="E193" s="346">
        <f t="shared" si="31"/>
        <v>93.483261490749811</v>
      </c>
      <c r="F193" s="112">
        <f t="shared" si="24"/>
        <v>2.0317319661645072</v>
      </c>
      <c r="G193" s="116">
        <f t="shared" si="25"/>
        <v>38.269327932046977</v>
      </c>
      <c r="H193" s="116">
        <f t="shared" si="26"/>
        <v>24.465844542371272</v>
      </c>
      <c r="I193" s="116">
        <f t="shared" si="27"/>
        <v>1.4600388929117543</v>
      </c>
      <c r="J193" s="116">
        <f t="shared" si="28"/>
        <v>0</v>
      </c>
      <c r="K193" s="116">
        <f t="shared" si="29"/>
        <v>0</v>
      </c>
      <c r="L193" s="350">
        <f t="shared" si="30"/>
        <v>16.369546399065214</v>
      </c>
      <c r="M193" s="164">
        <f>L193*D193*'B) D RI'!S195</f>
        <v>2396370.636451955</v>
      </c>
      <c r="N193" s="18">
        <f>(('B) D RI'!S195*C193)-M193)/'B) D RI'!S195</f>
        <v>194635.01689141191</v>
      </c>
      <c r="O193" s="167">
        <f t="shared" si="22"/>
        <v>77.113715091684597</v>
      </c>
      <c r="P193" s="106">
        <f t="shared" si="23"/>
        <v>1.758345767106827</v>
      </c>
    </row>
    <row r="194" spans="1:16" x14ac:dyDescent="0.25">
      <c r="A194" s="82">
        <f>'A) Base RI'!A196</f>
        <v>5712</v>
      </c>
      <c r="B194" s="83" t="str">
        <f>'A) Base RI'!B196</f>
        <v>Coppet</v>
      </c>
      <c r="C194" s="14">
        <f>'B) D RI'!U196</f>
        <v>292636.3057232704</v>
      </c>
      <c r="D194" s="62">
        <f>'B) D RI'!AR196</f>
        <v>2892</v>
      </c>
      <c r="E194" s="346">
        <f t="shared" si="31"/>
        <v>101.18821083100636</v>
      </c>
      <c r="F194" s="112">
        <f t="shared" si="24"/>
        <v>2.1991885955400918</v>
      </c>
      <c r="G194" s="116">
        <f t="shared" si="25"/>
        <v>45.974277272303524</v>
      </c>
      <c r="H194" s="116">
        <f t="shared" si="26"/>
        <v>32.170793882627819</v>
      </c>
      <c r="I194" s="116">
        <f t="shared" si="27"/>
        <v>9.1649882331683017</v>
      </c>
      <c r="J194" s="116">
        <f t="shared" si="28"/>
        <v>0</v>
      </c>
      <c r="K194" s="116">
        <f t="shared" si="29"/>
        <v>0</v>
      </c>
      <c r="L194" s="350">
        <f t="shared" si="30"/>
        <v>20.684318029608882</v>
      </c>
      <c r="M194" s="164">
        <f>L194*D194*'B) D RI'!S196</f>
        <v>3170409.5303063309</v>
      </c>
      <c r="N194" s="18">
        <f>(('B) D RI'!S196*C194)-M194)/'B) D RI'!S196</f>
        <v>232817.25798164154</v>
      </c>
      <c r="O194" s="167">
        <f t="shared" si="22"/>
        <v>80.503892801397484</v>
      </c>
      <c r="P194" s="106">
        <f t="shared" si="23"/>
        <v>1.8356485480521634</v>
      </c>
    </row>
    <row r="195" spans="1:16" x14ac:dyDescent="0.25">
      <c r="A195" s="82">
        <f>'A) Base RI'!A197</f>
        <v>5713</v>
      </c>
      <c r="B195" s="83" t="str">
        <f>'A) Base RI'!B197</f>
        <v>Crans-près-Céligny</v>
      </c>
      <c r="C195" s="14">
        <f>'B) D RI'!U197</f>
        <v>335979.11377358483</v>
      </c>
      <c r="D195" s="62">
        <f>'B) D RI'!AR197</f>
        <v>2048</v>
      </c>
      <c r="E195" s="346">
        <f t="shared" si="31"/>
        <v>164.05230164725822</v>
      </c>
      <c r="F195" s="112">
        <f t="shared" si="24"/>
        <v>3.5654543932720819</v>
      </c>
      <c r="G195" s="116">
        <f t="shared" si="25"/>
        <v>108.83836808855538</v>
      </c>
      <c r="H195" s="116">
        <f t="shared" si="26"/>
        <v>95.034884698879679</v>
      </c>
      <c r="I195" s="116">
        <f t="shared" si="27"/>
        <v>72.029079049420162</v>
      </c>
      <c r="J195" s="116">
        <f t="shared" si="28"/>
        <v>26.01746775050114</v>
      </c>
      <c r="K195" s="116">
        <f t="shared" si="29"/>
        <v>26.01746775050114</v>
      </c>
      <c r="L195" s="350">
        <f t="shared" si="30"/>
        <v>58.489955661760035</v>
      </c>
      <c r="M195" s="164">
        <f>L195*D195*'B) D RI'!S197</f>
        <v>6348733.7473500809</v>
      </c>
      <c r="N195" s="18">
        <f>(('B) D RI'!S197*C195)-M195)/'B) D RI'!S197</f>
        <v>216191.68457830031</v>
      </c>
      <c r="O195" s="167">
        <f t="shared" si="22"/>
        <v>105.5623459854982</v>
      </c>
      <c r="P195" s="106">
        <f t="shared" si="23"/>
        <v>2.4070310191744677</v>
      </c>
    </row>
    <row r="196" spans="1:16" x14ac:dyDescent="0.25">
      <c r="A196" s="82">
        <f>'A) Base RI'!A198</f>
        <v>5714</v>
      </c>
      <c r="B196" s="83" t="str">
        <f>'A) Base RI'!B198</f>
        <v>Crassier</v>
      </c>
      <c r="C196" s="14">
        <f>'B) D RI'!U198</f>
        <v>64394.622031249986</v>
      </c>
      <c r="D196" s="62">
        <f>'B) D RI'!AR198</f>
        <v>1114</v>
      </c>
      <c r="E196" s="346">
        <f t="shared" si="31"/>
        <v>57.804867173473959</v>
      </c>
      <c r="F196" s="112">
        <f t="shared" si="24"/>
        <v>1.2563104299464511</v>
      </c>
      <c r="G196" s="116">
        <f t="shared" si="25"/>
        <v>2.5909336147711244</v>
      </c>
      <c r="H196" s="116">
        <f t="shared" si="26"/>
        <v>0</v>
      </c>
      <c r="I196" s="116">
        <f t="shared" si="27"/>
        <v>0</v>
      </c>
      <c r="J196" s="116">
        <f t="shared" si="28"/>
        <v>0</v>
      </c>
      <c r="K196" s="116">
        <f t="shared" si="29"/>
        <v>0</v>
      </c>
      <c r="L196" s="350">
        <f t="shared" si="30"/>
        <v>0.93273610131760476</v>
      </c>
      <c r="M196" s="164">
        <f>L196*D196*'B) D RI'!S198</f>
        <v>66500.353079539942</v>
      </c>
      <c r="N196" s="18">
        <f>(('B) D RI'!S198*C196)-M196)/'B) D RI'!S198</f>
        <v>63355.554014382178</v>
      </c>
      <c r="O196" s="167">
        <f t="shared" si="22"/>
        <v>56.872131072156357</v>
      </c>
      <c r="P196" s="106">
        <f t="shared" si="23"/>
        <v>1.2967974739405881</v>
      </c>
    </row>
    <row r="197" spans="1:16" x14ac:dyDescent="0.25">
      <c r="A197" s="82">
        <f>'A) Base RI'!A199</f>
        <v>5715</v>
      </c>
      <c r="B197" s="83" t="str">
        <f>'A) Base RI'!B199</f>
        <v>Duillier</v>
      </c>
      <c r="C197" s="14">
        <f>'B) D RI'!U199</f>
        <v>60430.509848484849</v>
      </c>
      <c r="D197" s="62">
        <f>'B) D RI'!AR199</f>
        <v>1014</v>
      </c>
      <c r="E197" s="346">
        <f t="shared" si="31"/>
        <v>59.596163558663562</v>
      </c>
      <c r="F197" s="112">
        <f t="shared" si="24"/>
        <v>1.2952418286656195</v>
      </c>
      <c r="G197" s="116">
        <f t="shared" si="25"/>
        <v>4.3822299999607282</v>
      </c>
      <c r="H197" s="116">
        <f t="shared" si="26"/>
        <v>0</v>
      </c>
      <c r="I197" s="116">
        <f t="shared" si="27"/>
        <v>0</v>
      </c>
      <c r="J197" s="116">
        <f t="shared" si="28"/>
        <v>0</v>
      </c>
      <c r="K197" s="116">
        <f t="shared" si="29"/>
        <v>0</v>
      </c>
      <c r="L197" s="350">
        <f t="shared" si="30"/>
        <v>1.5776027999858622</v>
      </c>
      <c r="M197" s="164">
        <f>L197*D197*'B) D RI'!S199</f>
        <v>105579.48978625385</v>
      </c>
      <c r="N197" s="18">
        <f>(('B) D RI'!S199*C197)-M197)/'B) D RI'!S199</f>
        <v>58830.820609299182</v>
      </c>
      <c r="O197" s="167">
        <f t="shared" ref="O197:O260" si="32">N197/D197</f>
        <v>58.018560758677694</v>
      </c>
      <c r="P197" s="106">
        <f t="shared" ref="P197:P260" si="33">O197/O$323</f>
        <v>1.3229383463416089</v>
      </c>
    </row>
    <row r="198" spans="1:16" x14ac:dyDescent="0.25">
      <c r="A198" s="82">
        <f>'A) Base RI'!A200</f>
        <v>5716</v>
      </c>
      <c r="B198" s="83" t="str">
        <f>'A) Base RI'!B200</f>
        <v>Eysins</v>
      </c>
      <c r="C198" s="14">
        <f>'B) D RI'!U200</f>
        <v>137603.84967213115</v>
      </c>
      <c r="D198" s="62">
        <f>'B) D RI'!AR200</f>
        <v>1462</v>
      </c>
      <c r="E198" s="346">
        <f t="shared" si="31"/>
        <v>94.120280213496002</v>
      </c>
      <c r="F198" s="112">
        <f t="shared" ref="F198:F261" si="34">E198/$E$323</f>
        <v>2.0455767045851578</v>
      </c>
      <c r="G198" s="116">
        <f t="shared" ref="G198:G261" si="35">IF(E198-$G$2&lt;0,0,E198-$G$2)</f>
        <v>38.906346654793168</v>
      </c>
      <c r="H198" s="116">
        <f t="shared" ref="H198:H261" si="36">IF(E198-$H$2&lt;0,0,E198-$H$2)</f>
        <v>25.102863265117463</v>
      </c>
      <c r="I198" s="116">
        <f t="shared" ref="I198:I261" si="37">IF(E198-$I$2&lt;0,0,E198-$I$2)</f>
        <v>2.0970576156579455</v>
      </c>
      <c r="J198" s="116">
        <f t="shared" ref="J198:J261" si="38">IF(E198-$J$2&lt;0,0,E198-$J$2)</f>
        <v>0</v>
      </c>
      <c r="K198" s="116">
        <f t="shared" ref="K198:K261" si="39">IF(E198&gt;$K$2,E198-$K$2,0)</f>
        <v>0</v>
      </c>
      <c r="L198" s="350">
        <f t="shared" ref="L198:L261" si="40">(G198-H198)*$G$3+(H198-I198)*$H$3+(I198-J198)*$I$3+(K198*$J$3)</f>
        <v>16.726276883803081</v>
      </c>
      <c r="M198" s="164">
        <f>L198*D198*'B) D RI'!S200</f>
        <v>1491682.8250513263</v>
      </c>
      <c r="N198" s="18">
        <f>(('B) D RI'!S200*C198)-M198)/'B) D RI'!S200</f>
        <v>113150.03286801104</v>
      </c>
      <c r="O198" s="167">
        <f t="shared" si="32"/>
        <v>77.394003329692907</v>
      </c>
      <c r="P198" s="106">
        <f t="shared" si="33"/>
        <v>1.7647368952775522</v>
      </c>
    </row>
    <row r="199" spans="1:16" x14ac:dyDescent="0.25">
      <c r="A199" s="82">
        <f>'A) Base RI'!A201</f>
        <v>5717</v>
      </c>
      <c r="B199" s="83" t="str">
        <f>'A) Base RI'!B201</f>
        <v>Founex</v>
      </c>
      <c r="C199" s="14">
        <f>'B) D RI'!U201</f>
        <v>331728.2661403509</v>
      </c>
      <c r="D199" s="62">
        <f>'B) D RI'!AR201</f>
        <v>3276</v>
      </c>
      <c r="E199" s="346">
        <f t="shared" si="31"/>
        <v>101.26015449949661</v>
      </c>
      <c r="F199" s="112">
        <f t="shared" si="34"/>
        <v>2.2007521936506396</v>
      </c>
      <c r="G199" s="116">
        <f t="shared" si="35"/>
        <v>46.046220940793773</v>
      </c>
      <c r="H199" s="116">
        <f t="shared" si="36"/>
        <v>32.242737551118068</v>
      </c>
      <c r="I199" s="116">
        <f t="shared" si="37"/>
        <v>9.2369319016585507</v>
      </c>
      <c r="J199" s="116">
        <f t="shared" si="38"/>
        <v>0</v>
      </c>
      <c r="K199" s="116">
        <f t="shared" si="39"/>
        <v>0</v>
      </c>
      <c r="L199" s="350">
        <f t="shared" si="40"/>
        <v>20.72460648396342</v>
      </c>
      <c r="M199" s="164">
        <f>L199*D199*'B) D RI'!S201</f>
        <v>3869947.2179634571</v>
      </c>
      <c r="N199" s="18">
        <f>(('B) D RI'!S201*C199)-M199)/'B) D RI'!S201</f>
        <v>263834.45529888675</v>
      </c>
      <c r="O199" s="167">
        <f t="shared" si="32"/>
        <v>80.535548015533195</v>
      </c>
      <c r="P199" s="106">
        <f t="shared" si="33"/>
        <v>1.8363703497668935</v>
      </c>
    </row>
    <row r="200" spans="1:16" x14ac:dyDescent="0.25">
      <c r="A200" s="82">
        <f>'A) Base RI'!A202</f>
        <v>5718</v>
      </c>
      <c r="B200" s="83" t="str">
        <f>'A) Base RI'!B202</f>
        <v>Genolier</v>
      </c>
      <c r="C200" s="14">
        <f>'B) D RI'!U202</f>
        <v>178659.63072727274</v>
      </c>
      <c r="D200" s="62">
        <f>'B) D RI'!AR202</f>
        <v>1875</v>
      </c>
      <c r="E200" s="346">
        <f t="shared" si="31"/>
        <v>95.285136387878794</v>
      </c>
      <c r="F200" s="112">
        <f t="shared" si="34"/>
        <v>2.0708932745008513</v>
      </c>
      <c r="G200" s="116">
        <f t="shared" si="35"/>
        <v>40.071202829175959</v>
      </c>
      <c r="H200" s="116">
        <f t="shared" si="36"/>
        <v>26.267719439500254</v>
      </c>
      <c r="I200" s="116">
        <f t="shared" si="37"/>
        <v>3.2619137900407367</v>
      </c>
      <c r="J200" s="116">
        <f t="shared" si="38"/>
        <v>0</v>
      </c>
      <c r="K200" s="116">
        <f t="shared" si="39"/>
        <v>0</v>
      </c>
      <c r="L200" s="350">
        <f t="shared" si="40"/>
        <v>17.378596341457445</v>
      </c>
      <c r="M200" s="164">
        <f>L200*D200*'B) D RI'!S202</f>
        <v>1792167.7477127991</v>
      </c>
      <c r="N200" s="18">
        <f>(('B) D RI'!S202*C200)-M200)/'B) D RI'!S202</f>
        <v>146074.76258704002</v>
      </c>
      <c r="O200" s="167">
        <f t="shared" si="32"/>
        <v>77.906540046421341</v>
      </c>
      <c r="P200" s="106">
        <f t="shared" si="33"/>
        <v>1.7764237497531117</v>
      </c>
    </row>
    <row r="201" spans="1:16" x14ac:dyDescent="0.25">
      <c r="A201" s="82">
        <f>'A) Base RI'!A203</f>
        <v>5719</v>
      </c>
      <c r="B201" s="83" t="str">
        <f>'A) Base RI'!B203</f>
        <v>Gingins</v>
      </c>
      <c r="C201" s="14">
        <f>'B) D RI'!U203</f>
        <v>96095.319738562102</v>
      </c>
      <c r="D201" s="62">
        <f>'B) D RI'!AR203</f>
        <v>1217</v>
      </c>
      <c r="E201" s="346">
        <f t="shared" si="31"/>
        <v>78.960821477865323</v>
      </c>
      <c r="F201" s="112">
        <f t="shared" si="34"/>
        <v>1.7161064185491888</v>
      </c>
      <c r="G201" s="116">
        <f t="shared" si="35"/>
        <v>23.746887919162489</v>
      </c>
      <c r="H201" s="116">
        <f t="shared" si="36"/>
        <v>9.9434045294867843</v>
      </c>
      <c r="I201" s="116">
        <f t="shared" si="37"/>
        <v>0</v>
      </c>
      <c r="J201" s="116">
        <f t="shared" si="38"/>
        <v>0</v>
      </c>
      <c r="K201" s="116">
        <f t="shared" si="39"/>
        <v>0</v>
      </c>
      <c r="L201" s="350">
        <f t="shared" si="40"/>
        <v>9.5432201038471742</v>
      </c>
      <c r="M201" s="164">
        <f>L201*D201*'B) D RI'!S203</f>
        <v>592319.04218548257</v>
      </c>
      <c r="N201" s="18">
        <f>(('B) D RI'!S203*C201)-M201)/'B) D RI'!S203</f>
        <v>84481.2208721801</v>
      </c>
      <c r="O201" s="167">
        <f t="shared" si="32"/>
        <v>69.417601374018162</v>
      </c>
      <c r="P201" s="106">
        <f t="shared" si="33"/>
        <v>1.5828590983275814</v>
      </c>
    </row>
    <row r="202" spans="1:16" x14ac:dyDescent="0.25">
      <c r="A202" s="82">
        <f>'A) Base RI'!A204</f>
        <v>5720</v>
      </c>
      <c r="B202" s="83" t="str">
        <f>'A) Base RI'!B204</f>
        <v>Givrins</v>
      </c>
      <c r="C202" s="14">
        <f>'B) D RI'!U204</f>
        <v>74875.243533697634</v>
      </c>
      <c r="D202" s="62">
        <f>'B) D RI'!AR204</f>
        <v>948</v>
      </c>
      <c r="E202" s="346">
        <f t="shared" si="31"/>
        <v>78.982324402634632</v>
      </c>
      <c r="F202" s="112">
        <f t="shared" si="34"/>
        <v>1.7165737554705067</v>
      </c>
      <c r="G202" s="116">
        <f t="shared" si="35"/>
        <v>23.768390843931797</v>
      </c>
      <c r="H202" s="116">
        <f t="shared" si="36"/>
        <v>9.9649074542560925</v>
      </c>
      <c r="I202" s="116">
        <f t="shared" si="37"/>
        <v>0</v>
      </c>
      <c r="J202" s="116">
        <f t="shared" si="38"/>
        <v>0</v>
      </c>
      <c r="K202" s="116">
        <f t="shared" si="39"/>
        <v>0</v>
      </c>
      <c r="L202" s="350">
        <f t="shared" si="40"/>
        <v>9.5531114492410563</v>
      </c>
      <c r="M202" s="164">
        <f>L202*D202*'B) D RI'!S204</f>
        <v>552437.32888671174</v>
      </c>
      <c r="N202" s="18">
        <f>(('B) D RI'!S204*C202)-M202)/'B) D RI'!S204</f>
        <v>65818.893879817115</v>
      </c>
      <c r="O202" s="167">
        <f t="shared" si="32"/>
        <v>69.429212953393588</v>
      </c>
      <c r="P202" s="106">
        <f t="shared" si="33"/>
        <v>1.5831238653851656</v>
      </c>
    </row>
    <row r="203" spans="1:16" x14ac:dyDescent="0.25">
      <c r="A203" s="82">
        <f>'A) Base RI'!A205</f>
        <v>5721</v>
      </c>
      <c r="B203" s="83" t="str">
        <f>'A) Base RI'!B205</f>
        <v>Gland</v>
      </c>
      <c r="C203" s="14">
        <f>'B) D RI'!U205</f>
        <v>545180.59375999996</v>
      </c>
      <c r="D203" s="62">
        <f>'B) D RI'!AR205</f>
        <v>12482</v>
      </c>
      <c r="E203" s="346">
        <f t="shared" si="31"/>
        <v>43.677342874539335</v>
      </c>
      <c r="F203" s="112">
        <f t="shared" si="34"/>
        <v>0.94926784004118248</v>
      </c>
      <c r="G203" s="116">
        <f t="shared" si="35"/>
        <v>0</v>
      </c>
      <c r="H203" s="116">
        <f t="shared" si="36"/>
        <v>0</v>
      </c>
      <c r="I203" s="116">
        <f t="shared" si="37"/>
        <v>0</v>
      </c>
      <c r="J203" s="116">
        <f t="shared" si="38"/>
        <v>0</v>
      </c>
      <c r="K203" s="116">
        <f t="shared" si="39"/>
        <v>0</v>
      </c>
      <c r="L203" s="350">
        <f t="shared" si="40"/>
        <v>0</v>
      </c>
      <c r="M203" s="164">
        <f>L203*D203*'B) D RI'!S205</f>
        <v>0</v>
      </c>
      <c r="N203" s="18">
        <f>(('B) D RI'!S205*C203)-M203)/'B) D RI'!S205</f>
        <v>545180.59375999996</v>
      </c>
      <c r="O203" s="167">
        <f t="shared" si="32"/>
        <v>43.677342874539335</v>
      </c>
      <c r="P203" s="106">
        <f t="shared" si="33"/>
        <v>0.99593011269925613</v>
      </c>
    </row>
    <row r="204" spans="1:16" x14ac:dyDescent="0.25">
      <c r="A204" s="82">
        <f>'A) Base RI'!A206</f>
        <v>5722</v>
      </c>
      <c r="B204" s="83" t="str">
        <f>'A) Base RI'!B206</f>
        <v>Grens</v>
      </c>
      <c r="C204" s="14">
        <f>'B) D RI'!U206</f>
        <v>17973.033684210524</v>
      </c>
      <c r="D204" s="62">
        <f>'B) D RI'!AR206</f>
        <v>366</v>
      </c>
      <c r="E204" s="346">
        <f t="shared" si="31"/>
        <v>49.106649410411272</v>
      </c>
      <c r="F204" s="112">
        <f t="shared" si="34"/>
        <v>1.0672664578378928</v>
      </c>
      <c r="G204" s="116">
        <f t="shared" si="35"/>
        <v>0</v>
      </c>
      <c r="H204" s="116">
        <f t="shared" si="36"/>
        <v>0</v>
      </c>
      <c r="I204" s="116">
        <f t="shared" si="37"/>
        <v>0</v>
      </c>
      <c r="J204" s="116">
        <f t="shared" si="38"/>
        <v>0</v>
      </c>
      <c r="K204" s="116">
        <f t="shared" si="39"/>
        <v>0</v>
      </c>
      <c r="L204" s="350">
        <f t="shared" si="40"/>
        <v>0</v>
      </c>
      <c r="M204" s="164">
        <f>L204*D204*'B) D RI'!S206</f>
        <v>0</v>
      </c>
      <c r="N204" s="18">
        <f>(('B) D RI'!S206*C204)-M204)/'B) D RI'!S206</f>
        <v>17973.033684210524</v>
      </c>
      <c r="O204" s="167">
        <f t="shared" si="32"/>
        <v>49.106649410411272</v>
      </c>
      <c r="P204" s="106">
        <f t="shared" si="33"/>
        <v>1.1197290783479141</v>
      </c>
    </row>
    <row r="205" spans="1:16" x14ac:dyDescent="0.25">
      <c r="A205" s="82">
        <f>'A) Base RI'!A207</f>
        <v>5723</v>
      </c>
      <c r="B205" s="83" t="str">
        <f>'A) Base RI'!B207</f>
        <v>Mies</v>
      </c>
      <c r="C205" s="14">
        <f>'B) D RI'!U207</f>
        <v>194683.98403846152</v>
      </c>
      <c r="D205" s="62">
        <f>'B) D RI'!AR207</f>
        <v>1775</v>
      </c>
      <c r="E205" s="346">
        <f t="shared" si="31"/>
        <v>109.68111776814733</v>
      </c>
      <c r="F205" s="112">
        <f t="shared" si="34"/>
        <v>2.383770415158752</v>
      </c>
      <c r="G205" s="116">
        <f t="shared" si="35"/>
        <v>54.467184209444497</v>
      </c>
      <c r="H205" s="116">
        <f t="shared" si="36"/>
        <v>40.663700819768792</v>
      </c>
      <c r="I205" s="116">
        <f t="shared" si="37"/>
        <v>17.657895170309274</v>
      </c>
      <c r="J205" s="116">
        <f t="shared" si="38"/>
        <v>0</v>
      </c>
      <c r="K205" s="116">
        <f t="shared" si="39"/>
        <v>0</v>
      </c>
      <c r="L205" s="350">
        <f t="shared" si="40"/>
        <v>25.440345914407828</v>
      </c>
      <c r="M205" s="164">
        <f>L205*D205*'B) D RI'!S207</f>
        <v>2348143.9278998426</v>
      </c>
      <c r="N205" s="18">
        <f>(('B) D RI'!S207*C205)-M205)/'B) D RI'!S207</f>
        <v>149527.37004038764</v>
      </c>
      <c r="O205" s="167">
        <f t="shared" si="32"/>
        <v>84.240771853739517</v>
      </c>
      <c r="P205" s="106">
        <f t="shared" si="33"/>
        <v>1.9208568077769543</v>
      </c>
    </row>
    <row r="206" spans="1:16" x14ac:dyDescent="0.25">
      <c r="A206" s="82">
        <f>'A) Base RI'!A208</f>
        <v>5724</v>
      </c>
      <c r="B206" s="83" t="str">
        <f>'A) Base RI'!B208</f>
        <v>Nyon</v>
      </c>
      <c r="C206" s="14">
        <f>'B) D RI'!U208</f>
        <v>1278048.420189155</v>
      </c>
      <c r="D206" s="62">
        <f>'B) D RI'!AR208</f>
        <v>19632</v>
      </c>
      <c r="E206" s="346">
        <f t="shared" si="31"/>
        <v>65.100265902055568</v>
      </c>
      <c r="F206" s="112">
        <f t="shared" si="34"/>
        <v>1.4148660319484399</v>
      </c>
      <c r="G206" s="116">
        <f t="shared" si="35"/>
        <v>9.8863323433527341</v>
      </c>
      <c r="H206" s="116">
        <f t="shared" si="36"/>
        <v>0</v>
      </c>
      <c r="I206" s="116">
        <f t="shared" si="37"/>
        <v>0</v>
      </c>
      <c r="J206" s="116">
        <f t="shared" si="38"/>
        <v>0</v>
      </c>
      <c r="K206" s="116">
        <f t="shared" si="39"/>
        <v>0</v>
      </c>
      <c r="L206" s="350">
        <f t="shared" si="40"/>
        <v>3.5590796436069843</v>
      </c>
      <c r="M206" s="164">
        <f>L206*D206*'B) D RI'!S208</f>
        <v>4262182.945360831</v>
      </c>
      <c r="N206" s="18">
        <f>(('B) D RI'!S208*C206)-M206)/'B) D RI'!S208</f>
        <v>1208176.5686258627</v>
      </c>
      <c r="O206" s="167">
        <f t="shared" si="32"/>
        <v>61.54118625844859</v>
      </c>
      <c r="P206" s="106">
        <f t="shared" si="33"/>
        <v>1.4032611997958919</v>
      </c>
    </row>
    <row r="207" spans="1:16" x14ac:dyDescent="0.25">
      <c r="A207" s="82">
        <f>'A) Base RI'!A209</f>
        <v>5725</v>
      </c>
      <c r="B207" s="83" t="str">
        <f>'A) Base RI'!B209</f>
        <v>Prangins</v>
      </c>
      <c r="C207" s="14">
        <f>'B) D RI'!U209</f>
        <v>330908.64043367346</v>
      </c>
      <c r="D207" s="62">
        <f>'B) D RI'!AR209</f>
        <v>3930</v>
      </c>
      <c r="E207" s="346">
        <f t="shared" si="31"/>
        <v>84.200671866074671</v>
      </c>
      <c r="F207" s="112">
        <f t="shared" si="34"/>
        <v>1.8299874637959666</v>
      </c>
      <c r="G207" s="116">
        <f t="shared" si="35"/>
        <v>28.986738307371837</v>
      </c>
      <c r="H207" s="116">
        <f t="shared" si="36"/>
        <v>15.183254917696132</v>
      </c>
      <c r="I207" s="116">
        <f t="shared" si="37"/>
        <v>0</v>
      </c>
      <c r="J207" s="116">
        <f t="shared" si="38"/>
        <v>0</v>
      </c>
      <c r="K207" s="116">
        <f t="shared" si="39"/>
        <v>0</v>
      </c>
      <c r="L207" s="350">
        <f t="shared" si="40"/>
        <v>11.953551282423476</v>
      </c>
      <c r="M207" s="164">
        <f>L207*D207*'B) D RI'!S209</f>
        <v>2630737.5662357584</v>
      </c>
      <c r="N207" s="18">
        <f>(('B) D RI'!S209*C207)-M207)/'B) D RI'!S209</f>
        <v>283931.1838937492</v>
      </c>
      <c r="O207" s="167">
        <f t="shared" si="32"/>
        <v>72.247120583651196</v>
      </c>
      <c r="P207" s="106">
        <f t="shared" si="33"/>
        <v>1.6473777526200162</v>
      </c>
    </row>
    <row r="208" spans="1:16" x14ac:dyDescent="0.25">
      <c r="A208" s="82">
        <f>'A) Base RI'!A210</f>
        <v>5726</v>
      </c>
      <c r="B208" s="83" t="str">
        <f>'A) Base RI'!B210</f>
        <v>La Rippe</v>
      </c>
      <c r="C208" s="14">
        <f>'B) D RI'!U210</f>
        <v>52407.476615384607</v>
      </c>
      <c r="D208" s="62">
        <f>'B) D RI'!AR210</f>
        <v>1057</v>
      </c>
      <c r="E208" s="346">
        <f t="shared" si="31"/>
        <v>49.58134022269121</v>
      </c>
      <c r="F208" s="112">
        <f t="shared" si="34"/>
        <v>1.0775832191700716</v>
      </c>
      <c r="G208" s="116">
        <f t="shared" si="35"/>
        <v>0</v>
      </c>
      <c r="H208" s="116">
        <f t="shared" si="36"/>
        <v>0</v>
      </c>
      <c r="I208" s="116">
        <f t="shared" si="37"/>
        <v>0</v>
      </c>
      <c r="J208" s="116">
        <f t="shared" si="38"/>
        <v>0</v>
      </c>
      <c r="K208" s="116">
        <f t="shared" si="39"/>
        <v>0</v>
      </c>
      <c r="L208" s="350">
        <f t="shared" si="40"/>
        <v>0</v>
      </c>
      <c r="M208" s="164">
        <f>L208*D208*'B) D RI'!S210</f>
        <v>0</v>
      </c>
      <c r="N208" s="18">
        <f>(('B) D RI'!S210*C208)-M208)/'B) D RI'!S210</f>
        <v>52407.476615384607</v>
      </c>
      <c r="O208" s="167">
        <f t="shared" si="32"/>
        <v>49.58134022269121</v>
      </c>
      <c r="P208" s="106">
        <f t="shared" si="33"/>
        <v>1.1305529710817104</v>
      </c>
    </row>
    <row r="209" spans="1:16" x14ac:dyDescent="0.25">
      <c r="A209" s="82">
        <f>'A) Base RI'!A211</f>
        <v>5727</v>
      </c>
      <c r="B209" s="83" t="str">
        <f>'A) Base RI'!B211</f>
        <v>Saint-Cergue</v>
      </c>
      <c r="C209" s="14">
        <f>'B) D RI'!U211</f>
        <v>86282.692626262622</v>
      </c>
      <c r="D209" s="62">
        <f>'B) D RI'!AR211</f>
        <v>2340</v>
      </c>
      <c r="E209" s="346">
        <f t="shared" si="31"/>
        <v>36.872945566778895</v>
      </c>
      <c r="F209" s="112">
        <f t="shared" si="34"/>
        <v>0.8013834883379789</v>
      </c>
      <c r="G209" s="116">
        <f t="shared" si="35"/>
        <v>0</v>
      </c>
      <c r="H209" s="116">
        <f t="shared" si="36"/>
        <v>0</v>
      </c>
      <c r="I209" s="116">
        <f t="shared" si="37"/>
        <v>0</v>
      </c>
      <c r="J209" s="116">
        <f t="shared" si="38"/>
        <v>0</v>
      </c>
      <c r="K209" s="116">
        <f t="shared" si="39"/>
        <v>0</v>
      </c>
      <c r="L209" s="350">
        <f t="shared" si="40"/>
        <v>0</v>
      </c>
      <c r="M209" s="164">
        <f>L209*D209*'B) D RI'!S211</f>
        <v>0</v>
      </c>
      <c r="N209" s="18">
        <f>(('B) D RI'!S211*C209)-M209)/'B) D RI'!S211</f>
        <v>86282.692626262622</v>
      </c>
      <c r="O209" s="167">
        <f t="shared" si="32"/>
        <v>36.872945566778895</v>
      </c>
      <c r="P209" s="106">
        <f t="shared" si="33"/>
        <v>0.84077634803380785</v>
      </c>
    </row>
    <row r="210" spans="1:16" x14ac:dyDescent="0.25">
      <c r="A210" s="82">
        <f>'A) Base RI'!A212</f>
        <v>5728</v>
      </c>
      <c r="B210" s="83" t="str">
        <f>'A) Base RI'!B212</f>
        <v>Signy-Avenex</v>
      </c>
      <c r="C210" s="14">
        <f>'B) D RI'!U212</f>
        <v>39079.357857142866</v>
      </c>
      <c r="D210" s="62">
        <f>'B) D RI'!AR212</f>
        <v>457</v>
      </c>
      <c r="E210" s="346">
        <f t="shared" si="31"/>
        <v>85.512818068146316</v>
      </c>
      <c r="F210" s="112">
        <f t="shared" si="34"/>
        <v>1.8585051828027441</v>
      </c>
      <c r="G210" s="116">
        <f t="shared" si="35"/>
        <v>30.298884509443482</v>
      </c>
      <c r="H210" s="116">
        <f t="shared" si="36"/>
        <v>16.495401119767777</v>
      </c>
      <c r="I210" s="116">
        <f t="shared" si="37"/>
        <v>0</v>
      </c>
      <c r="J210" s="116">
        <f t="shared" si="38"/>
        <v>0</v>
      </c>
      <c r="K210" s="116">
        <f t="shared" si="39"/>
        <v>0</v>
      </c>
      <c r="L210" s="350">
        <f t="shared" si="40"/>
        <v>12.557138535376431</v>
      </c>
      <c r="M210" s="164">
        <f>L210*D210*'B) D RI'!S212</f>
        <v>321362.28939735366</v>
      </c>
      <c r="N210" s="18">
        <f>(('B) D RI'!S212*C210)-M210)/'B) D RI'!S212</f>
        <v>33340.745546475831</v>
      </c>
      <c r="O210" s="167">
        <f t="shared" si="32"/>
        <v>72.955679532769878</v>
      </c>
      <c r="P210" s="106">
        <f t="shared" si="33"/>
        <v>1.6635343030786109</v>
      </c>
    </row>
    <row r="211" spans="1:16" x14ac:dyDescent="0.25">
      <c r="A211" s="82">
        <f>'A) Base RI'!A213</f>
        <v>5729</v>
      </c>
      <c r="B211" s="83" t="str">
        <f>'A) Base RI'!B213</f>
        <v>Tannay</v>
      </c>
      <c r="C211" s="14">
        <f>'B) D RI'!U213</f>
        <v>152150.21945355195</v>
      </c>
      <c r="D211" s="62">
        <f>'B) D RI'!AR213</f>
        <v>1511</v>
      </c>
      <c r="E211" s="346">
        <f t="shared" si="31"/>
        <v>100.69504927435602</v>
      </c>
      <c r="F211" s="112">
        <f t="shared" si="34"/>
        <v>2.1884703976172575</v>
      </c>
      <c r="G211" s="116">
        <f t="shared" si="35"/>
        <v>45.481115715653189</v>
      </c>
      <c r="H211" s="116">
        <f t="shared" si="36"/>
        <v>31.677632325977484</v>
      </c>
      <c r="I211" s="116">
        <f t="shared" si="37"/>
        <v>8.6718266765179663</v>
      </c>
      <c r="J211" s="116">
        <f t="shared" si="38"/>
        <v>0</v>
      </c>
      <c r="K211" s="116">
        <f t="shared" si="39"/>
        <v>0</v>
      </c>
      <c r="L211" s="350">
        <f t="shared" si="40"/>
        <v>20.408147557884696</v>
      </c>
      <c r="M211" s="164">
        <f>L211*D211*'B) D RI'!S213</f>
        <v>1881039.3685577903</v>
      </c>
      <c r="N211" s="18">
        <f>(('B) D RI'!S213*C211)-M211)/'B) D RI'!S213</f>
        <v>121313.50849358818</v>
      </c>
      <c r="O211" s="167">
        <f t="shared" si="32"/>
        <v>80.28690171647132</v>
      </c>
      <c r="P211" s="106">
        <f t="shared" si="33"/>
        <v>1.830700720610233</v>
      </c>
    </row>
    <row r="212" spans="1:16" x14ac:dyDescent="0.25">
      <c r="A212" s="82">
        <f>'A) Base RI'!A214</f>
        <v>5730</v>
      </c>
      <c r="B212" s="83" t="str">
        <f>'A) Base RI'!B214</f>
        <v>Trélex</v>
      </c>
      <c r="C212" s="14">
        <f>'B) D RI'!U214</f>
        <v>142541.33792452831</v>
      </c>
      <c r="D212" s="62">
        <f>'B) D RI'!AR214</f>
        <v>1397</v>
      </c>
      <c r="E212" s="346">
        <f t="shared" si="31"/>
        <v>102.03388541483774</v>
      </c>
      <c r="F212" s="112">
        <f t="shared" si="34"/>
        <v>2.2175681862555172</v>
      </c>
      <c r="G212" s="116">
        <f t="shared" si="35"/>
        <v>46.819951856134907</v>
      </c>
      <c r="H212" s="116">
        <f t="shared" si="36"/>
        <v>33.016468466459202</v>
      </c>
      <c r="I212" s="116">
        <f t="shared" si="37"/>
        <v>10.010662816999684</v>
      </c>
      <c r="J212" s="116">
        <f t="shared" si="38"/>
        <v>0</v>
      </c>
      <c r="K212" s="116">
        <f t="shared" si="39"/>
        <v>0</v>
      </c>
      <c r="L212" s="350">
        <f t="shared" si="40"/>
        <v>21.157895796554456</v>
      </c>
      <c r="M212" s="164">
        <f>L212*D212*'B) D RI'!S214</f>
        <v>1566551.7626726886</v>
      </c>
      <c r="N212" s="18">
        <f>(('B) D RI'!S214*C212)-M212)/'B) D RI'!S214</f>
        <v>112983.75749674175</v>
      </c>
      <c r="O212" s="167">
        <f t="shared" si="32"/>
        <v>80.875989618283285</v>
      </c>
      <c r="P212" s="106">
        <f t="shared" si="33"/>
        <v>1.8441330940521476</v>
      </c>
    </row>
    <row r="213" spans="1:16" x14ac:dyDescent="0.25">
      <c r="A213" s="82">
        <f>'A) Base RI'!A215</f>
        <v>5731</v>
      </c>
      <c r="B213" s="83" t="str">
        <f>'A) Base RI'!B215</f>
        <v>Le Vaud</v>
      </c>
      <c r="C213" s="14">
        <f>'B) D RI'!U215</f>
        <v>44154.497155555553</v>
      </c>
      <c r="D213" s="62">
        <f>'B) D RI'!AR215</f>
        <v>1238</v>
      </c>
      <c r="E213" s="346">
        <f t="shared" si="31"/>
        <v>35.665991240351822</v>
      </c>
      <c r="F213" s="112">
        <f t="shared" si="34"/>
        <v>0.77515197215424925</v>
      </c>
      <c r="G213" s="116">
        <f t="shared" si="35"/>
        <v>0</v>
      </c>
      <c r="H213" s="116">
        <f t="shared" si="36"/>
        <v>0</v>
      </c>
      <c r="I213" s="116">
        <f t="shared" si="37"/>
        <v>0</v>
      </c>
      <c r="J213" s="116">
        <f t="shared" si="38"/>
        <v>0</v>
      </c>
      <c r="K213" s="116">
        <f t="shared" si="39"/>
        <v>0</v>
      </c>
      <c r="L213" s="350">
        <f t="shared" si="40"/>
        <v>0</v>
      </c>
      <c r="M213" s="164">
        <f>L213*D213*'B) D RI'!S215</f>
        <v>0</v>
      </c>
      <c r="N213" s="18">
        <f>(('B) D RI'!S215*C213)-M213)/'B) D RI'!S215</f>
        <v>44154.497155555553</v>
      </c>
      <c r="O213" s="167">
        <f t="shared" si="32"/>
        <v>35.665991240351822</v>
      </c>
      <c r="P213" s="106">
        <f t="shared" si="33"/>
        <v>0.81325539370757594</v>
      </c>
    </row>
    <row r="214" spans="1:16" x14ac:dyDescent="0.25">
      <c r="A214" s="82">
        <f>'A) Base RI'!A216</f>
        <v>5732</v>
      </c>
      <c r="B214" s="83" t="str">
        <f>'A) Base RI'!B216</f>
        <v>Vich</v>
      </c>
      <c r="C214" s="14">
        <f>'B) D RI'!U216</f>
        <v>40390.161857142848</v>
      </c>
      <c r="D214" s="62">
        <f>'B) D RI'!AR216</f>
        <v>763</v>
      </c>
      <c r="E214" s="346">
        <f t="shared" si="31"/>
        <v>52.935991949073198</v>
      </c>
      <c r="F214" s="112">
        <f t="shared" si="34"/>
        <v>1.1504920270052974</v>
      </c>
      <c r="G214" s="116">
        <f t="shared" si="35"/>
        <v>0</v>
      </c>
      <c r="H214" s="116">
        <f t="shared" si="36"/>
        <v>0</v>
      </c>
      <c r="I214" s="116">
        <f t="shared" si="37"/>
        <v>0</v>
      </c>
      <c r="J214" s="116">
        <f t="shared" si="38"/>
        <v>0</v>
      </c>
      <c r="K214" s="116">
        <f t="shared" si="39"/>
        <v>0</v>
      </c>
      <c r="L214" s="350">
        <f t="shared" si="40"/>
        <v>0</v>
      </c>
      <c r="M214" s="164">
        <f>L214*D214*'B) D RI'!S216</f>
        <v>0</v>
      </c>
      <c r="N214" s="18">
        <f>(('B) D RI'!S216*C214)-M214)/'B) D RI'!S216</f>
        <v>40390.161857142848</v>
      </c>
      <c r="O214" s="167">
        <f t="shared" si="32"/>
        <v>52.935991949073198</v>
      </c>
      <c r="P214" s="106">
        <f t="shared" si="33"/>
        <v>1.2070456890915764</v>
      </c>
    </row>
    <row r="215" spans="1:16" x14ac:dyDescent="0.25">
      <c r="A215" s="82">
        <f>'A) Base RI'!A217</f>
        <v>5741</v>
      </c>
      <c r="B215" s="83" t="str">
        <f>'A) Base RI'!B217</f>
        <v>L'Abergement</v>
      </c>
      <c r="C215" s="14">
        <f>'B) D RI'!U217</f>
        <v>5658.7408436213982</v>
      </c>
      <c r="D215" s="62">
        <f>'B) D RI'!AR217</f>
        <v>250</v>
      </c>
      <c r="E215" s="346">
        <f t="shared" si="31"/>
        <v>22.634963374485594</v>
      </c>
      <c r="F215" s="112">
        <f t="shared" si="34"/>
        <v>0.49194024585305857</v>
      </c>
      <c r="G215" s="116">
        <f t="shared" si="35"/>
        <v>0</v>
      </c>
      <c r="H215" s="116">
        <f t="shared" si="36"/>
        <v>0</v>
      </c>
      <c r="I215" s="116">
        <f t="shared" si="37"/>
        <v>0</v>
      </c>
      <c r="J215" s="116">
        <f t="shared" si="38"/>
        <v>0</v>
      </c>
      <c r="K215" s="116">
        <f t="shared" si="39"/>
        <v>0</v>
      </c>
      <c r="L215" s="350">
        <f t="shared" si="40"/>
        <v>0</v>
      </c>
      <c r="M215" s="164">
        <f>L215*D215*'B) D RI'!S217</f>
        <v>0</v>
      </c>
      <c r="N215" s="18">
        <f>(('B) D RI'!S217*C215)-M215)/'B) D RI'!S217</f>
        <v>5658.7408436213982</v>
      </c>
      <c r="O215" s="167">
        <f t="shared" si="32"/>
        <v>22.634963374485594</v>
      </c>
      <c r="P215" s="106">
        <f t="shared" si="33"/>
        <v>0.51612209307805179</v>
      </c>
    </row>
    <row r="216" spans="1:16" x14ac:dyDescent="0.25">
      <c r="A216" s="82">
        <f>'A) Base RI'!A218</f>
        <v>5742</v>
      </c>
      <c r="B216" s="83" t="str">
        <f>'A) Base RI'!B218</f>
        <v>Agiez</v>
      </c>
      <c r="C216" s="14">
        <f>'B) D RI'!U218</f>
        <v>8497.199342105263</v>
      </c>
      <c r="D216" s="62">
        <f>'B) D RI'!AR218</f>
        <v>297</v>
      </c>
      <c r="E216" s="346">
        <f t="shared" si="31"/>
        <v>28.610098794967215</v>
      </c>
      <c r="F216" s="112">
        <f t="shared" si="34"/>
        <v>0.6218017145519823</v>
      </c>
      <c r="G216" s="116">
        <f t="shared" si="35"/>
        <v>0</v>
      </c>
      <c r="H216" s="116">
        <f t="shared" si="36"/>
        <v>0</v>
      </c>
      <c r="I216" s="116">
        <f t="shared" si="37"/>
        <v>0</v>
      </c>
      <c r="J216" s="116">
        <f t="shared" si="38"/>
        <v>0</v>
      </c>
      <c r="K216" s="116">
        <f t="shared" si="39"/>
        <v>0</v>
      </c>
      <c r="L216" s="350">
        <f t="shared" si="40"/>
        <v>0</v>
      </c>
      <c r="M216" s="164">
        <f>L216*D216*'B) D RI'!S218</f>
        <v>0</v>
      </c>
      <c r="N216" s="18">
        <f>(('B) D RI'!S218*C216)-M216)/'B) D RI'!S218</f>
        <v>8497.199342105263</v>
      </c>
      <c r="O216" s="167">
        <f t="shared" si="32"/>
        <v>28.610098794967215</v>
      </c>
      <c r="P216" s="106">
        <f t="shared" si="33"/>
        <v>0.65236704071158713</v>
      </c>
    </row>
    <row r="217" spans="1:16" x14ac:dyDescent="0.25">
      <c r="A217" s="82">
        <f>'A) Base RI'!A219</f>
        <v>5743</v>
      </c>
      <c r="B217" s="83" t="str">
        <f>'A) Base RI'!B219</f>
        <v>Arnex-sur-Orbe</v>
      </c>
      <c r="C217" s="14">
        <f>'B) D RI'!U219</f>
        <v>14235.259246575342</v>
      </c>
      <c r="D217" s="62">
        <f>'B) D RI'!AR219</f>
        <v>615</v>
      </c>
      <c r="E217" s="346">
        <f t="shared" si="31"/>
        <v>23.146763002561531</v>
      </c>
      <c r="F217" s="112">
        <f t="shared" si="34"/>
        <v>0.50306351699327101</v>
      </c>
      <c r="G217" s="116">
        <f t="shared" si="35"/>
        <v>0</v>
      </c>
      <c r="H217" s="116">
        <f t="shared" si="36"/>
        <v>0</v>
      </c>
      <c r="I217" s="116">
        <f t="shared" si="37"/>
        <v>0</v>
      </c>
      <c r="J217" s="116">
        <f t="shared" si="38"/>
        <v>0</v>
      </c>
      <c r="K217" s="116">
        <f t="shared" si="39"/>
        <v>0</v>
      </c>
      <c r="L217" s="350">
        <f t="shared" si="40"/>
        <v>0</v>
      </c>
      <c r="M217" s="164">
        <f>L217*D217*'B) D RI'!S219</f>
        <v>0</v>
      </c>
      <c r="N217" s="18">
        <f>(('B) D RI'!S219*C217)-M217)/'B) D RI'!S219</f>
        <v>14235.259246575342</v>
      </c>
      <c r="O217" s="167">
        <f t="shared" si="32"/>
        <v>23.146763002561531</v>
      </c>
      <c r="P217" s="106">
        <f t="shared" si="33"/>
        <v>0.52779214046928702</v>
      </c>
    </row>
    <row r="218" spans="1:16" x14ac:dyDescent="0.25">
      <c r="A218" s="82">
        <f>'A) Base RI'!A220</f>
        <v>5744</v>
      </c>
      <c r="B218" s="83" t="str">
        <f>'A) Base RI'!B220</f>
        <v>Ballaigues</v>
      </c>
      <c r="C218" s="14">
        <f>'B) D RI'!U220</f>
        <v>99800.089242424234</v>
      </c>
      <c r="D218" s="62">
        <f>'B) D RI'!AR220</f>
        <v>1037</v>
      </c>
      <c r="E218" s="346">
        <f t="shared" si="31"/>
        <v>96.239237456532535</v>
      </c>
      <c r="F218" s="112">
        <f t="shared" si="34"/>
        <v>2.0916293678850915</v>
      </c>
      <c r="G218" s="116">
        <f t="shared" si="35"/>
        <v>41.025303897829701</v>
      </c>
      <c r="H218" s="116">
        <f t="shared" si="36"/>
        <v>27.221820508153996</v>
      </c>
      <c r="I218" s="116">
        <f t="shared" si="37"/>
        <v>4.2160148586944786</v>
      </c>
      <c r="J218" s="116">
        <f t="shared" si="38"/>
        <v>0</v>
      </c>
      <c r="K218" s="116">
        <f t="shared" si="39"/>
        <v>0</v>
      </c>
      <c r="L218" s="350">
        <f t="shared" si="40"/>
        <v>17.912892939903543</v>
      </c>
      <c r="M218" s="164">
        <f>L218*D218*'B) D RI'!S220</f>
        <v>1225994.2185928782</v>
      </c>
      <c r="N218" s="18">
        <f>(('B) D RI'!S220*C218)-M218)/'B) D RI'!S220</f>
        <v>81224.419263744261</v>
      </c>
      <c r="O218" s="167">
        <f t="shared" si="32"/>
        <v>78.326344516628993</v>
      </c>
      <c r="P218" s="106">
        <f t="shared" si="33"/>
        <v>1.7859961249437573</v>
      </c>
    </row>
    <row r="219" spans="1:16" x14ac:dyDescent="0.25">
      <c r="A219" s="82">
        <f>'A) Base RI'!A221</f>
        <v>5745</v>
      </c>
      <c r="B219" s="83" t="str">
        <f>'A) Base RI'!B221</f>
        <v>Baulmes</v>
      </c>
      <c r="C219" s="14">
        <f>'B) D RI'!U221</f>
        <v>27286.676794871797</v>
      </c>
      <c r="D219" s="62">
        <f>'B) D RI'!AR221</f>
        <v>1019</v>
      </c>
      <c r="E219" s="346">
        <f t="shared" si="31"/>
        <v>26.777896756498329</v>
      </c>
      <c r="F219" s="112">
        <f t="shared" si="34"/>
        <v>0.58198128690892936</v>
      </c>
      <c r="G219" s="116">
        <f t="shared" si="35"/>
        <v>0</v>
      </c>
      <c r="H219" s="116">
        <f t="shared" si="36"/>
        <v>0</v>
      </c>
      <c r="I219" s="116">
        <f t="shared" si="37"/>
        <v>0</v>
      </c>
      <c r="J219" s="116">
        <f t="shared" si="38"/>
        <v>0</v>
      </c>
      <c r="K219" s="116">
        <f t="shared" si="39"/>
        <v>0</v>
      </c>
      <c r="L219" s="350">
        <f t="shared" si="40"/>
        <v>0</v>
      </c>
      <c r="M219" s="164">
        <f>L219*D219*'B) D RI'!S221</f>
        <v>0</v>
      </c>
      <c r="N219" s="18">
        <f>(('B) D RI'!S221*C219)-M219)/'B) D RI'!S221</f>
        <v>27286.676794871797</v>
      </c>
      <c r="O219" s="167">
        <f t="shared" si="32"/>
        <v>26.777896756498329</v>
      </c>
      <c r="P219" s="106">
        <f t="shared" si="33"/>
        <v>0.61058919749659113</v>
      </c>
    </row>
    <row r="220" spans="1:16" x14ac:dyDescent="0.25">
      <c r="A220" s="82">
        <f>'A) Base RI'!A222</f>
        <v>5746</v>
      </c>
      <c r="B220" s="83" t="str">
        <f>'A) Base RI'!B222</f>
        <v>Bavois</v>
      </c>
      <c r="C220" s="14">
        <f>'B) D RI'!U222</f>
        <v>24960.640433789951</v>
      </c>
      <c r="D220" s="62">
        <f>'B) D RI'!AR222</f>
        <v>919</v>
      </c>
      <c r="E220" s="346">
        <f t="shared" si="31"/>
        <v>27.160653355592984</v>
      </c>
      <c r="F220" s="112">
        <f t="shared" si="34"/>
        <v>0.59029998274003248</v>
      </c>
      <c r="G220" s="116">
        <f t="shared" si="35"/>
        <v>0</v>
      </c>
      <c r="H220" s="116">
        <f t="shared" si="36"/>
        <v>0</v>
      </c>
      <c r="I220" s="116">
        <f t="shared" si="37"/>
        <v>0</v>
      </c>
      <c r="J220" s="116">
        <f t="shared" si="38"/>
        <v>0</v>
      </c>
      <c r="K220" s="116">
        <f t="shared" si="39"/>
        <v>0</v>
      </c>
      <c r="L220" s="350">
        <f t="shared" si="40"/>
        <v>0</v>
      </c>
      <c r="M220" s="164">
        <f>L220*D220*'B) D RI'!S222</f>
        <v>0</v>
      </c>
      <c r="N220" s="18">
        <f>(('B) D RI'!S222*C220)-M220)/'B) D RI'!S222</f>
        <v>24960.640433789951</v>
      </c>
      <c r="O220" s="167">
        <f t="shared" si="32"/>
        <v>27.160653355592984</v>
      </c>
      <c r="P220" s="106">
        <f t="shared" si="33"/>
        <v>0.61931680768953945</v>
      </c>
    </row>
    <row r="221" spans="1:16" x14ac:dyDescent="0.25">
      <c r="A221" s="82">
        <f>'A) Base RI'!A223</f>
        <v>5747</v>
      </c>
      <c r="B221" s="83" t="str">
        <f>'A) Base RI'!B223</f>
        <v>Bofflens</v>
      </c>
      <c r="C221" s="14">
        <f>'B) D RI'!U223</f>
        <v>5444.2446376811595</v>
      </c>
      <c r="D221" s="62">
        <f>'B) D RI'!AR223</f>
        <v>189</v>
      </c>
      <c r="E221" s="346">
        <f t="shared" si="31"/>
        <v>28.805527183498199</v>
      </c>
      <c r="F221" s="112">
        <f t="shared" si="34"/>
        <v>0.62604908566144779</v>
      </c>
      <c r="G221" s="116">
        <f t="shared" si="35"/>
        <v>0</v>
      </c>
      <c r="H221" s="116">
        <f t="shared" si="36"/>
        <v>0</v>
      </c>
      <c r="I221" s="116">
        <f t="shared" si="37"/>
        <v>0</v>
      </c>
      <c r="J221" s="116">
        <f t="shared" si="38"/>
        <v>0</v>
      </c>
      <c r="K221" s="116">
        <f t="shared" si="39"/>
        <v>0</v>
      </c>
      <c r="L221" s="350">
        <f t="shared" si="40"/>
        <v>0</v>
      </c>
      <c r="M221" s="164">
        <f>L221*D221*'B) D RI'!S223</f>
        <v>0</v>
      </c>
      <c r="N221" s="18">
        <f>(('B) D RI'!S223*C221)-M221)/'B) D RI'!S223</f>
        <v>5444.2446376811595</v>
      </c>
      <c r="O221" s="167">
        <f t="shared" si="32"/>
        <v>28.805527183498199</v>
      </c>
      <c r="P221" s="106">
        <f t="shared" si="33"/>
        <v>0.65682319587591043</v>
      </c>
    </row>
    <row r="222" spans="1:16" x14ac:dyDescent="0.25">
      <c r="A222" s="82">
        <f>'A) Base RI'!A224</f>
        <v>5748</v>
      </c>
      <c r="B222" s="83" t="str">
        <f>'A) Base RI'!B224</f>
        <v>Bretonnières</v>
      </c>
      <c r="C222" s="14">
        <f>'B) D RI'!U224</f>
        <v>4853.6245714285715</v>
      </c>
      <c r="D222" s="62">
        <f>'B) D RI'!AR224</f>
        <v>236</v>
      </c>
      <c r="E222" s="346">
        <f t="shared" si="31"/>
        <v>20.566205811138015</v>
      </c>
      <c r="F222" s="112">
        <f t="shared" si="34"/>
        <v>0.44697860454239702</v>
      </c>
      <c r="G222" s="116">
        <f t="shared" si="35"/>
        <v>0</v>
      </c>
      <c r="H222" s="116">
        <f t="shared" si="36"/>
        <v>0</v>
      </c>
      <c r="I222" s="116">
        <f t="shared" si="37"/>
        <v>0</v>
      </c>
      <c r="J222" s="116">
        <f t="shared" si="38"/>
        <v>0</v>
      </c>
      <c r="K222" s="116">
        <f t="shared" si="39"/>
        <v>0</v>
      </c>
      <c r="L222" s="350">
        <f t="shared" si="40"/>
        <v>0</v>
      </c>
      <c r="M222" s="164">
        <f>L222*D222*'B) D RI'!S224</f>
        <v>0</v>
      </c>
      <c r="N222" s="18">
        <f>(('B) D RI'!S224*C222)-M222)/'B) D RI'!S224</f>
        <v>4853.6245714285715</v>
      </c>
      <c r="O222" s="167">
        <f t="shared" si="32"/>
        <v>20.566205811138015</v>
      </c>
      <c r="P222" s="106">
        <f t="shared" si="33"/>
        <v>0.46895031435675011</v>
      </c>
    </row>
    <row r="223" spans="1:16" x14ac:dyDescent="0.25">
      <c r="A223" s="82">
        <f>'A) Base RI'!A225</f>
        <v>5749</v>
      </c>
      <c r="B223" s="83" t="str">
        <f>'A) Base RI'!B225</f>
        <v>Chavornay</v>
      </c>
      <c r="C223" s="14">
        <f>'B) D RI'!U225</f>
        <v>122489.22791666667</v>
      </c>
      <c r="D223" s="62">
        <f>'B) D RI'!AR225</f>
        <v>4050</v>
      </c>
      <c r="E223" s="346">
        <f t="shared" si="31"/>
        <v>30.244253806584364</v>
      </c>
      <c r="F223" s="112">
        <f t="shared" si="34"/>
        <v>0.65731785853139435</v>
      </c>
      <c r="G223" s="116">
        <f t="shared" si="35"/>
        <v>0</v>
      </c>
      <c r="H223" s="116">
        <f t="shared" si="36"/>
        <v>0</v>
      </c>
      <c r="I223" s="116">
        <f t="shared" si="37"/>
        <v>0</v>
      </c>
      <c r="J223" s="116">
        <f t="shared" si="38"/>
        <v>0</v>
      </c>
      <c r="K223" s="116">
        <f t="shared" si="39"/>
        <v>0</v>
      </c>
      <c r="L223" s="350">
        <f t="shared" si="40"/>
        <v>0</v>
      </c>
      <c r="M223" s="164">
        <f>L223*D223*'B) D RI'!S225</f>
        <v>0</v>
      </c>
      <c r="N223" s="18">
        <f>(('B) D RI'!S225*C223)-M223)/'B) D RI'!S225</f>
        <v>122489.22791666667</v>
      </c>
      <c r="O223" s="167">
        <f t="shared" si="32"/>
        <v>30.244253806584364</v>
      </c>
      <c r="P223" s="106">
        <f t="shared" si="33"/>
        <v>0.68962901861081127</v>
      </c>
    </row>
    <row r="224" spans="1:16" x14ac:dyDescent="0.25">
      <c r="A224" s="82">
        <f>'A) Base RI'!A226</f>
        <v>5750</v>
      </c>
      <c r="B224" s="83" t="str">
        <f>'A) Base RI'!B226</f>
        <v>Les Clées</v>
      </c>
      <c r="C224" s="14">
        <f>'B) D RI'!U226</f>
        <v>4745.5921666666673</v>
      </c>
      <c r="D224" s="62">
        <f>'B) D RI'!AR226</f>
        <v>176</v>
      </c>
      <c r="E224" s="346">
        <f t="shared" si="31"/>
        <v>26.96359185606061</v>
      </c>
      <c r="F224" s="112">
        <f t="shared" si="34"/>
        <v>0.58601711817673463</v>
      </c>
      <c r="G224" s="116">
        <f t="shared" si="35"/>
        <v>0</v>
      </c>
      <c r="H224" s="116">
        <f t="shared" si="36"/>
        <v>0</v>
      </c>
      <c r="I224" s="116">
        <f t="shared" si="37"/>
        <v>0</v>
      </c>
      <c r="J224" s="116">
        <f t="shared" si="38"/>
        <v>0</v>
      </c>
      <c r="K224" s="116">
        <f t="shared" si="39"/>
        <v>0</v>
      </c>
      <c r="L224" s="350">
        <f t="shared" si="40"/>
        <v>0</v>
      </c>
      <c r="M224" s="164">
        <f>L224*D224*'B) D RI'!S226</f>
        <v>0</v>
      </c>
      <c r="N224" s="18">
        <f>(('B) D RI'!S226*C224)-M224)/'B) D RI'!S226</f>
        <v>4745.5921666666673</v>
      </c>
      <c r="O224" s="167">
        <f t="shared" si="32"/>
        <v>26.96359185606061</v>
      </c>
      <c r="P224" s="106">
        <f t="shared" si="33"/>
        <v>0.61482341435282228</v>
      </c>
    </row>
    <row r="225" spans="1:16" x14ac:dyDescent="0.25">
      <c r="A225" s="82">
        <f>'A) Base RI'!A227</f>
        <v>5751</v>
      </c>
      <c r="B225" s="83" t="str">
        <f>'A) Base RI'!B227</f>
        <v>Corcelles-sur-Chavornay</v>
      </c>
      <c r="C225" s="14">
        <f>'B) D RI'!U227</f>
        <v>8378.5938157894743</v>
      </c>
      <c r="D225" s="62">
        <f>'B) D RI'!AR227</f>
        <v>330</v>
      </c>
      <c r="E225" s="346">
        <f t="shared" si="31"/>
        <v>25.389678229665073</v>
      </c>
      <c r="F225" s="112">
        <f t="shared" si="34"/>
        <v>0.55181023904419457</v>
      </c>
      <c r="G225" s="116">
        <f t="shared" si="35"/>
        <v>0</v>
      </c>
      <c r="H225" s="116">
        <f t="shared" si="36"/>
        <v>0</v>
      </c>
      <c r="I225" s="116">
        <f t="shared" si="37"/>
        <v>0</v>
      </c>
      <c r="J225" s="116">
        <f t="shared" si="38"/>
        <v>0</v>
      </c>
      <c r="K225" s="116">
        <f t="shared" si="39"/>
        <v>0</v>
      </c>
      <c r="L225" s="350">
        <f t="shared" si="40"/>
        <v>0</v>
      </c>
      <c r="M225" s="164">
        <f>L225*D225*'B) D RI'!S227</f>
        <v>0</v>
      </c>
      <c r="N225" s="18">
        <f>(('B) D RI'!S227*C225)-M225)/'B) D RI'!S227</f>
        <v>8378.5938157894743</v>
      </c>
      <c r="O225" s="167">
        <f t="shared" si="32"/>
        <v>25.389678229665073</v>
      </c>
      <c r="P225" s="106">
        <f t="shared" si="33"/>
        <v>0.57893505960977898</v>
      </c>
    </row>
    <row r="226" spans="1:16" x14ac:dyDescent="0.25">
      <c r="A226" s="82">
        <f>'A) Base RI'!A228</f>
        <v>5752</v>
      </c>
      <c r="B226" s="83" t="str">
        <f>'A) Base RI'!B228</f>
        <v>Croy</v>
      </c>
      <c r="C226" s="14">
        <f>'B) D RI'!U228</f>
        <v>8127.3322007722018</v>
      </c>
      <c r="D226" s="62">
        <f>'B) D RI'!AR228</f>
        <v>321</v>
      </c>
      <c r="E226" s="346">
        <f t="shared" ref="E226:E272" si="41">C226/D226</f>
        <v>25.318791902717141</v>
      </c>
      <c r="F226" s="112">
        <f t="shared" si="34"/>
        <v>0.55026962081877728</v>
      </c>
      <c r="G226" s="116">
        <f t="shared" si="35"/>
        <v>0</v>
      </c>
      <c r="H226" s="116">
        <f t="shared" si="36"/>
        <v>0</v>
      </c>
      <c r="I226" s="116">
        <f t="shared" si="37"/>
        <v>0</v>
      </c>
      <c r="J226" s="116">
        <f t="shared" si="38"/>
        <v>0</v>
      </c>
      <c r="K226" s="116">
        <f t="shared" si="39"/>
        <v>0</v>
      </c>
      <c r="L226" s="350">
        <f t="shared" si="40"/>
        <v>0</v>
      </c>
      <c r="M226" s="164">
        <f>L226*D226*'B) D RI'!S228</f>
        <v>0</v>
      </c>
      <c r="N226" s="18">
        <f>(('B) D RI'!S228*C226)-M226)/'B) D RI'!S228</f>
        <v>8127.3322007722018</v>
      </c>
      <c r="O226" s="167">
        <f t="shared" si="32"/>
        <v>25.318791902717141</v>
      </c>
      <c r="P226" s="106">
        <f t="shared" si="33"/>
        <v>0.5773187106530927</v>
      </c>
    </row>
    <row r="227" spans="1:16" x14ac:dyDescent="0.25">
      <c r="A227" s="82">
        <f>'A) Base RI'!A229</f>
        <v>5754</v>
      </c>
      <c r="B227" s="83" t="str">
        <f>'A) Base RI'!B229</f>
        <v>Juriens</v>
      </c>
      <c r="C227" s="14">
        <f>'B) D RI'!U229</f>
        <v>6779.1981012658243</v>
      </c>
      <c r="D227" s="62">
        <f>'B) D RI'!AR229</f>
        <v>307</v>
      </c>
      <c r="E227" s="346">
        <f t="shared" si="41"/>
        <v>22.08207850575187</v>
      </c>
      <c r="F227" s="112">
        <f t="shared" si="34"/>
        <v>0.47992404270073136</v>
      </c>
      <c r="G227" s="116">
        <f t="shared" si="35"/>
        <v>0</v>
      </c>
      <c r="H227" s="116">
        <f t="shared" si="36"/>
        <v>0</v>
      </c>
      <c r="I227" s="116">
        <f t="shared" si="37"/>
        <v>0</v>
      </c>
      <c r="J227" s="116">
        <f t="shared" si="38"/>
        <v>0</v>
      </c>
      <c r="K227" s="116">
        <f t="shared" si="39"/>
        <v>0</v>
      </c>
      <c r="L227" s="350">
        <f t="shared" si="40"/>
        <v>0</v>
      </c>
      <c r="M227" s="164">
        <f>L227*D227*'B) D RI'!S229</f>
        <v>0</v>
      </c>
      <c r="N227" s="18">
        <f>(('B) D RI'!S229*C227)-M227)/'B) D RI'!S229</f>
        <v>6779.1981012658243</v>
      </c>
      <c r="O227" s="167">
        <f t="shared" si="32"/>
        <v>22.08207850575187</v>
      </c>
      <c r="P227" s="106">
        <f t="shared" si="33"/>
        <v>0.50351522064972309</v>
      </c>
    </row>
    <row r="228" spans="1:16" x14ac:dyDescent="0.25">
      <c r="A228" s="82">
        <f>'A) Base RI'!A230</f>
        <v>5755</v>
      </c>
      <c r="B228" s="83" t="str">
        <f>'A) Base RI'!B230</f>
        <v>Lignerolle</v>
      </c>
      <c r="C228" s="14">
        <f>'B) D RI'!U230</f>
        <v>8994.3248324514989</v>
      </c>
      <c r="D228" s="62">
        <f>'B) D RI'!AR230</f>
        <v>391</v>
      </c>
      <c r="E228" s="346">
        <f t="shared" si="41"/>
        <v>23.003388318290277</v>
      </c>
      <c r="F228" s="112">
        <f t="shared" si="34"/>
        <v>0.4999474625838784</v>
      </c>
      <c r="G228" s="116">
        <f t="shared" si="35"/>
        <v>0</v>
      </c>
      <c r="H228" s="116">
        <f t="shared" si="36"/>
        <v>0</v>
      </c>
      <c r="I228" s="116">
        <f t="shared" si="37"/>
        <v>0</v>
      </c>
      <c r="J228" s="116">
        <f t="shared" si="38"/>
        <v>0</v>
      </c>
      <c r="K228" s="116">
        <f t="shared" si="39"/>
        <v>0</v>
      </c>
      <c r="L228" s="350">
        <f t="shared" si="40"/>
        <v>0</v>
      </c>
      <c r="M228" s="164">
        <f>L228*D228*'B) D RI'!S230</f>
        <v>0</v>
      </c>
      <c r="N228" s="18">
        <f>(('B) D RI'!S230*C228)-M228)/'B) D RI'!S230</f>
        <v>8994.3248324514989</v>
      </c>
      <c r="O228" s="167">
        <f t="shared" si="32"/>
        <v>23.003388318290277</v>
      </c>
      <c r="P228" s="106">
        <f t="shared" si="33"/>
        <v>0.52452291308348542</v>
      </c>
    </row>
    <row r="229" spans="1:16" x14ac:dyDescent="0.25">
      <c r="A229" s="82">
        <f>'A) Base RI'!A231</f>
        <v>5756</v>
      </c>
      <c r="B229" s="83" t="str">
        <f>'A) Base RI'!B231</f>
        <v>Montcherand</v>
      </c>
      <c r="C229" s="14">
        <f>'B) D RI'!U231</f>
        <v>15693.326135265701</v>
      </c>
      <c r="D229" s="62">
        <f>'B) D RI'!AR231</f>
        <v>471</v>
      </c>
      <c r="E229" s="346">
        <f t="shared" si="41"/>
        <v>33.319163769141618</v>
      </c>
      <c r="F229" s="112">
        <f t="shared" si="34"/>
        <v>0.72414685833713455</v>
      </c>
      <c r="G229" s="116">
        <f t="shared" si="35"/>
        <v>0</v>
      </c>
      <c r="H229" s="116">
        <f t="shared" si="36"/>
        <v>0</v>
      </c>
      <c r="I229" s="116">
        <f t="shared" si="37"/>
        <v>0</v>
      </c>
      <c r="J229" s="116">
        <f t="shared" si="38"/>
        <v>0</v>
      </c>
      <c r="K229" s="116">
        <f t="shared" si="39"/>
        <v>0</v>
      </c>
      <c r="L229" s="350">
        <f t="shared" si="40"/>
        <v>0</v>
      </c>
      <c r="M229" s="164">
        <f>L229*D229*'B) D RI'!S231</f>
        <v>0</v>
      </c>
      <c r="N229" s="18">
        <f>(('B) D RI'!S231*C229)-M229)/'B) D RI'!S231</f>
        <v>15693.326135265701</v>
      </c>
      <c r="O229" s="167">
        <f t="shared" si="32"/>
        <v>33.319163769141618</v>
      </c>
      <c r="P229" s="106">
        <f t="shared" si="33"/>
        <v>0.75974306914603429</v>
      </c>
    </row>
    <row r="230" spans="1:16" x14ac:dyDescent="0.25">
      <c r="A230" s="82">
        <f>'A) Base RI'!A232</f>
        <v>5757</v>
      </c>
      <c r="B230" s="83" t="str">
        <f>'A) Base RI'!B232</f>
        <v>Orbe</v>
      </c>
      <c r="C230" s="14">
        <f>'B) D RI'!U232</f>
        <v>203617.2094202899</v>
      </c>
      <c r="D230" s="62">
        <f>'B) D RI'!AR232</f>
        <v>6738</v>
      </c>
      <c r="E230" s="346">
        <f t="shared" si="41"/>
        <v>30.219235592206871</v>
      </c>
      <c r="F230" s="112">
        <f t="shared" si="34"/>
        <v>0.65677412155563497</v>
      </c>
      <c r="G230" s="116">
        <f t="shared" si="35"/>
        <v>0</v>
      </c>
      <c r="H230" s="116">
        <f t="shared" si="36"/>
        <v>0</v>
      </c>
      <c r="I230" s="116">
        <f t="shared" si="37"/>
        <v>0</v>
      </c>
      <c r="J230" s="116">
        <f t="shared" si="38"/>
        <v>0</v>
      </c>
      <c r="K230" s="116">
        <f t="shared" si="39"/>
        <v>0</v>
      </c>
      <c r="L230" s="350">
        <f t="shared" si="40"/>
        <v>0</v>
      </c>
      <c r="M230" s="164">
        <f>L230*D230*'B) D RI'!S232</f>
        <v>0</v>
      </c>
      <c r="N230" s="18">
        <f>(('B) D RI'!S232*C230)-M230)/'B) D RI'!S232</f>
        <v>203617.2094202899</v>
      </c>
      <c r="O230" s="167">
        <f t="shared" si="32"/>
        <v>30.219235592206871</v>
      </c>
      <c r="P230" s="106">
        <f t="shared" si="33"/>
        <v>0.68905855366434965</v>
      </c>
    </row>
    <row r="231" spans="1:16" x14ac:dyDescent="0.25">
      <c r="A231" s="82">
        <f>'A) Base RI'!A233</f>
        <v>5758</v>
      </c>
      <c r="B231" s="83" t="str">
        <f>'A) Base RI'!B233</f>
        <v>La Praz</v>
      </c>
      <c r="C231" s="14">
        <f>'B) D RI'!U233</f>
        <v>3854.1398125836677</v>
      </c>
      <c r="D231" s="62">
        <f>'B) D RI'!AR233</f>
        <v>156</v>
      </c>
      <c r="E231" s="346">
        <f t="shared" si="41"/>
        <v>24.706024439638895</v>
      </c>
      <c r="F231" s="112">
        <f t="shared" si="34"/>
        <v>0.53695195065292844</v>
      </c>
      <c r="G231" s="116">
        <f t="shared" si="35"/>
        <v>0</v>
      </c>
      <c r="H231" s="116">
        <f t="shared" si="36"/>
        <v>0</v>
      </c>
      <c r="I231" s="116">
        <f t="shared" si="37"/>
        <v>0</v>
      </c>
      <c r="J231" s="116">
        <f t="shared" si="38"/>
        <v>0</v>
      </c>
      <c r="K231" s="116">
        <f t="shared" si="39"/>
        <v>0</v>
      </c>
      <c r="L231" s="350">
        <f t="shared" si="40"/>
        <v>0</v>
      </c>
      <c r="M231" s="164">
        <f>L231*D231*'B) D RI'!S233</f>
        <v>0</v>
      </c>
      <c r="N231" s="18">
        <f>(('B) D RI'!S233*C231)-M231)/'B) D RI'!S233</f>
        <v>3854.1398125836677</v>
      </c>
      <c r="O231" s="167">
        <f t="shared" si="32"/>
        <v>24.706024439638895</v>
      </c>
      <c r="P231" s="106">
        <f t="shared" si="33"/>
        <v>0.56334639621274485</v>
      </c>
    </row>
    <row r="232" spans="1:16" x14ac:dyDescent="0.25">
      <c r="A232" s="82">
        <f>'A) Base RI'!A234</f>
        <v>5759</v>
      </c>
      <c r="B232" s="83" t="str">
        <f>'A) Base RI'!B234</f>
        <v>Premier</v>
      </c>
      <c r="C232" s="14">
        <f>'B) D RI'!U234</f>
        <v>3885.6082716049386</v>
      </c>
      <c r="D232" s="62">
        <f>'B) D RI'!AR234</f>
        <v>182</v>
      </c>
      <c r="E232" s="346">
        <f t="shared" si="41"/>
        <v>21.349495997829333</v>
      </c>
      <c r="F232" s="112">
        <f t="shared" si="34"/>
        <v>0.46400235495188813</v>
      </c>
      <c r="G232" s="116">
        <f t="shared" si="35"/>
        <v>0</v>
      </c>
      <c r="H232" s="116">
        <f t="shared" si="36"/>
        <v>0</v>
      </c>
      <c r="I232" s="116">
        <f t="shared" si="37"/>
        <v>0</v>
      </c>
      <c r="J232" s="116">
        <f t="shared" si="38"/>
        <v>0</v>
      </c>
      <c r="K232" s="116">
        <f t="shared" si="39"/>
        <v>0</v>
      </c>
      <c r="L232" s="350">
        <f t="shared" si="40"/>
        <v>0</v>
      </c>
      <c r="M232" s="164">
        <f>L232*D232*'B) D RI'!S234</f>
        <v>0</v>
      </c>
      <c r="N232" s="18">
        <f>(('B) D RI'!S234*C232)-M232)/'B) D RI'!S234</f>
        <v>3885.6082716049386</v>
      </c>
      <c r="O232" s="167">
        <f t="shared" si="32"/>
        <v>21.349495997829333</v>
      </c>
      <c r="P232" s="106">
        <f t="shared" si="33"/>
        <v>0.48681088536603756</v>
      </c>
    </row>
    <row r="233" spans="1:16" x14ac:dyDescent="0.25">
      <c r="A233" s="82">
        <f>'A) Base RI'!A235</f>
        <v>5760</v>
      </c>
      <c r="B233" s="83" t="str">
        <f>'A) Base RI'!B235</f>
        <v>Rances</v>
      </c>
      <c r="C233" s="14">
        <f>'B) D RI'!U235</f>
        <v>11324.841153846155</v>
      </c>
      <c r="D233" s="62">
        <f>'B) D RI'!AR235</f>
        <v>436</v>
      </c>
      <c r="E233" s="346">
        <f t="shared" si="41"/>
        <v>25.974406316160906</v>
      </c>
      <c r="F233" s="112">
        <f t="shared" si="34"/>
        <v>0.564518511369132</v>
      </c>
      <c r="G233" s="116">
        <f t="shared" si="35"/>
        <v>0</v>
      </c>
      <c r="H233" s="116">
        <f t="shared" si="36"/>
        <v>0</v>
      </c>
      <c r="I233" s="116">
        <f t="shared" si="37"/>
        <v>0</v>
      </c>
      <c r="J233" s="116">
        <f t="shared" si="38"/>
        <v>0</v>
      </c>
      <c r="K233" s="116">
        <f t="shared" si="39"/>
        <v>0</v>
      </c>
      <c r="L233" s="350">
        <f t="shared" si="40"/>
        <v>0</v>
      </c>
      <c r="M233" s="164">
        <f>L233*D233*'B) D RI'!S235</f>
        <v>0</v>
      </c>
      <c r="N233" s="18">
        <f>(('B) D RI'!S235*C233)-M233)/'B) D RI'!S235</f>
        <v>11324.841153846155</v>
      </c>
      <c r="O233" s="167">
        <f t="shared" si="32"/>
        <v>25.974406316160906</v>
      </c>
      <c r="P233" s="106">
        <f t="shared" si="33"/>
        <v>0.59226802060868822</v>
      </c>
    </row>
    <row r="234" spans="1:16" x14ac:dyDescent="0.25">
      <c r="A234" s="82">
        <f>'A) Base RI'!A236</f>
        <v>5761</v>
      </c>
      <c r="B234" s="83" t="str">
        <f>'A) Base RI'!B236</f>
        <v>Romainmôtier-Envy</v>
      </c>
      <c r="C234" s="14">
        <f>'B) D RI'!U236</f>
        <v>12066.350855263157</v>
      </c>
      <c r="D234" s="62">
        <f>'B) D RI'!AR236</f>
        <v>527</v>
      </c>
      <c r="E234" s="346">
        <f t="shared" si="41"/>
        <v>22.896301433136919</v>
      </c>
      <c r="F234" s="112">
        <f t="shared" si="34"/>
        <v>0.49762007429795951</v>
      </c>
      <c r="G234" s="116">
        <f t="shared" si="35"/>
        <v>0</v>
      </c>
      <c r="H234" s="116">
        <f t="shared" si="36"/>
        <v>0</v>
      </c>
      <c r="I234" s="116">
        <f t="shared" si="37"/>
        <v>0</v>
      </c>
      <c r="J234" s="116">
        <f t="shared" si="38"/>
        <v>0</v>
      </c>
      <c r="K234" s="116">
        <f t="shared" si="39"/>
        <v>0</v>
      </c>
      <c r="L234" s="350">
        <f t="shared" si="40"/>
        <v>0</v>
      </c>
      <c r="M234" s="164">
        <f>L234*D234*'B) D RI'!S236</f>
        <v>0</v>
      </c>
      <c r="N234" s="18">
        <f>(('B) D RI'!S236*C234)-M234)/'B) D RI'!S236</f>
        <v>12066.350855263157</v>
      </c>
      <c r="O234" s="167">
        <f t="shared" si="32"/>
        <v>22.896301433136919</v>
      </c>
      <c r="P234" s="106">
        <f t="shared" si="33"/>
        <v>0.52208111954522596</v>
      </c>
    </row>
    <row r="235" spans="1:16" x14ac:dyDescent="0.25">
      <c r="A235" s="82">
        <f>'A) Base RI'!A237</f>
        <v>5762</v>
      </c>
      <c r="B235" s="83" t="str">
        <f>'A) Base RI'!B237</f>
        <v>Sergey</v>
      </c>
      <c r="C235" s="14">
        <f>'B) D RI'!U237</f>
        <v>4226.1104938271601</v>
      </c>
      <c r="D235" s="62">
        <f>'B) D RI'!AR237</f>
        <v>145</v>
      </c>
      <c r="E235" s="346">
        <f t="shared" si="41"/>
        <v>29.145589612601103</v>
      </c>
      <c r="F235" s="112">
        <f t="shared" si="34"/>
        <v>0.63343988158236553</v>
      </c>
      <c r="G235" s="116">
        <f t="shared" si="35"/>
        <v>0</v>
      </c>
      <c r="H235" s="116">
        <f t="shared" si="36"/>
        <v>0</v>
      </c>
      <c r="I235" s="116">
        <f t="shared" si="37"/>
        <v>0</v>
      </c>
      <c r="J235" s="116">
        <f t="shared" si="38"/>
        <v>0</v>
      </c>
      <c r="K235" s="116">
        <f t="shared" si="39"/>
        <v>0</v>
      </c>
      <c r="L235" s="350">
        <f t="shared" si="40"/>
        <v>0</v>
      </c>
      <c r="M235" s="164">
        <f>L235*D235*'B) D RI'!S237</f>
        <v>0</v>
      </c>
      <c r="N235" s="18">
        <f>(('B) D RI'!S237*C235)-M235)/'B) D RI'!S237</f>
        <v>4226.1104938271601</v>
      </c>
      <c r="O235" s="167">
        <f t="shared" si="32"/>
        <v>29.145589612601103</v>
      </c>
      <c r="P235" s="106">
        <f t="shared" si="33"/>
        <v>0.66457729424938683</v>
      </c>
    </row>
    <row r="236" spans="1:16" x14ac:dyDescent="0.25">
      <c r="A236" s="82">
        <f>'A) Base RI'!A238</f>
        <v>5763</v>
      </c>
      <c r="B236" s="83" t="str">
        <f>'A) Base RI'!B238</f>
        <v>Valeyres-sous-Rances</v>
      </c>
      <c r="C236" s="14">
        <f>'B) D RI'!U238</f>
        <v>15753.099264705883</v>
      </c>
      <c r="D236" s="62">
        <f>'B) D RI'!AR238</f>
        <v>584</v>
      </c>
      <c r="E236" s="346">
        <f t="shared" si="41"/>
        <v>26.974485042304593</v>
      </c>
      <c r="F236" s="112">
        <f t="shared" si="34"/>
        <v>0.58625386681336056</v>
      </c>
      <c r="G236" s="116">
        <f t="shared" si="35"/>
        <v>0</v>
      </c>
      <c r="H236" s="116">
        <f t="shared" si="36"/>
        <v>0</v>
      </c>
      <c r="I236" s="116">
        <f t="shared" si="37"/>
        <v>0</v>
      </c>
      <c r="J236" s="116">
        <f t="shared" si="38"/>
        <v>0</v>
      </c>
      <c r="K236" s="116">
        <f t="shared" si="39"/>
        <v>0</v>
      </c>
      <c r="L236" s="350">
        <f t="shared" si="40"/>
        <v>0</v>
      </c>
      <c r="M236" s="164">
        <f>L236*D236*'B) D RI'!S238</f>
        <v>0</v>
      </c>
      <c r="N236" s="18">
        <f>(('B) D RI'!S238*C236)-M236)/'B) D RI'!S238</f>
        <v>15753.099264705883</v>
      </c>
      <c r="O236" s="167">
        <f t="shared" si="32"/>
        <v>26.974485042304593</v>
      </c>
      <c r="P236" s="106">
        <f t="shared" si="33"/>
        <v>0.61507180062107103</v>
      </c>
    </row>
    <row r="237" spans="1:16" x14ac:dyDescent="0.25">
      <c r="A237" s="82">
        <f>'A) Base RI'!A239</f>
        <v>5764</v>
      </c>
      <c r="B237" s="83" t="str">
        <f>'A) Base RI'!B239</f>
        <v>Vallorbe</v>
      </c>
      <c r="C237" s="14">
        <f>'B) D RI'!U239</f>
        <v>79459.361216216217</v>
      </c>
      <c r="D237" s="62">
        <f>'B) D RI'!AR239</f>
        <v>3569</v>
      </c>
      <c r="E237" s="346">
        <f t="shared" si="41"/>
        <v>22.263760497678962</v>
      </c>
      <c r="F237" s="112">
        <f t="shared" si="34"/>
        <v>0.48387265451410122</v>
      </c>
      <c r="G237" s="116">
        <f t="shared" si="35"/>
        <v>0</v>
      </c>
      <c r="H237" s="116">
        <f t="shared" si="36"/>
        <v>0</v>
      </c>
      <c r="I237" s="116">
        <f t="shared" si="37"/>
        <v>0</v>
      </c>
      <c r="J237" s="116">
        <f t="shared" si="38"/>
        <v>0</v>
      </c>
      <c r="K237" s="116">
        <f t="shared" si="39"/>
        <v>0</v>
      </c>
      <c r="L237" s="350">
        <f t="shared" si="40"/>
        <v>0</v>
      </c>
      <c r="M237" s="164">
        <f>L237*D237*'B) D RI'!S239</f>
        <v>0</v>
      </c>
      <c r="N237" s="18">
        <f>(('B) D RI'!S239*C237)-M237)/'B) D RI'!S239</f>
        <v>79459.361216216217</v>
      </c>
      <c r="O237" s="167">
        <f t="shared" si="32"/>
        <v>22.263760497678962</v>
      </c>
      <c r="P237" s="106">
        <f t="shared" si="33"/>
        <v>0.50765793068625442</v>
      </c>
    </row>
    <row r="238" spans="1:16" x14ac:dyDescent="0.25">
      <c r="A238" s="82">
        <f>'A) Base RI'!A240</f>
        <v>5765</v>
      </c>
      <c r="B238" s="83" t="str">
        <f>'A) Base RI'!B240</f>
        <v>Vaulion</v>
      </c>
      <c r="C238" s="14">
        <f>'B) D RI'!U240</f>
        <v>10213.279999999997</v>
      </c>
      <c r="D238" s="62">
        <f>'B) D RI'!AR240</f>
        <v>483</v>
      </c>
      <c r="E238" s="346">
        <f t="shared" si="41"/>
        <v>21.145507246376805</v>
      </c>
      <c r="F238" s="112">
        <f t="shared" si="34"/>
        <v>0.45956893595842374</v>
      </c>
      <c r="G238" s="116">
        <f t="shared" si="35"/>
        <v>0</v>
      </c>
      <c r="H238" s="116">
        <f t="shared" si="36"/>
        <v>0</v>
      </c>
      <c r="I238" s="116">
        <f t="shared" si="37"/>
        <v>0</v>
      </c>
      <c r="J238" s="116">
        <f t="shared" si="38"/>
        <v>0</v>
      </c>
      <c r="K238" s="116">
        <f t="shared" si="39"/>
        <v>0</v>
      </c>
      <c r="L238" s="350">
        <f t="shared" si="40"/>
        <v>0</v>
      </c>
      <c r="M238" s="164">
        <f>L238*D238*'B) D RI'!S240</f>
        <v>0</v>
      </c>
      <c r="N238" s="18">
        <f>(('B) D RI'!S240*C238)-M238)/'B) D RI'!S240</f>
        <v>10213.279999999997</v>
      </c>
      <c r="O238" s="167">
        <f t="shared" si="32"/>
        <v>21.145507246376805</v>
      </c>
      <c r="P238" s="106">
        <f t="shared" si="33"/>
        <v>0.4821595369356384</v>
      </c>
    </row>
    <row r="239" spans="1:16" x14ac:dyDescent="0.25">
      <c r="A239" s="82">
        <f>'A) Base RI'!A241</f>
        <v>5766</v>
      </c>
      <c r="B239" s="83" t="str">
        <f>'A) Base RI'!B241</f>
        <v>Vuiteboeuf</v>
      </c>
      <c r="C239" s="14">
        <f>'B) D RI'!U241</f>
        <v>13186.718497217067</v>
      </c>
      <c r="D239" s="62">
        <f>'B) D RI'!AR241</f>
        <v>516</v>
      </c>
      <c r="E239" s="346">
        <f t="shared" si="41"/>
        <v>25.555656002358656</v>
      </c>
      <c r="F239" s="112">
        <f t="shared" si="34"/>
        <v>0.5554175409405635</v>
      </c>
      <c r="G239" s="116">
        <f t="shared" si="35"/>
        <v>0</v>
      </c>
      <c r="H239" s="116">
        <f t="shared" si="36"/>
        <v>0</v>
      </c>
      <c r="I239" s="116">
        <f t="shared" si="37"/>
        <v>0</v>
      </c>
      <c r="J239" s="116">
        <f t="shared" si="38"/>
        <v>0</v>
      </c>
      <c r="K239" s="116">
        <f t="shared" si="39"/>
        <v>0</v>
      </c>
      <c r="L239" s="350">
        <f t="shared" si="40"/>
        <v>0</v>
      </c>
      <c r="M239" s="164">
        <f>L239*D239*'B) D RI'!S241</f>
        <v>0</v>
      </c>
      <c r="N239" s="18">
        <f>(('B) D RI'!S241*C239)-M239)/'B) D RI'!S241</f>
        <v>13186.718497217067</v>
      </c>
      <c r="O239" s="167">
        <f t="shared" si="32"/>
        <v>25.555656002358656</v>
      </c>
      <c r="P239" s="106">
        <f t="shared" si="33"/>
        <v>0.58271968227648097</v>
      </c>
    </row>
    <row r="240" spans="1:16" x14ac:dyDescent="0.25">
      <c r="A240" s="82">
        <f>'A) Base RI'!A242</f>
        <v>5782</v>
      </c>
      <c r="B240" s="83" t="str">
        <f>'A) Base RI'!B242</f>
        <v>Carrouge</v>
      </c>
      <c r="C240" s="14">
        <f>'B) D RI'!U242</f>
        <v>30558.004133333339</v>
      </c>
      <c r="D240" s="62">
        <f>'B) D RI'!AR242</f>
        <v>1103</v>
      </c>
      <c r="E240" s="346">
        <f t="shared" si="41"/>
        <v>27.704446177092784</v>
      </c>
      <c r="F240" s="112">
        <f t="shared" si="34"/>
        <v>0.60211858257056206</v>
      </c>
      <c r="G240" s="116">
        <f t="shared" si="35"/>
        <v>0</v>
      </c>
      <c r="H240" s="116">
        <f t="shared" si="36"/>
        <v>0</v>
      </c>
      <c r="I240" s="116">
        <f t="shared" si="37"/>
        <v>0</v>
      </c>
      <c r="J240" s="116">
        <f t="shared" si="38"/>
        <v>0</v>
      </c>
      <c r="K240" s="116">
        <f t="shared" si="39"/>
        <v>0</v>
      </c>
      <c r="L240" s="350">
        <f t="shared" si="40"/>
        <v>0</v>
      </c>
      <c r="M240" s="164">
        <f>L240*D240*'B) D RI'!S242</f>
        <v>0</v>
      </c>
      <c r="N240" s="18">
        <f>(('B) D RI'!S242*C240)-M240)/'B) D RI'!S242</f>
        <v>30558.004133333339</v>
      </c>
      <c r="O240" s="167">
        <f t="shared" si="32"/>
        <v>27.704446177092784</v>
      </c>
      <c r="P240" s="106">
        <f t="shared" si="33"/>
        <v>0.63171636339412973</v>
      </c>
    </row>
    <row r="241" spans="1:16" x14ac:dyDescent="0.25">
      <c r="A241" s="82">
        <f>'A) Base RI'!A243</f>
        <v>5785</v>
      </c>
      <c r="B241" s="83" t="str">
        <f>'A) Base RI'!B243</f>
        <v>Corcelles-le-Jorat</v>
      </c>
      <c r="C241" s="14">
        <f>'B) D RI'!U243</f>
        <v>15220.93759493671</v>
      </c>
      <c r="D241" s="62">
        <f>'B) D RI'!AR243</f>
        <v>443</v>
      </c>
      <c r="E241" s="346">
        <f t="shared" si="41"/>
        <v>34.358775609337947</v>
      </c>
      <c r="F241" s="112">
        <f t="shared" si="34"/>
        <v>0.74674141242571856</v>
      </c>
      <c r="G241" s="116">
        <f t="shared" si="35"/>
        <v>0</v>
      </c>
      <c r="H241" s="116">
        <f t="shared" si="36"/>
        <v>0</v>
      </c>
      <c r="I241" s="116">
        <f t="shared" si="37"/>
        <v>0</v>
      </c>
      <c r="J241" s="116">
        <f t="shared" si="38"/>
        <v>0</v>
      </c>
      <c r="K241" s="116">
        <f t="shared" si="39"/>
        <v>0</v>
      </c>
      <c r="L241" s="350">
        <f t="shared" si="40"/>
        <v>0</v>
      </c>
      <c r="M241" s="164">
        <f>L241*D241*'B) D RI'!S243</f>
        <v>0</v>
      </c>
      <c r="N241" s="18">
        <f>(('B) D RI'!S243*C241)-M241)/'B) D RI'!S243</f>
        <v>15220.93759493671</v>
      </c>
      <c r="O241" s="167">
        <f t="shared" si="32"/>
        <v>34.358775609337947</v>
      </c>
      <c r="P241" s="106">
        <f t="shared" si="33"/>
        <v>0.78344828262809707</v>
      </c>
    </row>
    <row r="242" spans="1:16" x14ac:dyDescent="0.25">
      <c r="A242" s="82">
        <f>'A) Base RI'!A244</f>
        <v>5788</v>
      </c>
      <c r="B242" s="83" t="str">
        <f>'A) Base RI'!B244</f>
        <v>Essertes</v>
      </c>
      <c r="C242" s="14">
        <f>'B) D RI'!U244</f>
        <v>9308.1854285714289</v>
      </c>
      <c r="D242" s="62">
        <f>'B) D RI'!AR244</f>
        <v>330</v>
      </c>
      <c r="E242" s="346">
        <f t="shared" si="41"/>
        <v>28.206622510822513</v>
      </c>
      <c r="F242" s="112">
        <f t="shared" si="34"/>
        <v>0.61303270445312974</v>
      </c>
      <c r="G242" s="116">
        <f t="shared" si="35"/>
        <v>0</v>
      </c>
      <c r="H242" s="116">
        <f t="shared" si="36"/>
        <v>0</v>
      </c>
      <c r="I242" s="116">
        <f t="shared" si="37"/>
        <v>0</v>
      </c>
      <c r="J242" s="116">
        <f t="shared" si="38"/>
        <v>0</v>
      </c>
      <c r="K242" s="116">
        <f t="shared" si="39"/>
        <v>0</v>
      </c>
      <c r="L242" s="350">
        <f t="shared" si="40"/>
        <v>0</v>
      </c>
      <c r="M242" s="164">
        <f>L242*D242*'B) D RI'!S244</f>
        <v>0</v>
      </c>
      <c r="N242" s="18">
        <f>(('B) D RI'!S244*C242)-M242)/'B) D RI'!S244</f>
        <v>9308.1854285714289</v>
      </c>
      <c r="O242" s="167">
        <f t="shared" si="32"/>
        <v>28.206622510822513</v>
      </c>
      <c r="P242" s="106">
        <f t="shared" si="33"/>
        <v>0.64316698057299404</v>
      </c>
    </row>
    <row r="243" spans="1:16" x14ac:dyDescent="0.25">
      <c r="A243" s="82">
        <f>'A) Base RI'!A245</f>
        <v>5789</v>
      </c>
      <c r="B243" s="83" t="str">
        <f>'A) Base RI'!B245</f>
        <v>Ferlens</v>
      </c>
      <c r="C243" s="14">
        <f>'B) D RI'!U245</f>
        <v>9496.6311688311671</v>
      </c>
      <c r="D243" s="62">
        <f>'B) D RI'!AR245</f>
        <v>330</v>
      </c>
      <c r="E243" s="346">
        <f t="shared" si="41"/>
        <v>28.777670208579295</v>
      </c>
      <c r="F243" s="112">
        <f t="shared" si="34"/>
        <v>0.62544365207343611</v>
      </c>
      <c r="G243" s="116">
        <f t="shared" si="35"/>
        <v>0</v>
      </c>
      <c r="H243" s="116">
        <f t="shared" si="36"/>
        <v>0</v>
      </c>
      <c r="I243" s="116">
        <f t="shared" si="37"/>
        <v>0</v>
      </c>
      <c r="J243" s="116">
        <f t="shared" si="38"/>
        <v>0</v>
      </c>
      <c r="K243" s="116">
        <f t="shared" si="39"/>
        <v>0</v>
      </c>
      <c r="L243" s="350">
        <f t="shared" si="40"/>
        <v>0</v>
      </c>
      <c r="M243" s="164">
        <f>L243*D243*'B) D RI'!S245</f>
        <v>0</v>
      </c>
      <c r="N243" s="18">
        <f>(('B) D RI'!S245*C243)-M243)/'B) D RI'!S245</f>
        <v>9496.6311688311671</v>
      </c>
      <c r="O243" s="167">
        <f t="shared" si="32"/>
        <v>28.777670208579295</v>
      </c>
      <c r="P243" s="106">
        <f t="shared" si="33"/>
        <v>0.65618800155444867</v>
      </c>
    </row>
    <row r="244" spans="1:16" x14ac:dyDescent="0.25">
      <c r="A244" s="82">
        <f>'A) Base RI'!A246</f>
        <v>5790</v>
      </c>
      <c r="B244" s="83" t="str">
        <f>'A) Base RI'!B246</f>
        <v>Maracon</v>
      </c>
      <c r="C244" s="14">
        <f>'B) D RI'!U246</f>
        <v>11539.028947368422</v>
      </c>
      <c r="D244" s="62">
        <f>'B) D RI'!AR246</f>
        <v>444</v>
      </c>
      <c r="E244" s="346">
        <f t="shared" si="41"/>
        <v>25.988803935514465</v>
      </c>
      <c r="F244" s="112">
        <f t="shared" si="34"/>
        <v>0.56483142410891907</v>
      </c>
      <c r="G244" s="116">
        <f t="shared" si="35"/>
        <v>0</v>
      </c>
      <c r="H244" s="116">
        <f t="shared" si="36"/>
        <v>0</v>
      </c>
      <c r="I244" s="116">
        <f t="shared" si="37"/>
        <v>0</v>
      </c>
      <c r="J244" s="116">
        <f t="shared" si="38"/>
        <v>0</v>
      </c>
      <c r="K244" s="116">
        <f t="shared" si="39"/>
        <v>0</v>
      </c>
      <c r="L244" s="350">
        <f t="shared" si="40"/>
        <v>0</v>
      </c>
      <c r="M244" s="164">
        <f>L244*D244*'B) D RI'!S246</f>
        <v>0</v>
      </c>
      <c r="N244" s="18">
        <f>(('B) D RI'!S246*C244)-M244)/'B) D RI'!S246</f>
        <v>11539.028947368422</v>
      </c>
      <c r="O244" s="167">
        <f t="shared" si="32"/>
        <v>25.988803935514465</v>
      </c>
      <c r="P244" s="106">
        <f t="shared" si="33"/>
        <v>0.59259631490778464</v>
      </c>
    </row>
    <row r="245" spans="1:16" x14ac:dyDescent="0.25">
      <c r="A245" s="82">
        <f>'A) Base RI'!A247</f>
        <v>5791</v>
      </c>
      <c r="B245" s="83" t="str">
        <f>'A) Base RI'!B247</f>
        <v>Mézières</v>
      </c>
      <c r="C245" s="14">
        <f>'B) D RI'!U247</f>
        <v>41636.080964912282</v>
      </c>
      <c r="D245" s="62">
        <f>'B) D RI'!AR247</f>
        <v>1192</v>
      </c>
      <c r="E245" s="346">
        <f t="shared" si="41"/>
        <v>34.929598124926414</v>
      </c>
      <c r="F245" s="112">
        <f t="shared" si="34"/>
        <v>0.75914746601684502</v>
      </c>
      <c r="G245" s="116">
        <f t="shared" si="35"/>
        <v>0</v>
      </c>
      <c r="H245" s="116">
        <f t="shared" si="36"/>
        <v>0</v>
      </c>
      <c r="I245" s="116">
        <f t="shared" si="37"/>
        <v>0</v>
      </c>
      <c r="J245" s="116">
        <f t="shared" si="38"/>
        <v>0</v>
      </c>
      <c r="K245" s="116">
        <f t="shared" si="39"/>
        <v>0</v>
      </c>
      <c r="L245" s="350">
        <f t="shared" si="40"/>
        <v>0</v>
      </c>
      <c r="M245" s="164">
        <f>L245*D245*'B) D RI'!S247</f>
        <v>0</v>
      </c>
      <c r="N245" s="18">
        <f>(('B) D RI'!S247*C245)-M245)/'B) D RI'!S247</f>
        <v>41636.080964912282</v>
      </c>
      <c r="O245" s="167">
        <f t="shared" si="32"/>
        <v>34.929598124926414</v>
      </c>
      <c r="P245" s="106">
        <f t="shared" si="33"/>
        <v>0.79646416900915007</v>
      </c>
    </row>
    <row r="246" spans="1:16" x14ac:dyDescent="0.25">
      <c r="A246" s="82">
        <f>'A) Base RI'!A248</f>
        <v>5792</v>
      </c>
      <c r="B246" s="83" t="str">
        <f>'A) Base RI'!B248</f>
        <v>Montpreveyres</v>
      </c>
      <c r="C246" s="14">
        <f>'B) D RI'!U248</f>
        <v>17052.817341772152</v>
      </c>
      <c r="D246" s="62">
        <f>'B) D RI'!AR248</f>
        <v>597</v>
      </c>
      <c r="E246" s="346">
        <f t="shared" si="41"/>
        <v>28.564183152047157</v>
      </c>
      <c r="F246" s="112">
        <f t="shared" si="34"/>
        <v>0.6208038002946058</v>
      </c>
      <c r="G246" s="116">
        <f t="shared" si="35"/>
        <v>0</v>
      </c>
      <c r="H246" s="116">
        <f t="shared" si="36"/>
        <v>0</v>
      </c>
      <c r="I246" s="116">
        <f t="shared" si="37"/>
        <v>0</v>
      </c>
      <c r="J246" s="116">
        <f t="shared" si="38"/>
        <v>0</v>
      </c>
      <c r="K246" s="116">
        <f t="shared" si="39"/>
        <v>0</v>
      </c>
      <c r="L246" s="350">
        <f t="shared" si="40"/>
        <v>0</v>
      </c>
      <c r="M246" s="164">
        <f>L246*D246*'B) D RI'!S248</f>
        <v>0</v>
      </c>
      <c r="N246" s="18">
        <f>(('B) D RI'!S248*C246)-M246)/'B) D RI'!S248</f>
        <v>17052.817341772152</v>
      </c>
      <c r="O246" s="167">
        <f t="shared" si="32"/>
        <v>28.564183152047157</v>
      </c>
      <c r="P246" s="106">
        <f t="shared" si="33"/>
        <v>0.65132007291504812</v>
      </c>
    </row>
    <row r="247" spans="1:16" x14ac:dyDescent="0.25">
      <c r="A247" s="82">
        <f>'A) Base RI'!A249</f>
        <v>5798</v>
      </c>
      <c r="B247" s="83" t="str">
        <f>'A) Base RI'!B249</f>
        <v>Ropraz</v>
      </c>
      <c r="C247" s="14">
        <f>'B) D RI'!U249</f>
        <v>11308.746838709676</v>
      </c>
      <c r="D247" s="62">
        <f>'B) D RI'!AR249</f>
        <v>409</v>
      </c>
      <c r="E247" s="346">
        <f t="shared" si="41"/>
        <v>27.649747771906299</v>
      </c>
      <c r="F247" s="112">
        <f t="shared" si="34"/>
        <v>0.60092978688090171</v>
      </c>
      <c r="G247" s="116">
        <f t="shared" si="35"/>
        <v>0</v>
      </c>
      <c r="H247" s="116">
        <f t="shared" si="36"/>
        <v>0</v>
      </c>
      <c r="I247" s="116">
        <f t="shared" si="37"/>
        <v>0</v>
      </c>
      <c r="J247" s="116">
        <f t="shared" si="38"/>
        <v>0</v>
      </c>
      <c r="K247" s="116">
        <f t="shared" si="39"/>
        <v>0</v>
      </c>
      <c r="L247" s="350">
        <f t="shared" si="40"/>
        <v>0</v>
      </c>
      <c r="M247" s="164">
        <f>L247*D247*'B) D RI'!S249</f>
        <v>0</v>
      </c>
      <c r="N247" s="18">
        <f>(('B) D RI'!S249*C247)-M247)/'B) D RI'!S249</f>
        <v>11308.746838709676</v>
      </c>
      <c r="O247" s="167">
        <f t="shared" si="32"/>
        <v>27.649747771906299</v>
      </c>
      <c r="P247" s="106">
        <f t="shared" si="33"/>
        <v>0.63046913118501102</v>
      </c>
    </row>
    <row r="248" spans="1:16" x14ac:dyDescent="0.25">
      <c r="A248" s="82">
        <f>'A) Base RI'!A250</f>
        <v>5799</v>
      </c>
      <c r="B248" s="83" t="str">
        <f>'A) Base RI'!B250</f>
        <v>Servion</v>
      </c>
      <c r="C248" s="14">
        <f>'B) D RI'!U250</f>
        <v>68357.530144927528</v>
      </c>
      <c r="D248" s="62">
        <f>'B) D RI'!AR250</f>
        <v>1893</v>
      </c>
      <c r="E248" s="346">
        <f t="shared" si="41"/>
        <v>36.110686817183058</v>
      </c>
      <c r="F248" s="112">
        <f t="shared" si="34"/>
        <v>0.78481682770434569</v>
      </c>
      <c r="G248" s="116">
        <f t="shared" si="35"/>
        <v>0</v>
      </c>
      <c r="H248" s="116">
        <f t="shared" si="36"/>
        <v>0</v>
      </c>
      <c r="I248" s="116">
        <f t="shared" si="37"/>
        <v>0</v>
      </c>
      <c r="J248" s="116">
        <f t="shared" si="38"/>
        <v>0</v>
      </c>
      <c r="K248" s="116">
        <f t="shared" si="39"/>
        <v>0</v>
      </c>
      <c r="L248" s="350">
        <f t="shared" si="40"/>
        <v>0</v>
      </c>
      <c r="M248" s="164">
        <f>L248*D248*'B) D RI'!S250</f>
        <v>0</v>
      </c>
      <c r="N248" s="18">
        <f>(('B) D RI'!S250*C248)-M248)/'B) D RI'!S250</f>
        <v>68357.530144927528</v>
      </c>
      <c r="O248" s="167">
        <f t="shared" si="32"/>
        <v>36.110686817183058</v>
      </c>
      <c r="P248" s="106">
        <f t="shared" si="33"/>
        <v>0.82339533553559785</v>
      </c>
    </row>
    <row r="249" spans="1:16" x14ac:dyDescent="0.25">
      <c r="A249" s="82">
        <f>'A) Base RI'!A251</f>
        <v>5803</v>
      </c>
      <c r="B249" s="83" t="str">
        <f>'A) Base RI'!B251</f>
        <v>Vulliens</v>
      </c>
      <c r="C249" s="14">
        <f>'B) D RI'!U251</f>
        <v>12093.749506172839</v>
      </c>
      <c r="D249" s="62">
        <f>'B) D RI'!AR251</f>
        <v>442</v>
      </c>
      <c r="E249" s="346">
        <f t="shared" si="41"/>
        <v>27.361424222110493</v>
      </c>
      <c r="F249" s="112">
        <f t="shared" si="34"/>
        <v>0.59466346536647607</v>
      </c>
      <c r="G249" s="116">
        <f t="shared" si="35"/>
        <v>0</v>
      </c>
      <c r="H249" s="116">
        <f t="shared" si="36"/>
        <v>0</v>
      </c>
      <c r="I249" s="116">
        <f t="shared" si="37"/>
        <v>0</v>
      </c>
      <c r="J249" s="116">
        <f t="shared" si="38"/>
        <v>0</v>
      </c>
      <c r="K249" s="116">
        <f t="shared" si="39"/>
        <v>0</v>
      </c>
      <c r="L249" s="350">
        <f t="shared" si="40"/>
        <v>0</v>
      </c>
      <c r="M249" s="164">
        <f>L249*D249*'B) D RI'!S251</f>
        <v>0</v>
      </c>
      <c r="N249" s="18">
        <f>(('B) D RI'!S251*C249)-M249)/'B) D RI'!S251</f>
        <v>12093.749506172839</v>
      </c>
      <c r="O249" s="167">
        <f t="shared" si="32"/>
        <v>27.361424222110493</v>
      </c>
      <c r="P249" s="106">
        <f t="shared" si="33"/>
        <v>0.62389478195624026</v>
      </c>
    </row>
    <row r="250" spans="1:16" x14ac:dyDescent="0.25">
      <c r="A250" s="82">
        <f>'A) Base RI'!A252</f>
        <v>5804</v>
      </c>
      <c r="B250" s="83" t="str">
        <f>'A) Base RI'!B252</f>
        <v>Jorat-Menthue</v>
      </c>
      <c r="C250" s="14">
        <f>'B) D RI'!U252</f>
        <v>42711.248333333329</v>
      </c>
      <c r="D250" s="62">
        <f>'B) D RI'!AR252</f>
        <v>1469</v>
      </c>
      <c r="E250" s="346">
        <f>C250/D250</f>
        <v>29.075049920580891</v>
      </c>
      <c r="F250" s="112">
        <f t="shared" si="34"/>
        <v>0.63190679699721719</v>
      </c>
      <c r="G250" s="116">
        <f t="shared" si="35"/>
        <v>0</v>
      </c>
      <c r="H250" s="116">
        <f t="shared" si="36"/>
        <v>0</v>
      </c>
      <c r="I250" s="116">
        <f t="shared" si="37"/>
        <v>0</v>
      </c>
      <c r="J250" s="116">
        <f t="shared" si="38"/>
        <v>0</v>
      </c>
      <c r="K250" s="116">
        <f t="shared" si="39"/>
        <v>0</v>
      </c>
      <c r="L250" s="350">
        <f t="shared" si="40"/>
        <v>0</v>
      </c>
      <c r="M250" s="164">
        <f>L250*D250*'B) D RI'!S252</f>
        <v>0</v>
      </c>
      <c r="N250" s="18">
        <f>(('B) D RI'!S252*C250)-M250)/'B) D RI'!S252</f>
        <v>42711.248333333329</v>
      </c>
      <c r="O250" s="167">
        <f t="shared" si="32"/>
        <v>29.075049920580891</v>
      </c>
      <c r="P250" s="106">
        <f t="shared" si="33"/>
        <v>0.66296884925708821</v>
      </c>
    </row>
    <row r="251" spans="1:16" x14ac:dyDescent="0.25">
      <c r="A251" s="82">
        <f>'A) Base RI'!A253</f>
        <v>5805</v>
      </c>
      <c r="B251" s="83" t="str">
        <f>'A) Base RI'!B253</f>
        <v>Oron</v>
      </c>
      <c r="C251" s="14">
        <f>'B) D RI'!U253</f>
        <v>145299.16422924903</v>
      </c>
      <c r="D251" s="62">
        <f>'B) D RI'!AR253</f>
        <v>5180</v>
      </c>
      <c r="E251" s="346">
        <f>C251/D251</f>
        <v>28.05003170448823</v>
      </c>
      <c r="F251" s="112">
        <f t="shared" si="34"/>
        <v>0.60962941554596728</v>
      </c>
      <c r="G251" s="116">
        <f t="shared" si="35"/>
        <v>0</v>
      </c>
      <c r="H251" s="116">
        <f t="shared" si="36"/>
        <v>0</v>
      </c>
      <c r="I251" s="116">
        <f t="shared" si="37"/>
        <v>0</v>
      </c>
      <c r="J251" s="116">
        <f t="shared" si="38"/>
        <v>0</v>
      </c>
      <c r="K251" s="116">
        <f t="shared" si="39"/>
        <v>0</v>
      </c>
      <c r="L251" s="350">
        <f t="shared" si="40"/>
        <v>0</v>
      </c>
      <c r="M251" s="164">
        <f>L251*D251*'B) D RI'!S253</f>
        <v>0</v>
      </c>
      <c r="N251" s="18">
        <f>(('B) D RI'!S253*C251)-M251)/'B) D RI'!S253</f>
        <v>145299.16422924903</v>
      </c>
      <c r="O251" s="167">
        <f t="shared" si="32"/>
        <v>28.05003170448823</v>
      </c>
      <c r="P251" s="106">
        <f t="shared" si="33"/>
        <v>0.63959639937147417</v>
      </c>
    </row>
    <row r="252" spans="1:16" x14ac:dyDescent="0.25">
      <c r="A252" s="82">
        <f>'A) Base RI'!A254</f>
        <v>5812</v>
      </c>
      <c r="B252" s="83" t="str">
        <f>'A) Base RI'!B254</f>
        <v>Champtauroz</v>
      </c>
      <c r="C252" s="14">
        <f>'B) D RI'!U254</f>
        <v>2756.1429220779223</v>
      </c>
      <c r="D252" s="62">
        <f>'B) D RI'!AR254</f>
        <v>137</v>
      </c>
      <c r="E252" s="346">
        <f>C252/D252</f>
        <v>20.117831548014031</v>
      </c>
      <c r="F252" s="112">
        <f t="shared" si="34"/>
        <v>0.43723379773241433</v>
      </c>
      <c r="G252" s="116">
        <f t="shared" si="35"/>
        <v>0</v>
      </c>
      <c r="H252" s="116">
        <f t="shared" si="36"/>
        <v>0</v>
      </c>
      <c r="I252" s="116">
        <f t="shared" si="37"/>
        <v>0</v>
      </c>
      <c r="J252" s="116">
        <f t="shared" si="38"/>
        <v>0</v>
      </c>
      <c r="K252" s="116">
        <f t="shared" si="39"/>
        <v>0</v>
      </c>
      <c r="L252" s="350">
        <f t="shared" si="40"/>
        <v>0</v>
      </c>
      <c r="M252" s="164">
        <f>L252*D252*'B) D RI'!S254</f>
        <v>0</v>
      </c>
      <c r="N252" s="18">
        <f>(('B) D RI'!S254*C252)-M252)/'B) D RI'!S254</f>
        <v>2756.1429220779223</v>
      </c>
      <c r="O252" s="167">
        <f t="shared" si="32"/>
        <v>20.117831548014031</v>
      </c>
      <c r="P252" s="106">
        <f t="shared" si="33"/>
        <v>0.45872649117942904</v>
      </c>
    </row>
    <row r="253" spans="1:16" x14ac:dyDescent="0.25">
      <c r="A253" s="82">
        <f>'A) Base RI'!A255</f>
        <v>5813</v>
      </c>
      <c r="B253" s="83" t="str">
        <f>'A) Base RI'!B255</f>
        <v>Chevroux</v>
      </c>
      <c r="C253" s="14">
        <f>'B) D RI'!U255</f>
        <v>11438.318904761907</v>
      </c>
      <c r="D253" s="62">
        <f>'B) D RI'!AR255</f>
        <v>418</v>
      </c>
      <c r="E253" s="346">
        <f t="shared" si="41"/>
        <v>27.364399293688773</v>
      </c>
      <c r="F253" s="112">
        <f t="shared" si="34"/>
        <v>0.59472812451433665</v>
      </c>
      <c r="G253" s="116">
        <f t="shared" si="35"/>
        <v>0</v>
      </c>
      <c r="H253" s="116">
        <f t="shared" si="36"/>
        <v>0</v>
      </c>
      <c r="I253" s="116">
        <f t="shared" si="37"/>
        <v>0</v>
      </c>
      <c r="J253" s="116">
        <f t="shared" si="38"/>
        <v>0</v>
      </c>
      <c r="K253" s="116">
        <f t="shared" si="39"/>
        <v>0</v>
      </c>
      <c r="L253" s="350">
        <f t="shared" si="40"/>
        <v>0</v>
      </c>
      <c r="M253" s="164">
        <f>L253*D253*'B) D RI'!S255</f>
        <v>0</v>
      </c>
      <c r="N253" s="18">
        <f>(('B) D RI'!S255*C253)-M253)/'B) D RI'!S255</f>
        <v>11438.318904761907</v>
      </c>
      <c r="O253" s="167">
        <f t="shared" si="32"/>
        <v>27.364399293688773</v>
      </c>
      <c r="P253" s="106">
        <f t="shared" si="33"/>
        <v>0.62396261949344467</v>
      </c>
    </row>
    <row r="254" spans="1:16" x14ac:dyDescent="0.25">
      <c r="A254" s="82">
        <f>'A) Base RI'!A256</f>
        <v>5816</v>
      </c>
      <c r="B254" s="83" t="str">
        <f>'A) Base RI'!B256</f>
        <v>Corcelles-près-Payerne</v>
      </c>
      <c r="C254" s="14">
        <f>'B) D RI'!U256</f>
        <v>51319.201507936508</v>
      </c>
      <c r="D254" s="62">
        <f>'B) D RI'!AR256</f>
        <v>2091</v>
      </c>
      <c r="E254" s="346">
        <f t="shared" si="41"/>
        <v>24.542898856019374</v>
      </c>
      <c r="F254" s="112">
        <f t="shared" si="34"/>
        <v>0.53340663721976567</v>
      </c>
      <c r="G254" s="116">
        <f t="shared" si="35"/>
        <v>0</v>
      </c>
      <c r="H254" s="116">
        <f t="shared" si="36"/>
        <v>0</v>
      </c>
      <c r="I254" s="116">
        <f t="shared" si="37"/>
        <v>0</v>
      </c>
      <c r="J254" s="116">
        <f t="shared" si="38"/>
        <v>0</v>
      </c>
      <c r="K254" s="116">
        <f t="shared" si="39"/>
        <v>0</v>
      </c>
      <c r="L254" s="350">
        <f t="shared" si="40"/>
        <v>0</v>
      </c>
      <c r="M254" s="164">
        <f>L254*D254*'B) D RI'!S256</f>
        <v>0</v>
      </c>
      <c r="N254" s="18">
        <f>(('B) D RI'!S256*C254)-M254)/'B) D RI'!S256</f>
        <v>51319.201507936508</v>
      </c>
      <c r="O254" s="167">
        <f t="shared" si="32"/>
        <v>24.542898856019374</v>
      </c>
      <c r="P254" s="106">
        <f t="shared" si="33"/>
        <v>0.5596268091182417</v>
      </c>
    </row>
    <row r="255" spans="1:16" x14ac:dyDescent="0.25">
      <c r="A255" s="82">
        <f>'A) Base RI'!A257</f>
        <v>5817</v>
      </c>
      <c r="B255" s="83" t="str">
        <f>'A) Base RI'!B257</f>
        <v>Grandcour</v>
      </c>
      <c r="C255" s="14">
        <f>'B) D RI'!U257</f>
        <v>20100.413081761009</v>
      </c>
      <c r="D255" s="62">
        <f>'B) D RI'!AR257</f>
        <v>863</v>
      </c>
      <c r="E255" s="346">
        <f t="shared" si="41"/>
        <v>23.291324544334888</v>
      </c>
      <c r="F255" s="112">
        <f t="shared" si="34"/>
        <v>0.50620536614161304</v>
      </c>
      <c r="G255" s="116">
        <f t="shared" si="35"/>
        <v>0</v>
      </c>
      <c r="H255" s="116">
        <f t="shared" si="36"/>
        <v>0</v>
      </c>
      <c r="I255" s="116">
        <f t="shared" si="37"/>
        <v>0</v>
      </c>
      <c r="J255" s="116">
        <f t="shared" si="38"/>
        <v>0</v>
      </c>
      <c r="K255" s="116">
        <f t="shared" si="39"/>
        <v>0</v>
      </c>
      <c r="L255" s="350">
        <f t="shared" si="40"/>
        <v>0</v>
      </c>
      <c r="M255" s="164">
        <f>L255*D255*'B) D RI'!S257</f>
        <v>0</v>
      </c>
      <c r="N255" s="18">
        <f>(('B) D RI'!S257*C255)-M255)/'B) D RI'!S257</f>
        <v>20100.413081761009</v>
      </c>
      <c r="O255" s="167">
        <f t="shared" si="32"/>
        <v>23.291324544334888</v>
      </c>
      <c r="P255" s="106">
        <f t="shared" si="33"/>
        <v>0.53108843056193011</v>
      </c>
    </row>
    <row r="256" spans="1:16" x14ac:dyDescent="0.25">
      <c r="A256" s="82">
        <f>'A) Base RI'!A258</f>
        <v>5819</v>
      </c>
      <c r="B256" s="83" t="str">
        <f>'A) Base RI'!B258</f>
        <v>Henniez</v>
      </c>
      <c r="C256" s="14">
        <f>'B) D RI'!U258</f>
        <v>9884.2255223880602</v>
      </c>
      <c r="D256" s="62">
        <f>'B) D RI'!AR258</f>
        <v>287</v>
      </c>
      <c r="E256" s="346">
        <f t="shared" si="41"/>
        <v>34.439810182536796</v>
      </c>
      <c r="F256" s="112">
        <f t="shared" si="34"/>
        <v>0.74850258902682476</v>
      </c>
      <c r="G256" s="116">
        <f t="shared" si="35"/>
        <v>0</v>
      </c>
      <c r="H256" s="116">
        <f t="shared" si="36"/>
        <v>0</v>
      </c>
      <c r="I256" s="116">
        <f t="shared" si="37"/>
        <v>0</v>
      </c>
      <c r="J256" s="116">
        <f t="shared" si="38"/>
        <v>0</v>
      </c>
      <c r="K256" s="116">
        <f t="shared" si="39"/>
        <v>0</v>
      </c>
      <c r="L256" s="350">
        <f t="shared" si="40"/>
        <v>0</v>
      </c>
      <c r="M256" s="164">
        <f>L256*D256*'B) D RI'!S258</f>
        <v>0</v>
      </c>
      <c r="N256" s="18">
        <f>(('B) D RI'!S258*C256)-M256)/'B) D RI'!S258</f>
        <v>9884.2255223880602</v>
      </c>
      <c r="O256" s="167">
        <f t="shared" si="32"/>
        <v>34.439810182536796</v>
      </c>
      <c r="P256" s="106">
        <f t="shared" si="33"/>
        <v>0.78529603174255869</v>
      </c>
    </row>
    <row r="257" spans="1:16" x14ac:dyDescent="0.25">
      <c r="A257" s="82">
        <f>'A) Base RI'!A259</f>
        <v>5821</v>
      </c>
      <c r="B257" s="83" t="str">
        <f>'A) Base RI'!B259</f>
        <v>Missy</v>
      </c>
      <c r="C257" s="14">
        <f>'B) D RI'!U259</f>
        <v>7497.2731944444431</v>
      </c>
      <c r="D257" s="62">
        <f>'B) D RI'!AR259</f>
        <v>335</v>
      </c>
      <c r="E257" s="346">
        <f t="shared" si="41"/>
        <v>22.379919983416247</v>
      </c>
      <c r="F257" s="112">
        <f t="shared" si="34"/>
        <v>0.48639722347524111</v>
      </c>
      <c r="G257" s="116">
        <f t="shared" si="35"/>
        <v>0</v>
      </c>
      <c r="H257" s="116">
        <f t="shared" si="36"/>
        <v>0</v>
      </c>
      <c r="I257" s="116">
        <f t="shared" si="37"/>
        <v>0</v>
      </c>
      <c r="J257" s="116">
        <f t="shared" si="38"/>
        <v>0</v>
      </c>
      <c r="K257" s="116">
        <f t="shared" si="39"/>
        <v>0</v>
      </c>
      <c r="L257" s="350">
        <f t="shared" si="40"/>
        <v>0</v>
      </c>
      <c r="M257" s="164">
        <f>L257*D257*'B) D RI'!S259</f>
        <v>0</v>
      </c>
      <c r="N257" s="18">
        <f>(('B) D RI'!S259*C257)-M257)/'B) D RI'!S259</f>
        <v>7497.2731944444431</v>
      </c>
      <c r="O257" s="167">
        <f t="shared" si="32"/>
        <v>22.379919983416247</v>
      </c>
      <c r="P257" s="106">
        <f t="shared" si="33"/>
        <v>0.51030659752603269</v>
      </c>
    </row>
    <row r="258" spans="1:16" x14ac:dyDescent="0.25">
      <c r="A258" s="82">
        <f>'A) Base RI'!A260</f>
        <v>5822</v>
      </c>
      <c r="B258" s="83" t="str">
        <f>'A) Base RI'!B260</f>
        <v>Payerne</v>
      </c>
      <c r="C258" s="14">
        <f>'B) D RI'!U260</f>
        <v>232171.67534246575</v>
      </c>
      <c r="D258" s="62">
        <f>'B) D RI'!AR260</f>
        <v>9207</v>
      </c>
      <c r="E258" s="346">
        <f t="shared" si="41"/>
        <v>25.21686492260951</v>
      </c>
      <c r="F258" s="112">
        <f t="shared" si="34"/>
        <v>0.54805437607445717</v>
      </c>
      <c r="G258" s="116">
        <f t="shared" si="35"/>
        <v>0</v>
      </c>
      <c r="H258" s="116">
        <f t="shared" si="36"/>
        <v>0</v>
      </c>
      <c r="I258" s="116">
        <f t="shared" si="37"/>
        <v>0</v>
      </c>
      <c r="J258" s="116">
        <f t="shared" si="38"/>
        <v>0</v>
      </c>
      <c r="K258" s="116">
        <f t="shared" si="39"/>
        <v>0</v>
      </c>
      <c r="L258" s="350">
        <f t="shared" si="40"/>
        <v>0</v>
      </c>
      <c r="M258" s="164">
        <f>L258*D258*'B) D RI'!S260</f>
        <v>0</v>
      </c>
      <c r="N258" s="18">
        <f>(('B) D RI'!S260*C258)-M258)/'B) D RI'!S260</f>
        <v>232171.67534246575</v>
      </c>
      <c r="O258" s="167">
        <f t="shared" si="32"/>
        <v>25.21686492260951</v>
      </c>
      <c r="P258" s="106">
        <f t="shared" si="33"/>
        <v>0.5749945731917715</v>
      </c>
    </row>
    <row r="259" spans="1:16" x14ac:dyDescent="0.25">
      <c r="A259" s="82">
        <f>'A) Base RI'!A261</f>
        <v>5827</v>
      </c>
      <c r="B259" s="83" t="str">
        <f>'A) Base RI'!B261</f>
        <v>Trey</v>
      </c>
      <c r="C259" s="14">
        <f>'B) D RI'!U261</f>
        <v>6148.4623749999992</v>
      </c>
      <c r="D259" s="62">
        <f>'B) D RI'!AR261</f>
        <v>267</v>
      </c>
      <c r="E259" s="346">
        <f t="shared" si="41"/>
        <v>23.02794897003745</v>
      </c>
      <c r="F259" s="112">
        <f t="shared" si="34"/>
        <v>0.50048125505612218</v>
      </c>
      <c r="G259" s="116">
        <f t="shared" si="35"/>
        <v>0</v>
      </c>
      <c r="H259" s="116">
        <f t="shared" si="36"/>
        <v>0</v>
      </c>
      <c r="I259" s="116">
        <f t="shared" si="37"/>
        <v>0</v>
      </c>
      <c r="J259" s="116">
        <f t="shared" si="38"/>
        <v>0</v>
      </c>
      <c r="K259" s="116">
        <f t="shared" si="39"/>
        <v>0</v>
      </c>
      <c r="L259" s="350">
        <f t="shared" si="40"/>
        <v>0</v>
      </c>
      <c r="M259" s="164">
        <f>L259*D259*'B) D RI'!S261</f>
        <v>0</v>
      </c>
      <c r="N259" s="18">
        <f>(('B) D RI'!S261*C259)-M259)/'B) D RI'!S261</f>
        <v>6148.4623749999992</v>
      </c>
      <c r="O259" s="167">
        <f t="shared" si="32"/>
        <v>23.02794897003745</v>
      </c>
      <c r="P259" s="106">
        <f t="shared" si="33"/>
        <v>0.52508294469375971</v>
      </c>
    </row>
    <row r="260" spans="1:16" x14ac:dyDescent="0.25">
      <c r="A260" s="82">
        <f>'A) Base RI'!A262</f>
        <v>5828</v>
      </c>
      <c r="B260" s="83" t="str">
        <f>'A) Base RI'!B262</f>
        <v>Treytorrens</v>
      </c>
      <c r="C260" s="14">
        <f>'B) D RI'!U262</f>
        <v>2457.9002380952379</v>
      </c>
      <c r="D260" s="62">
        <f>'B) D RI'!AR262</f>
        <v>120</v>
      </c>
      <c r="E260" s="346">
        <f t="shared" si="41"/>
        <v>20.482501984126984</v>
      </c>
      <c r="F260" s="112">
        <f t="shared" si="34"/>
        <v>0.4451594153280215</v>
      </c>
      <c r="G260" s="116">
        <f t="shared" si="35"/>
        <v>0</v>
      </c>
      <c r="H260" s="116">
        <f t="shared" si="36"/>
        <v>0</v>
      </c>
      <c r="I260" s="116">
        <f t="shared" si="37"/>
        <v>0</v>
      </c>
      <c r="J260" s="116">
        <f t="shared" si="38"/>
        <v>0</v>
      </c>
      <c r="K260" s="116">
        <f t="shared" si="39"/>
        <v>0</v>
      </c>
      <c r="L260" s="350">
        <f t="shared" si="40"/>
        <v>0</v>
      </c>
      <c r="M260" s="164">
        <f>L260*D260*'B) D RI'!S262</f>
        <v>0</v>
      </c>
      <c r="N260" s="18">
        <f>(('B) D RI'!S262*C260)-M260)/'B) D RI'!S262</f>
        <v>2457.9002380952379</v>
      </c>
      <c r="O260" s="167">
        <f t="shared" si="32"/>
        <v>20.482501984126984</v>
      </c>
      <c r="P260" s="106">
        <f t="shared" si="33"/>
        <v>0.46704170095716874</v>
      </c>
    </row>
    <row r="261" spans="1:16" x14ac:dyDescent="0.25">
      <c r="A261" s="82">
        <f>'A) Base RI'!A263</f>
        <v>5830</v>
      </c>
      <c r="B261" s="83" t="str">
        <f>'A) Base RI'!B263</f>
        <v>Villarzel</v>
      </c>
      <c r="C261" s="14">
        <f>'B) D RI'!U263</f>
        <v>9888.3237037037015</v>
      </c>
      <c r="D261" s="62">
        <f>'B) D RI'!AR263</f>
        <v>413</v>
      </c>
      <c r="E261" s="346">
        <f t="shared" si="41"/>
        <v>23.942672406062233</v>
      </c>
      <c r="F261" s="112">
        <f t="shared" si="34"/>
        <v>0.52036152897398591</v>
      </c>
      <c r="G261" s="116">
        <f t="shared" si="35"/>
        <v>0</v>
      </c>
      <c r="H261" s="116">
        <f t="shared" si="36"/>
        <v>0</v>
      </c>
      <c r="I261" s="116">
        <f t="shared" si="37"/>
        <v>0</v>
      </c>
      <c r="J261" s="116">
        <f t="shared" si="38"/>
        <v>0</v>
      </c>
      <c r="K261" s="116">
        <f t="shared" si="39"/>
        <v>0</v>
      </c>
      <c r="L261" s="350">
        <f t="shared" si="40"/>
        <v>0</v>
      </c>
      <c r="M261" s="164">
        <f>L261*D261*'B) D RI'!S263</f>
        <v>0</v>
      </c>
      <c r="N261" s="18">
        <f>(('B) D RI'!S263*C261)-M261)/'B) D RI'!S263</f>
        <v>9888.3237037037015</v>
      </c>
      <c r="O261" s="167">
        <f t="shared" ref="O261:O323" si="42">N261/D261</f>
        <v>23.942672406062233</v>
      </c>
      <c r="P261" s="106">
        <f t="shared" ref="P261:P316" si="43">O261/O$323</f>
        <v>0.54594045466971242</v>
      </c>
    </row>
    <row r="262" spans="1:16" x14ac:dyDescent="0.25">
      <c r="A262" s="82">
        <f>'A) Base RI'!A264</f>
        <v>5831</v>
      </c>
      <c r="B262" s="83" t="str">
        <f>'A) Base RI'!B264</f>
        <v>Valbroye</v>
      </c>
      <c r="C262" s="14">
        <f>'B) D RI'!U264</f>
        <v>72189.06751111109</v>
      </c>
      <c r="D262" s="62">
        <f>'B) D RI'!AR264</f>
        <v>2928</v>
      </c>
      <c r="E262" s="346">
        <f>C262/D262</f>
        <v>24.654736171827558</v>
      </c>
      <c r="F262" s="112">
        <f t="shared" ref="F262:F322" si="44">E262/$E$323</f>
        <v>0.53583726967646494</v>
      </c>
      <c r="G262" s="116">
        <f t="shared" ref="G262:G322" si="45">IF(E262-$G$2&lt;0,0,E262-$G$2)</f>
        <v>0</v>
      </c>
      <c r="H262" s="116">
        <f t="shared" ref="H262:H322" si="46">IF(E262-$H$2&lt;0,0,E262-$H$2)</f>
        <v>0</v>
      </c>
      <c r="I262" s="116">
        <f t="shared" ref="I262:I322" si="47">IF(E262-$I$2&lt;0,0,E262-$I$2)</f>
        <v>0</v>
      </c>
      <c r="J262" s="116">
        <f t="shared" ref="J262:J322" si="48">IF(E262-$J$2&lt;0,0,E262-$J$2)</f>
        <v>0</v>
      </c>
      <c r="K262" s="116">
        <f t="shared" ref="K262:K322" si="49">IF(E262&gt;$K$2,E262-$K$2,0)</f>
        <v>0</v>
      </c>
      <c r="L262" s="350">
        <f t="shared" ref="L262:L322" si="50">(G262-H262)*$G$3+(H262-I262)*$H$3+(I262-J262)*$I$3+(K262*$J$3)</f>
        <v>0</v>
      </c>
      <c r="M262" s="164">
        <f>L262*D262*'B) D RI'!S264</f>
        <v>0</v>
      </c>
      <c r="N262" s="18">
        <f>(('B) D RI'!S264*C262)-M262)/'B) D RI'!S264</f>
        <v>72189.06751111109</v>
      </c>
      <c r="O262" s="167">
        <f t="shared" si="42"/>
        <v>24.654736171827558</v>
      </c>
      <c r="P262" s="106">
        <f t="shared" si="43"/>
        <v>0.56217692190456137</v>
      </c>
    </row>
    <row r="263" spans="1:16" x14ac:dyDescent="0.25">
      <c r="A263" s="82">
        <f>'A) Base RI'!A265</f>
        <v>5841</v>
      </c>
      <c r="B263" s="83" t="str">
        <f>'A) Base RI'!B265</f>
        <v>Château-d'Oex</v>
      </c>
      <c r="C263" s="14">
        <f>'B) D RI'!U265</f>
        <v>107402.16457831326</v>
      </c>
      <c r="D263" s="62">
        <f>'B) D RI'!AR265</f>
        <v>3440</v>
      </c>
      <c r="E263" s="346">
        <f>C263/D263</f>
        <v>31.2215594704399</v>
      </c>
      <c r="F263" s="112">
        <f t="shared" si="44"/>
        <v>0.67855827233708288</v>
      </c>
      <c r="G263" s="116">
        <f t="shared" si="45"/>
        <v>0</v>
      </c>
      <c r="H263" s="116">
        <f t="shared" si="46"/>
        <v>0</v>
      </c>
      <c r="I263" s="116">
        <f t="shared" si="47"/>
        <v>0</v>
      </c>
      <c r="J263" s="116">
        <f t="shared" si="48"/>
        <v>0</v>
      </c>
      <c r="K263" s="116">
        <f t="shared" si="49"/>
        <v>0</v>
      </c>
      <c r="L263" s="350">
        <f t="shared" si="50"/>
        <v>0</v>
      </c>
      <c r="M263" s="164">
        <f>L263*D263*'B) D RI'!S265</f>
        <v>0</v>
      </c>
      <c r="N263" s="18">
        <f>(('B) D RI'!S265*C263)-M263)/'B) D RI'!S265</f>
        <v>107402.16457831326</v>
      </c>
      <c r="O263" s="167">
        <f t="shared" si="42"/>
        <v>31.2215594704399</v>
      </c>
      <c r="P263" s="106">
        <f t="shared" si="43"/>
        <v>0.71191352760077198</v>
      </c>
    </row>
    <row r="264" spans="1:16" x14ac:dyDescent="0.25">
      <c r="A264" s="82">
        <f>'A) Base RI'!A266</f>
        <v>5842</v>
      </c>
      <c r="B264" s="83" t="str">
        <f>'A) Base RI'!B266</f>
        <v>Rossinière</v>
      </c>
      <c r="C264" s="14">
        <f>'B) D RI'!U266</f>
        <v>14557.548271604937</v>
      </c>
      <c r="D264" s="62">
        <f>'B) D RI'!AR266</f>
        <v>552</v>
      </c>
      <c r="E264" s="346">
        <f t="shared" si="41"/>
        <v>26.372370057255321</v>
      </c>
      <c r="F264" s="112">
        <f t="shared" si="44"/>
        <v>0.57316771381737941</v>
      </c>
      <c r="G264" s="116">
        <f t="shared" si="45"/>
        <v>0</v>
      </c>
      <c r="H264" s="116">
        <f t="shared" si="46"/>
        <v>0</v>
      </c>
      <c r="I264" s="116">
        <f t="shared" si="47"/>
        <v>0</v>
      </c>
      <c r="J264" s="116">
        <f t="shared" si="48"/>
        <v>0</v>
      </c>
      <c r="K264" s="116">
        <f t="shared" si="49"/>
        <v>0</v>
      </c>
      <c r="L264" s="350">
        <f t="shared" si="50"/>
        <v>0</v>
      </c>
      <c r="M264" s="164">
        <f>L264*D264*'B) D RI'!S266</f>
        <v>0</v>
      </c>
      <c r="N264" s="18">
        <f>(('B) D RI'!S266*C264)-M264)/'B) D RI'!S266</f>
        <v>14557.548271604937</v>
      </c>
      <c r="O264" s="167">
        <f t="shared" si="42"/>
        <v>26.372370057255321</v>
      </c>
      <c r="P264" s="106">
        <f t="shared" si="43"/>
        <v>0.60134238382388772</v>
      </c>
    </row>
    <row r="265" spans="1:16" x14ac:dyDescent="0.25">
      <c r="A265" s="82">
        <f>'A) Base RI'!A267</f>
        <v>5843</v>
      </c>
      <c r="B265" s="83" t="str">
        <f>'A) Base RI'!B267</f>
        <v>Rougemont</v>
      </c>
      <c r="C265" s="14">
        <f>'B) D RI'!U267</f>
        <v>80469.50922705316</v>
      </c>
      <c r="D265" s="62">
        <f>'B) D RI'!AR267</f>
        <v>882</v>
      </c>
      <c r="E265" s="346">
        <f t="shared" si="41"/>
        <v>91.235271232486582</v>
      </c>
      <c r="F265" s="112">
        <f t="shared" si="44"/>
        <v>1.9828749451908461</v>
      </c>
      <c r="G265" s="116">
        <f t="shared" si="45"/>
        <v>36.021337673783748</v>
      </c>
      <c r="H265" s="116">
        <f t="shared" si="46"/>
        <v>22.217854284108043</v>
      </c>
      <c r="I265" s="116">
        <f t="shared" si="47"/>
        <v>0</v>
      </c>
      <c r="J265" s="116">
        <f t="shared" si="48"/>
        <v>0</v>
      </c>
      <c r="K265" s="116">
        <f t="shared" si="49"/>
        <v>0</v>
      </c>
      <c r="L265" s="350">
        <f t="shared" si="50"/>
        <v>15.189466990972953</v>
      </c>
      <c r="M265" s="164">
        <f>L265*D265*'B) D RI'!S267</f>
        <v>924400.58213663194</v>
      </c>
      <c r="N265" s="18">
        <f>(('B) D RI'!S267*C265)-M265)/'B) D RI'!S267</f>
        <v>67072.399341015014</v>
      </c>
      <c r="O265" s="167">
        <f t="shared" si="42"/>
        <v>76.045804241513622</v>
      </c>
      <c r="P265" s="106">
        <f t="shared" si="43"/>
        <v>1.7339952800266361</v>
      </c>
    </row>
    <row r="266" spans="1:16" x14ac:dyDescent="0.25">
      <c r="A266" s="82">
        <f>'A) Base RI'!A268</f>
        <v>5851</v>
      </c>
      <c r="B266" s="83" t="str">
        <f>'A) Base RI'!B268</f>
        <v>Allaman</v>
      </c>
      <c r="C266" s="14">
        <f>'B) D RI'!U268</f>
        <v>24671.087704918031</v>
      </c>
      <c r="D266" s="62">
        <f>'B) D RI'!AR268</f>
        <v>401</v>
      </c>
      <c r="E266" s="346">
        <f t="shared" si="41"/>
        <v>61.523909488573644</v>
      </c>
      <c r="F266" s="112">
        <f t="shared" si="44"/>
        <v>1.3371387732734987</v>
      </c>
      <c r="G266" s="116">
        <f t="shared" si="45"/>
        <v>6.3099759298708094</v>
      </c>
      <c r="H266" s="116">
        <f t="shared" si="46"/>
        <v>0</v>
      </c>
      <c r="I266" s="116">
        <f t="shared" si="47"/>
        <v>0</v>
      </c>
      <c r="J266" s="116">
        <f t="shared" si="48"/>
        <v>0</v>
      </c>
      <c r="K266" s="116">
        <f t="shared" si="49"/>
        <v>0</v>
      </c>
      <c r="L266" s="350">
        <f t="shared" si="50"/>
        <v>2.2715913347534911</v>
      </c>
      <c r="M266" s="164">
        <f>L266*D266*'B) D RI'!S268</f>
        <v>55565.395639405142</v>
      </c>
      <c r="N266" s="18">
        <f>(('B) D RI'!S268*C266)-M266)/'B) D RI'!S268</f>
        <v>23760.179579681881</v>
      </c>
      <c r="O266" s="167">
        <f t="shared" si="42"/>
        <v>59.252318153820148</v>
      </c>
      <c r="P266" s="106">
        <f t="shared" si="43"/>
        <v>1.3510704638359636</v>
      </c>
    </row>
    <row r="267" spans="1:16" x14ac:dyDescent="0.25">
      <c r="A267" s="82">
        <f>'A) Base RI'!A269</f>
        <v>5852</v>
      </c>
      <c r="B267" s="83" t="str">
        <f>'A) Base RI'!B269</f>
        <v>Bursinel</v>
      </c>
      <c r="C267" s="14">
        <f>'B) D RI'!U269</f>
        <v>29914.872845528454</v>
      </c>
      <c r="D267" s="62">
        <f>'B) D RI'!AR269</f>
        <v>471</v>
      </c>
      <c r="E267" s="346">
        <f t="shared" si="41"/>
        <v>63.513530457597568</v>
      </c>
      <c r="F267" s="112">
        <f t="shared" si="44"/>
        <v>1.3803804879810788</v>
      </c>
      <c r="G267" s="116">
        <f t="shared" si="45"/>
        <v>8.299596898894734</v>
      </c>
      <c r="H267" s="116">
        <f t="shared" si="46"/>
        <v>0</v>
      </c>
      <c r="I267" s="116">
        <f t="shared" si="47"/>
        <v>0</v>
      </c>
      <c r="J267" s="116">
        <f t="shared" si="48"/>
        <v>0</v>
      </c>
      <c r="K267" s="116">
        <f t="shared" si="49"/>
        <v>0</v>
      </c>
      <c r="L267" s="350">
        <f t="shared" si="50"/>
        <v>2.9878548836021039</v>
      </c>
      <c r="M267" s="164">
        <f>L267*D267*'B) D RI'!S269</f>
        <v>86547.698485860339</v>
      </c>
      <c r="N267" s="18">
        <f>(('B) D RI'!S269*C267)-M267)/'B) D RI'!S269</f>
        <v>28507.593195351863</v>
      </c>
      <c r="O267" s="167">
        <f t="shared" si="42"/>
        <v>60.525675573995464</v>
      </c>
      <c r="P267" s="106">
        <f t="shared" si="43"/>
        <v>1.3801055405031593</v>
      </c>
    </row>
    <row r="268" spans="1:16" x14ac:dyDescent="0.25">
      <c r="A268" s="82">
        <f>'A) Base RI'!A270</f>
        <v>5853</v>
      </c>
      <c r="B268" s="83" t="str">
        <f>'A) Base RI'!B270</f>
        <v>Bursins</v>
      </c>
      <c r="C268" s="14">
        <f>'B) D RI'!U270</f>
        <v>35670.275774647889</v>
      </c>
      <c r="D268" s="62">
        <f>'B) D RI'!AR270</f>
        <v>764</v>
      </c>
      <c r="E268" s="346">
        <f t="shared" si="41"/>
        <v>46.688842636973675</v>
      </c>
      <c r="F268" s="112">
        <f t="shared" si="44"/>
        <v>1.0147187051036954</v>
      </c>
      <c r="G268" s="116">
        <f t="shared" si="45"/>
        <v>0</v>
      </c>
      <c r="H268" s="116">
        <f t="shared" si="46"/>
        <v>0</v>
      </c>
      <c r="I268" s="116">
        <f t="shared" si="47"/>
        <v>0</v>
      </c>
      <c r="J268" s="116">
        <f t="shared" si="48"/>
        <v>0</v>
      </c>
      <c r="K268" s="116">
        <f t="shared" si="49"/>
        <v>0</v>
      </c>
      <c r="L268" s="350">
        <f t="shared" si="50"/>
        <v>0</v>
      </c>
      <c r="M268" s="164">
        <f>L268*D268*'B) D RI'!S270</f>
        <v>0</v>
      </c>
      <c r="N268" s="18">
        <f>(('B) D RI'!S270*C268)-M268)/'B) D RI'!S270</f>
        <v>35670.275774647889</v>
      </c>
      <c r="O268" s="167">
        <f t="shared" si="42"/>
        <v>46.688842636973675</v>
      </c>
      <c r="P268" s="106">
        <f t="shared" si="43"/>
        <v>1.0645982848087678</v>
      </c>
    </row>
    <row r="269" spans="1:16" x14ac:dyDescent="0.25">
      <c r="A269" s="82">
        <f>'A) Base RI'!A271</f>
        <v>5854</v>
      </c>
      <c r="B269" s="83" t="str">
        <f>'A) Base RI'!B271</f>
        <v>Burtigny</v>
      </c>
      <c r="C269" s="14">
        <f>'B) D RI'!U271</f>
        <v>10927.480438596491</v>
      </c>
      <c r="D269" s="62">
        <f>'B) D RI'!AR271</f>
        <v>371</v>
      </c>
      <c r="E269" s="346">
        <f t="shared" si="41"/>
        <v>29.454125171419111</v>
      </c>
      <c r="F269" s="112">
        <f t="shared" si="44"/>
        <v>0.64014548371426172</v>
      </c>
      <c r="G269" s="116">
        <f t="shared" si="45"/>
        <v>0</v>
      </c>
      <c r="H269" s="116">
        <f t="shared" si="46"/>
        <v>0</v>
      </c>
      <c r="I269" s="116">
        <f t="shared" si="47"/>
        <v>0</v>
      </c>
      <c r="J269" s="116">
        <f t="shared" si="48"/>
        <v>0</v>
      </c>
      <c r="K269" s="116">
        <f t="shared" si="49"/>
        <v>0</v>
      </c>
      <c r="L269" s="350">
        <f t="shared" si="50"/>
        <v>0</v>
      </c>
      <c r="M269" s="164">
        <f>L269*D269*'B) D RI'!S271</f>
        <v>0</v>
      </c>
      <c r="N269" s="18">
        <f>(('B) D RI'!S271*C269)-M269)/'B) D RI'!S271</f>
        <v>10927.480438596491</v>
      </c>
      <c r="O269" s="167">
        <f t="shared" si="42"/>
        <v>29.454125171419111</v>
      </c>
      <c r="P269" s="106">
        <f t="shared" si="43"/>
        <v>0.67161251740268146</v>
      </c>
    </row>
    <row r="270" spans="1:16" x14ac:dyDescent="0.25">
      <c r="A270" s="82">
        <f>'A) Base RI'!A272</f>
        <v>5855</v>
      </c>
      <c r="B270" s="83" t="str">
        <f>'A) Base RI'!B272</f>
        <v>Dully</v>
      </c>
      <c r="C270" s="14">
        <f>'B) D RI'!U272</f>
        <v>80286.552448979593</v>
      </c>
      <c r="D270" s="62">
        <f>'B) D RI'!AR272</f>
        <v>612</v>
      </c>
      <c r="E270" s="346">
        <f t="shared" si="41"/>
        <v>131.18717720421503</v>
      </c>
      <c r="F270" s="112">
        <f t="shared" si="44"/>
        <v>2.8511754642093368</v>
      </c>
      <c r="G270" s="116">
        <f t="shared" si="45"/>
        <v>75.973243645512198</v>
      </c>
      <c r="H270" s="116">
        <f t="shared" si="46"/>
        <v>62.169760255836493</v>
      </c>
      <c r="I270" s="116">
        <f t="shared" si="47"/>
        <v>39.163954606376976</v>
      </c>
      <c r="J270" s="116">
        <f t="shared" si="48"/>
        <v>0</v>
      </c>
      <c r="K270" s="116">
        <f t="shared" si="49"/>
        <v>0</v>
      </c>
      <c r="L270" s="350">
        <f t="shared" si="50"/>
        <v>37.48373919860574</v>
      </c>
      <c r="M270" s="164">
        <f>L270*D270*'B) D RI'!S272</f>
        <v>1124062.3710877888</v>
      </c>
      <c r="N270" s="18">
        <f>(('B) D RI'!S272*C270)-M270)/'B) D RI'!S272</f>
        <v>57346.504059432889</v>
      </c>
      <c r="O270" s="167">
        <f t="shared" si="42"/>
        <v>93.7034380056093</v>
      </c>
      <c r="P270" s="106">
        <f t="shared" si="43"/>
        <v>2.1366243784860393</v>
      </c>
    </row>
    <row r="271" spans="1:16" x14ac:dyDescent="0.25">
      <c r="A271" s="82">
        <f>'A) Base RI'!A273</f>
        <v>5856</v>
      </c>
      <c r="B271" s="83" t="str">
        <f>'A) Base RI'!B273</f>
        <v>Essertines-sur-Rolle</v>
      </c>
      <c r="C271" s="14">
        <f>'B) D RI'!U273</f>
        <v>37372.082975113124</v>
      </c>
      <c r="D271" s="62">
        <f>'B) D RI'!AR273</f>
        <v>698</v>
      </c>
      <c r="E271" s="346">
        <f t="shared" si="41"/>
        <v>53.5416661534572</v>
      </c>
      <c r="F271" s="112">
        <f t="shared" si="44"/>
        <v>1.1636555348087771</v>
      </c>
      <c r="G271" s="116">
        <f t="shared" si="45"/>
        <v>0</v>
      </c>
      <c r="H271" s="116">
        <f t="shared" si="46"/>
        <v>0</v>
      </c>
      <c r="I271" s="116">
        <f t="shared" si="47"/>
        <v>0</v>
      </c>
      <c r="J271" s="116">
        <f t="shared" si="48"/>
        <v>0</v>
      </c>
      <c r="K271" s="116">
        <f t="shared" si="49"/>
        <v>0</v>
      </c>
      <c r="L271" s="350">
        <f t="shared" si="50"/>
        <v>0</v>
      </c>
      <c r="M271" s="164">
        <f>L271*D271*'B) D RI'!S273</f>
        <v>0</v>
      </c>
      <c r="N271" s="18">
        <f>(('B) D RI'!S273*C271)-M271)/'B) D RI'!S273</f>
        <v>37372.082975113124</v>
      </c>
      <c r="O271" s="167">
        <f t="shared" si="42"/>
        <v>53.5416661534572</v>
      </c>
      <c r="P271" s="106">
        <f t="shared" si="43"/>
        <v>1.2208562631542861</v>
      </c>
    </row>
    <row r="272" spans="1:16" x14ac:dyDescent="0.25">
      <c r="A272" s="82">
        <f>'A) Base RI'!A274</f>
        <v>5857</v>
      </c>
      <c r="B272" s="83" t="str">
        <f>'A) Base RI'!B274</f>
        <v>Gilly</v>
      </c>
      <c r="C272" s="14">
        <f>'B) D RI'!U274</f>
        <v>64256.086818181808</v>
      </c>
      <c r="D272" s="62">
        <f>'B) D RI'!AR274</f>
        <v>1074</v>
      </c>
      <c r="E272" s="346">
        <f t="shared" si="41"/>
        <v>59.828758676146933</v>
      </c>
      <c r="F272" s="112">
        <f t="shared" si="44"/>
        <v>1.3002969682470675</v>
      </c>
      <c r="G272" s="116">
        <f t="shared" si="45"/>
        <v>4.6148251174440986</v>
      </c>
      <c r="H272" s="116">
        <f t="shared" si="46"/>
        <v>0</v>
      </c>
      <c r="I272" s="116">
        <f t="shared" si="47"/>
        <v>0</v>
      </c>
      <c r="J272" s="116">
        <f t="shared" si="48"/>
        <v>0</v>
      </c>
      <c r="K272" s="116">
        <f t="shared" si="49"/>
        <v>0</v>
      </c>
      <c r="L272" s="350">
        <f t="shared" si="50"/>
        <v>1.6613370422798754</v>
      </c>
      <c r="M272" s="164">
        <f>L272*D272*'B) D RI'!S274</f>
        <v>117762.21490496669</v>
      </c>
      <c r="N272" s="18">
        <f>(('B) D RI'!S274*C272)-M272)/'B) D RI'!S274</f>
        <v>62471.810834773227</v>
      </c>
      <c r="O272" s="167">
        <f t="shared" si="42"/>
        <v>58.167421633867065</v>
      </c>
      <c r="P272" s="106">
        <f t="shared" si="43"/>
        <v>1.3263326697698841</v>
      </c>
    </row>
    <row r="273" spans="1:16" x14ac:dyDescent="0.25">
      <c r="A273" s="82">
        <f>'A) Base RI'!A275</f>
        <v>5858</v>
      </c>
      <c r="B273" s="83" t="str">
        <f>'A) Base RI'!B275</f>
        <v>Luins</v>
      </c>
      <c r="C273" s="14">
        <f>'B) D RI'!U275</f>
        <v>35566.654611111124</v>
      </c>
      <c r="D273" s="62">
        <f>'B) D RI'!AR275</f>
        <v>608</v>
      </c>
      <c r="E273" s="346">
        <f t="shared" ref="E273:E322" si="51">C273/D273</f>
        <v>58.497787189327504</v>
      </c>
      <c r="F273" s="112">
        <f t="shared" si="44"/>
        <v>1.2713701071951335</v>
      </c>
      <c r="G273" s="116">
        <f t="shared" si="45"/>
        <v>3.2838536306246695</v>
      </c>
      <c r="H273" s="116">
        <f t="shared" si="46"/>
        <v>0</v>
      </c>
      <c r="I273" s="116">
        <f t="shared" si="47"/>
        <v>0</v>
      </c>
      <c r="J273" s="116">
        <f t="shared" si="48"/>
        <v>0</v>
      </c>
      <c r="K273" s="116">
        <f t="shared" si="49"/>
        <v>0</v>
      </c>
      <c r="L273" s="350">
        <f t="shared" si="50"/>
        <v>1.182187307024881</v>
      </c>
      <c r="M273" s="164">
        <f>L273*D273*'B) D RI'!S275</f>
        <v>43126.192960267654</v>
      </c>
      <c r="N273" s="18">
        <f>(('B) D RI'!S275*C273)-M273)/'B) D RI'!S275</f>
        <v>34847.884728439996</v>
      </c>
      <c r="O273" s="167">
        <f t="shared" si="42"/>
        <v>57.315599882302628</v>
      </c>
      <c r="P273" s="106">
        <f t="shared" si="43"/>
        <v>1.3069094430531834</v>
      </c>
    </row>
    <row r="274" spans="1:16" x14ac:dyDescent="0.25">
      <c r="A274" s="82">
        <f>'A) Base RI'!A276</f>
        <v>5859</v>
      </c>
      <c r="B274" s="83" t="str">
        <f>'A) Base RI'!B276</f>
        <v>Mont-sur-Rolle</v>
      </c>
      <c r="C274" s="14">
        <f>'B) D RI'!U276</f>
        <v>135944.39825396828</v>
      </c>
      <c r="D274" s="62">
        <f>'B) D RI'!AR276</f>
        <v>2602</v>
      </c>
      <c r="E274" s="346">
        <f t="shared" si="51"/>
        <v>52.246117699449762</v>
      </c>
      <c r="F274" s="112">
        <f t="shared" si="44"/>
        <v>1.1354985453569022</v>
      </c>
      <c r="G274" s="116">
        <f t="shared" si="45"/>
        <v>0</v>
      </c>
      <c r="H274" s="116">
        <f t="shared" si="46"/>
        <v>0</v>
      </c>
      <c r="I274" s="116">
        <f t="shared" si="47"/>
        <v>0</v>
      </c>
      <c r="J274" s="116">
        <f t="shared" si="48"/>
        <v>0</v>
      </c>
      <c r="K274" s="116">
        <f t="shared" si="49"/>
        <v>0</v>
      </c>
      <c r="L274" s="350">
        <f t="shared" si="50"/>
        <v>0</v>
      </c>
      <c r="M274" s="164">
        <f>L274*D274*'B) D RI'!S276</f>
        <v>0</v>
      </c>
      <c r="N274" s="18">
        <f>(('B) D RI'!S276*C274)-M274)/'B) D RI'!S276</f>
        <v>135944.39825396828</v>
      </c>
      <c r="O274" s="167">
        <f t="shared" si="42"/>
        <v>52.246117699449762</v>
      </c>
      <c r="P274" s="106">
        <f t="shared" si="43"/>
        <v>1.1913151868687342</v>
      </c>
    </row>
    <row r="275" spans="1:16" x14ac:dyDescent="0.25">
      <c r="A275" s="82">
        <f>'A) Base RI'!A277</f>
        <v>5860</v>
      </c>
      <c r="B275" s="83" t="str">
        <f>'A) Base RI'!B277</f>
        <v>Perroy</v>
      </c>
      <c r="C275" s="14">
        <f>'B) D RI'!U277</f>
        <v>70993.86</v>
      </c>
      <c r="D275" s="62">
        <f>'B) D RI'!AR277</f>
        <v>1395</v>
      </c>
      <c r="E275" s="346">
        <f t="shared" si="51"/>
        <v>50.891655913978497</v>
      </c>
      <c r="F275" s="112">
        <f t="shared" si="44"/>
        <v>1.1060611545063217</v>
      </c>
      <c r="G275" s="116">
        <f t="shared" si="45"/>
        <v>0</v>
      </c>
      <c r="H275" s="116">
        <f t="shared" si="46"/>
        <v>0</v>
      </c>
      <c r="I275" s="116">
        <f t="shared" si="47"/>
        <v>0</v>
      </c>
      <c r="J275" s="116">
        <f t="shared" si="48"/>
        <v>0</v>
      </c>
      <c r="K275" s="116">
        <f t="shared" si="49"/>
        <v>0</v>
      </c>
      <c r="L275" s="350">
        <f t="shared" si="50"/>
        <v>0</v>
      </c>
      <c r="M275" s="164">
        <f>L275*D275*'B) D RI'!S277</f>
        <v>0</v>
      </c>
      <c r="N275" s="18">
        <f>(('B) D RI'!S277*C275)-M275)/'B) D RI'!S277</f>
        <v>70993.86</v>
      </c>
      <c r="O275" s="167">
        <f t="shared" si="42"/>
        <v>50.891655913978497</v>
      </c>
      <c r="P275" s="106">
        <f t="shared" si="43"/>
        <v>1.1604307696887328</v>
      </c>
    </row>
    <row r="276" spans="1:16" x14ac:dyDescent="0.25">
      <c r="A276" s="82">
        <f>'A) Base RI'!A278</f>
        <v>5861</v>
      </c>
      <c r="B276" s="83" t="str">
        <f>'A) Base RI'!B278</f>
        <v>Rolle</v>
      </c>
      <c r="C276" s="14">
        <f>'B) D RI'!U278</f>
        <v>356530.16436974786</v>
      </c>
      <c r="D276" s="62">
        <f>'B) D RI'!AR278</f>
        <v>5900</v>
      </c>
      <c r="E276" s="346">
        <f t="shared" si="51"/>
        <v>60.42884141860133</v>
      </c>
      <c r="F276" s="112">
        <f t="shared" si="44"/>
        <v>1.3133389532050797</v>
      </c>
      <c r="G276" s="116">
        <f t="shared" si="45"/>
        <v>5.2149078598984957</v>
      </c>
      <c r="H276" s="116">
        <f t="shared" si="46"/>
        <v>0</v>
      </c>
      <c r="I276" s="116">
        <f t="shared" si="47"/>
        <v>0</v>
      </c>
      <c r="J276" s="116">
        <f t="shared" si="48"/>
        <v>0</v>
      </c>
      <c r="K276" s="116">
        <f t="shared" si="49"/>
        <v>0</v>
      </c>
      <c r="L276" s="350">
        <f t="shared" si="50"/>
        <v>1.8773668295634585</v>
      </c>
      <c r="M276" s="164">
        <f>L276*D276*'B) D RI'!S278</f>
        <v>659049.62551825203</v>
      </c>
      <c r="N276" s="18">
        <f>(('B) D RI'!S278*C276)-M276)/'B) D RI'!S278</f>
        <v>345453.70007532346</v>
      </c>
      <c r="O276" s="167">
        <f t="shared" si="42"/>
        <v>58.551474589037873</v>
      </c>
      <c r="P276" s="106">
        <f t="shared" si="43"/>
        <v>1.3350898394545059</v>
      </c>
    </row>
    <row r="277" spans="1:16" x14ac:dyDescent="0.25">
      <c r="A277" s="82">
        <f>'A) Base RI'!A279</f>
        <v>5862</v>
      </c>
      <c r="B277" s="83" t="str">
        <f>'A) Base RI'!B279</f>
        <v>Tartegnin</v>
      </c>
      <c r="C277" s="14">
        <f>'B) D RI'!U279</f>
        <v>7735.2980158730161</v>
      </c>
      <c r="D277" s="62">
        <f>'B) D RI'!AR279</f>
        <v>228</v>
      </c>
      <c r="E277" s="346">
        <f t="shared" si="51"/>
        <v>33.926745683653579</v>
      </c>
      <c r="F277" s="112">
        <f t="shared" si="44"/>
        <v>0.73735182763422669</v>
      </c>
      <c r="G277" s="116">
        <f t="shared" si="45"/>
        <v>0</v>
      </c>
      <c r="H277" s="116">
        <f t="shared" si="46"/>
        <v>0</v>
      </c>
      <c r="I277" s="116">
        <f t="shared" si="47"/>
        <v>0</v>
      </c>
      <c r="J277" s="116">
        <f t="shared" si="48"/>
        <v>0</v>
      </c>
      <c r="K277" s="116">
        <f t="shared" si="49"/>
        <v>0</v>
      </c>
      <c r="L277" s="350">
        <f t="shared" si="50"/>
        <v>0</v>
      </c>
      <c r="M277" s="164">
        <f>L277*D277*'B) D RI'!S279</f>
        <v>0</v>
      </c>
      <c r="N277" s="18">
        <f>(('B) D RI'!S279*C277)-M277)/'B) D RI'!S279</f>
        <v>7735.2980158730161</v>
      </c>
      <c r="O277" s="167">
        <f t="shared" si="42"/>
        <v>33.926745683653579</v>
      </c>
      <c r="P277" s="106">
        <f t="shared" si="43"/>
        <v>0.77359714278627534</v>
      </c>
    </row>
    <row r="278" spans="1:16" x14ac:dyDescent="0.25">
      <c r="A278" s="82">
        <f>'A) Base RI'!A280</f>
        <v>5863</v>
      </c>
      <c r="B278" s="83" t="str">
        <f>'A) Base RI'!B280</f>
        <v>Vinzel</v>
      </c>
      <c r="C278" s="14">
        <f>'B) D RI'!U280</f>
        <v>21110.455753424656</v>
      </c>
      <c r="D278" s="62">
        <f>'B) D RI'!AR280</f>
        <v>352</v>
      </c>
      <c r="E278" s="346">
        <f t="shared" si="51"/>
        <v>59.972885663138229</v>
      </c>
      <c r="F278" s="112">
        <f t="shared" si="44"/>
        <v>1.3034293729362876</v>
      </c>
      <c r="G278" s="116">
        <f t="shared" si="45"/>
        <v>4.7589521044353944</v>
      </c>
      <c r="H278" s="116">
        <f t="shared" si="46"/>
        <v>0</v>
      </c>
      <c r="I278" s="116">
        <f t="shared" si="47"/>
        <v>0</v>
      </c>
      <c r="J278" s="116">
        <f t="shared" si="48"/>
        <v>0</v>
      </c>
      <c r="K278" s="116">
        <f t="shared" si="49"/>
        <v>0</v>
      </c>
      <c r="L278" s="350">
        <f t="shared" si="50"/>
        <v>1.713222757596742</v>
      </c>
      <c r="M278" s="164">
        <f>L278*D278*'B) D RI'!S280</f>
        <v>44022.971979205882</v>
      </c>
      <c r="N278" s="18">
        <f>(('B) D RI'!S280*C278)-M278)/'B) D RI'!S280</f>
        <v>20507.4013427506</v>
      </c>
      <c r="O278" s="167">
        <f t="shared" si="42"/>
        <v>58.259662905541475</v>
      </c>
      <c r="P278" s="106">
        <f t="shared" si="43"/>
        <v>1.3284359538537647</v>
      </c>
    </row>
    <row r="279" spans="1:16" x14ac:dyDescent="0.25">
      <c r="A279" s="82">
        <f>'A) Base RI'!A281</f>
        <v>5871</v>
      </c>
      <c r="B279" s="83" t="str">
        <f>'A) Base RI'!B281</f>
        <v>L'Abbaye</v>
      </c>
      <c r="C279" s="14">
        <f>'B) D RI'!U281</f>
        <v>60910.131722525337</v>
      </c>
      <c r="D279" s="62">
        <f>'B) D RI'!AR281</f>
        <v>1433</v>
      </c>
      <c r="E279" s="346">
        <f t="shared" si="51"/>
        <v>42.505325696109793</v>
      </c>
      <c r="F279" s="112">
        <f t="shared" si="44"/>
        <v>0.92379563540971643</v>
      </c>
      <c r="G279" s="116">
        <f t="shared" si="45"/>
        <v>0</v>
      </c>
      <c r="H279" s="116">
        <f t="shared" si="46"/>
        <v>0</v>
      </c>
      <c r="I279" s="116">
        <f t="shared" si="47"/>
        <v>0</v>
      </c>
      <c r="J279" s="116">
        <f t="shared" si="48"/>
        <v>0</v>
      </c>
      <c r="K279" s="116">
        <f t="shared" si="49"/>
        <v>0</v>
      </c>
      <c r="L279" s="350">
        <f t="shared" si="50"/>
        <v>0</v>
      </c>
      <c r="M279" s="164">
        <f>L279*D279*'B) D RI'!S281</f>
        <v>0</v>
      </c>
      <c r="N279" s="18">
        <f>(('B) D RI'!S281*C279)-M279)/'B) D RI'!S281</f>
        <v>60910.131722525337</v>
      </c>
      <c r="O279" s="167">
        <f t="shared" si="42"/>
        <v>42.505325696109793</v>
      </c>
      <c r="P279" s="106">
        <f t="shared" si="43"/>
        <v>0.9692057946941145</v>
      </c>
    </row>
    <row r="280" spans="1:16" x14ac:dyDescent="0.25">
      <c r="A280" s="82">
        <f>'A) Base RI'!A282</f>
        <v>5872</v>
      </c>
      <c r="B280" s="83" t="str">
        <f>'A) Base RI'!B282</f>
        <v>Le Chenit</v>
      </c>
      <c r="C280" s="14">
        <f>'B) D RI'!U282</f>
        <v>373754.29606892174</v>
      </c>
      <c r="D280" s="62">
        <f>'B) D RI'!AR282</f>
        <v>4496</v>
      </c>
      <c r="E280" s="346">
        <f t="shared" si="51"/>
        <v>83.13040392992032</v>
      </c>
      <c r="F280" s="112">
        <f t="shared" si="44"/>
        <v>1.8067266410179672</v>
      </c>
      <c r="G280" s="116">
        <f t="shared" si="45"/>
        <v>27.916470371217486</v>
      </c>
      <c r="H280" s="116">
        <f t="shared" si="46"/>
        <v>14.112986981541781</v>
      </c>
      <c r="I280" s="116">
        <f t="shared" si="47"/>
        <v>0</v>
      </c>
      <c r="J280" s="116">
        <f t="shared" si="48"/>
        <v>0</v>
      </c>
      <c r="K280" s="116">
        <f t="shared" si="49"/>
        <v>0</v>
      </c>
      <c r="L280" s="350">
        <f t="shared" si="50"/>
        <v>11.461228031792473</v>
      </c>
      <c r="M280" s="164">
        <f>L280*D280*'B) D RI'!S282</f>
        <v>3597287.0467318487</v>
      </c>
      <c r="N280" s="18">
        <f>(('B) D RI'!S282*C280)-M280)/'B) D RI'!S282</f>
        <v>322224.61483798281</v>
      </c>
      <c r="O280" s="167">
        <f t="shared" si="42"/>
        <v>71.669175898127847</v>
      </c>
      <c r="P280" s="106">
        <f t="shared" si="43"/>
        <v>1.6341994666276525</v>
      </c>
    </row>
    <row r="281" spans="1:16" x14ac:dyDescent="0.25">
      <c r="A281" s="82">
        <f>'A) Base RI'!A283</f>
        <v>5873</v>
      </c>
      <c r="B281" s="83" t="str">
        <f>'A) Base RI'!B283</f>
        <v>Le Lieu</v>
      </c>
      <c r="C281" s="14">
        <f>'B) D RI'!U283</f>
        <v>39370.007846153843</v>
      </c>
      <c r="D281" s="62">
        <f>'B) D RI'!AR283</f>
        <v>856</v>
      </c>
      <c r="E281" s="346">
        <f t="shared" si="51"/>
        <v>45.992999820273184</v>
      </c>
      <c r="F281" s="112">
        <f t="shared" si="44"/>
        <v>0.99959550474064185</v>
      </c>
      <c r="G281" s="116">
        <f t="shared" si="45"/>
        <v>0</v>
      </c>
      <c r="H281" s="116">
        <f t="shared" si="46"/>
        <v>0</v>
      </c>
      <c r="I281" s="116">
        <f t="shared" si="47"/>
        <v>0</v>
      </c>
      <c r="J281" s="116">
        <f t="shared" si="48"/>
        <v>0</v>
      </c>
      <c r="K281" s="116">
        <f t="shared" si="49"/>
        <v>0</v>
      </c>
      <c r="L281" s="350">
        <f t="shared" si="50"/>
        <v>0</v>
      </c>
      <c r="M281" s="164">
        <f>L281*D281*'B) D RI'!S283</f>
        <v>0</v>
      </c>
      <c r="N281" s="18">
        <f>(('B) D RI'!S283*C281)-M281)/'B) D RI'!S283</f>
        <v>39370.007846153843</v>
      </c>
      <c r="O281" s="167">
        <f t="shared" si="42"/>
        <v>45.992999820273184</v>
      </c>
      <c r="P281" s="106">
        <f t="shared" si="43"/>
        <v>1.0487316874095596</v>
      </c>
    </row>
    <row r="282" spans="1:16" x14ac:dyDescent="0.25">
      <c r="A282" s="82">
        <f>'A) Base RI'!A284</f>
        <v>5881</v>
      </c>
      <c r="B282" s="83" t="str">
        <f>'A) Base RI'!B284</f>
        <v>Blonay</v>
      </c>
      <c r="C282" s="14">
        <f>'B) D RI'!U284</f>
        <v>331887.5422222222</v>
      </c>
      <c r="D282" s="62">
        <f>'B) D RI'!AR284</f>
        <v>6110</v>
      </c>
      <c r="E282" s="346">
        <f t="shared" si="51"/>
        <v>54.318746681214762</v>
      </c>
      <c r="F282" s="112">
        <f t="shared" si="44"/>
        <v>1.1805443266989195</v>
      </c>
      <c r="G282" s="116">
        <f t="shared" si="45"/>
        <v>0</v>
      </c>
      <c r="H282" s="116">
        <f t="shared" si="46"/>
        <v>0</v>
      </c>
      <c r="I282" s="116">
        <f t="shared" si="47"/>
        <v>0</v>
      </c>
      <c r="J282" s="116">
        <f t="shared" si="48"/>
        <v>0</v>
      </c>
      <c r="K282" s="116">
        <f t="shared" si="49"/>
        <v>0</v>
      </c>
      <c r="L282" s="350">
        <f t="shared" si="50"/>
        <v>0</v>
      </c>
      <c r="M282" s="164">
        <f>L282*D282*'B) D RI'!S284</f>
        <v>0</v>
      </c>
      <c r="N282" s="18">
        <f>(('B) D RI'!S284*C282)-M282)/'B) D RI'!S284</f>
        <v>331887.5422222222</v>
      </c>
      <c r="O282" s="167">
        <f t="shared" si="42"/>
        <v>54.318746681214762</v>
      </c>
      <c r="P282" s="106">
        <f t="shared" si="43"/>
        <v>1.2385752416143316</v>
      </c>
    </row>
    <row r="283" spans="1:16" x14ac:dyDescent="0.25">
      <c r="A283" s="82">
        <f>'A) Base RI'!A285</f>
        <v>5882</v>
      </c>
      <c r="B283" s="83" t="str">
        <f>'A) Base RI'!B285</f>
        <v>Chardonne</v>
      </c>
      <c r="C283" s="14">
        <f>'B) D RI'!U285</f>
        <v>161225.34606060604</v>
      </c>
      <c r="D283" s="62">
        <f>'B) D RI'!AR285</f>
        <v>2835</v>
      </c>
      <c r="E283" s="346">
        <f t="shared" si="51"/>
        <v>56.869610603388374</v>
      </c>
      <c r="F283" s="112">
        <f t="shared" si="44"/>
        <v>1.235983896193708</v>
      </c>
      <c r="G283" s="116">
        <f t="shared" si="45"/>
        <v>1.6556770446855396</v>
      </c>
      <c r="H283" s="116">
        <f t="shared" si="46"/>
        <v>0</v>
      </c>
      <c r="I283" s="116">
        <f t="shared" si="47"/>
        <v>0</v>
      </c>
      <c r="J283" s="116">
        <f t="shared" si="48"/>
        <v>0</v>
      </c>
      <c r="K283" s="116">
        <f t="shared" si="49"/>
        <v>0</v>
      </c>
      <c r="L283" s="350">
        <f t="shared" si="50"/>
        <v>0.59604373608679417</v>
      </c>
      <c r="M283" s="164">
        <f>L283*D283*'B) D RI'!S285</f>
        <v>111525.74345920006</v>
      </c>
      <c r="N283" s="18">
        <f>(('B) D RI'!S285*C283)-M283)/'B) D RI'!S285</f>
        <v>159535.56206879998</v>
      </c>
      <c r="O283" s="167">
        <f t="shared" si="42"/>
        <v>56.273566867301582</v>
      </c>
      <c r="P283" s="106">
        <f t="shared" si="43"/>
        <v>1.283149021979783</v>
      </c>
    </row>
    <row r="284" spans="1:16" x14ac:dyDescent="0.25">
      <c r="A284" s="82">
        <f>'A) Base RI'!A286</f>
        <v>5883</v>
      </c>
      <c r="B284" s="83" t="str">
        <f>'A) Base RI'!B286</f>
        <v>Corseaux</v>
      </c>
      <c r="C284" s="14">
        <f>'B) D RI'!U286</f>
        <v>159212.38328124999</v>
      </c>
      <c r="D284" s="62">
        <f>'B) D RI'!AR286</f>
        <v>2172</v>
      </c>
      <c r="E284" s="346">
        <f t="shared" si="51"/>
        <v>73.302202247352668</v>
      </c>
      <c r="F284" s="112">
        <f t="shared" si="44"/>
        <v>1.5931240001819886</v>
      </c>
      <c r="G284" s="116">
        <f t="shared" si="45"/>
        <v>18.088268688649833</v>
      </c>
      <c r="H284" s="116">
        <f t="shared" si="46"/>
        <v>4.2847852989741284</v>
      </c>
      <c r="I284" s="116">
        <f t="shared" si="47"/>
        <v>0</v>
      </c>
      <c r="J284" s="116">
        <f t="shared" si="48"/>
        <v>0</v>
      </c>
      <c r="K284" s="116">
        <f t="shared" si="49"/>
        <v>0</v>
      </c>
      <c r="L284" s="350">
        <f t="shared" si="50"/>
        <v>6.9402552578113532</v>
      </c>
      <c r="M284" s="164">
        <f>L284*D284*'B) D RI'!S286</f>
        <v>964751.00287784054</v>
      </c>
      <c r="N284" s="18">
        <f>(('B) D RI'!S286*C284)-M284)/'B) D RI'!S286</f>
        <v>144138.14886128373</v>
      </c>
      <c r="O284" s="167">
        <f t="shared" si="42"/>
        <v>66.361946989541309</v>
      </c>
      <c r="P284" s="106">
        <f t="shared" si="43"/>
        <v>1.5131841131929895</v>
      </c>
    </row>
    <row r="285" spans="1:16" x14ac:dyDescent="0.25">
      <c r="A285" s="82">
        <f>'A) Base RI'!A287</f>
        <v>5884</v>
      </c>
      <c r="B285" s="83" t="str">
        <f>'A) Base RI'!B287</f>
        <v>Corsier-sur-Vevey</v>
      </c>
      <c r="C285" s="14">
        <f>'B) D RI'!U287</f>
        <v>121405.28277777777</v>
      </c>
      <c r="D285" s="62">
        <f>'B) D RI'!AR287</f>
        <v>3393</v>
      </c>
      <c r="E285" s="346">
        <f t="shared" si="51"/>
        <v>35.781103088057108</v>
      </c>
      <c r="F285" s="112">
        <f t="shared" si="44"/>
        <v>0.77765377212290177</v>
      </c>
      <c r="G285" s="116">
        <f t="shared" si="45"/>
        <v>0</v>
      </c>
      <c r="H285" s="116">
        <f t="shared" si="46"/>
        <v>0</v>
      </c>
      <c r="I285" s="116">
        <f t="shared" si="47"/>
        <v>0</v>
      </c>
      <c r="J285" s="116">
        <f t="shared" si="48"/>
        <v>0</v>
      </c>
      <c r="K285" s="116">
        <f t="shared" si="49"/>
        <v>0</v>
      </c>
      <c r="L285" s="350">
        <f t="shared" si="50"/>
        <v>0</v>
      </c>
      <c r="M285" s="164">
        <f>L285*D285*'B) D RI'!S287</f>
        <v>0</v>
      </c>
      <c r="N285" s="18">
        <f>(('B) D RI'!S287*C285)-M285)/'B) D RI'!S287</f>
        <v>121405.28277777777</v>
      </c>
      <c r="O285" s="167">
        <f t="shared" si="42"/>
        <v>35.781103088057108</v>
      </c>
      <c r="P285" s="106">
        <f t="shared" si="43"/>
        <v>0.81588017232076793</v>
      </c>
    </row>
    <row r="286" spans="1:16" x14ac:dyDescent="0.25">
      <c r="A286" s="82">
        <f>'A) Base RI'!A288</f>
        <v>5885</v>
      </c>
      <c r="B286" s="83" t="str">
        <f>'A) Base RI'!B288</f>
        <v>Jongny</v>
      </c>
      <c r="C286" s="14">
        <f>'B) D RI'!U288</f>
        <v>76199.638309178743</v>
      </c>
      <c r="D286" s="62">
        <f>'B) D RI'!AR288</f>
        <v>1475</v>
      </c>
      <c r="E286" s="346">
        <f t="shared" si="51"/>
        <v>51.660771735036434</v>
      </c>
      <c r="F286" s="112">
        <f t="shared" si="44"/>
        <v>1.1227768442929997</v>
      </c>
      <c r="G286" s="116">
        <f t="shared" si="45"/>
        <v>0</v>
      </c>
      <c r="H286" s="116">
        <f t="shared" si="46"/>
        <v>0</v>
      </c>
      <c r="I286" s="116">
        <f t="shared" si="47"/>
        <v>0</v>
      </c>
      <c r="J286" s="116">
        <f t="shared" si="48"/>
        <v>0</v>
      </c>
      <c r="K286" s="116">
        <f t="shared" si="49"/>
        <v>0</v>
      </c>
      <c r="L286" s="350">
        <f t="shared" si="50"/>
        <v>0</v>
      </c>
      <c r="M286" s="164">
        <f>L286*D286*'B) D RI'!S288</f>
        <v>0</v>
      </c>
      <c r="N286" s="18">
        <f>(('B) D RI'!S288*C286)-M286)/'B) D RI'!S288</f>
        <v>76199.638309178743</v>
      </c>
      <c r="O286" s="167">
        <f t="shared" si="42"/>
        <v>51.660771735036434</v>
      </c>
      <c r="P286" s="106">
        <f t="shared" si="43"/>
        <v>1.1779681370268802</v>
      </c>
    </row>
    <row r="287" spans="1:16" x14ac:dyDescent="0.25">
      <c r="A287" s="82">
        <f>'A) Base RI'!A289</f>
        <v>5886</v>
      </c>
      <c r="B287" s="83" t="str">
        <f>'A) Base RI'!B289</f>
        <v>Montreux</v>
      </c>
      <c r="C287" s="14">
        <f>'B) D RI'!U289</f>
        <v>1119854.9833838383</v>
      </c>
      <c r="D287" s="62">
        <f>'B) D RI'!AR289</f>
        <v>26072</v>
      </c>
      <c r="E287" s="346">
        <f t="shared" si="51"/>
        <v>42.952400405946548</v>
      </c>
      <c r="F287" s="112">
        <f t="shared" si="44"/>
        <v>0.93351219819062603</v>
      </c>
      <c r="G287" s="116">
        <f t="shared" si="45"/>
        <v>0</v>
      </c>
      <c r="H287" s="116">
        <f t="shared" si="46"/>
        <v>0</v>
      </c>
      <c r="I287" s="116">
        <f t="shared" si="47"/>
        <v>0</v>
      </c>
      <c r="J287" s="116">
        <f t="shared" si="48"/>
        <v>0</v>
      </c>
      <c r="K287" s="116">
        <f t="shared" si="49"/>
        <v>0</v>
      </c>
      <c r="L287" s="350">
        <f t="shared" si="50"/>
        <v>0</v>
      </c>
      <c r="M287" s="164">
        <f>L287*D287*'B) D RI'!S289</f>
        <v>0</v>
      </c>
      <c r="N287" s="18">
        <f>(('B) D RI'!S289*C287)-M287)/'B) D RI'!S289</f>
        <v>1119854.9833838383</v>
      </c>
      <c r="O287" s="167">
        <f t="shared" si="42"/>
        <v>42.952400405946548</v>
      </c>
      <c r="P287" s="106">
        <f t="shared" si="43"/>
        <v>0.97939998547700335</v>
      </c>
    </row>
    <row r="288" spans="1:16" x14ac:dyDescent="0.25">
      <c r="A288" s="82">
        <f>'A) Base RI'!A290</f>
        <v>5888</v>
      </c>
      <c r="B288" s="83" t="str">
        <f>'A) Base RI'!B290</f>
        <v>St-Légier-La Chiésaz</v>
      </c>
      <c r="C288" s="14">
        <f>'B) D RI'!U290</f>
        <v>357526.04545454547</v>
      </c>
      <c r="D288" s="62">
        <f>'B) D RI'!AR290</f>
        <v>5084</v>
      </c>
      <c r="E288" s="346">
        <f t="shared" si="51"/>
        <v>70.323769758958591</v>
      </c>
      <c r="F288" s="112">
        <f t="shared" si="44"/>
        <v>1.5283918074960079</v>
      </c>
      <c r="G288" s="116">
        <f t="shared" si="45"/>
        <v>15.109836200255756</v>
      </c>
      <c r="H288" s="116">
        <f t="shared" si="46"/>
        <v>1.3063528105800515</v>
      </c>
      <c r="I288" s="116">
        <f t="shared" si="47"/>
        <v>0</v>
      </c>
      <c r="J288" s="116">
        <f t="shared" si="48"/>
        <v>0</v>
      </c>
      <c r="K288" s="116">
        <f t="shared" si="49"/>
        <v>0</v>
      </c>
      <c r="L288" s="350">
        <f t="shared" si="50"/>
        <v>5.5701763131500774</v>
      </c>
      <c r="M288" s="164">
        <f>L288*D288*'B) D RI'!S290</f>
        <v>1869039.2408196295</v>
      </c>
      <c r="N288" s="18">
        <f>(('B) D RI'!S290*C288)-M288)/'B) D RI'!S290</f>
        <v>329207.26907849044</v>
      </c>
      <c r="O288" s="167">
        <f t="shared" si="42"/>
        <v>64.753593445808505</v>
      </c>
      <c r="P288" s="106">
        <f t="shared" si="43"/>
        <v>1.4765104599748631</v>
      </c>
    </row>
    <row r="289" spans="1:16" x14ac:dyDescent="0.25">
      <c r="A289" s="82">
        <f>'A) Base RI'!A291</f>
        <v>5889</v>
      </c>
      <c r="B289" s="83" t="str">
        <f>'A) Base RI'!B291</f>
        <v>La Tour-de-Peilz</v>
      </c>
      <c r="C289" s="14">
        <f>'B) D RI'!U291</f>
        <v>593029.02942708356</v>
      </c>
      <c r="D289" s="62">
        <f>'B) D RI'!AR291</f>
        <v>11207</v>
      </c>
      <c r="E289" s="346">
        <f t="shared" si="51"/>
        <v>52.915948017050376</v>
      </c>
      <c r="F289" s="112">
        <f t="shared" si="44"/>
        <v>1.1500563993135697</v>
      </c>
      <c r="G289" s="116">
        <f t="shared" si="45"/>
        <v>0</v>
      </c>
      <c r="H289" s="116">
        <f t="shared" si="46"/>
        <v>0</v>
      </c>
      <c r="I289" s="116">
        <f t="shared" si="47"/>
        <v>0</v>
      </c>
      <c r="J289" s="116">
        <f t="shared" si="48"/>
        <v>0</v>
      </c>
      <c r="K289" s="116">
        <f t="shared" si="49"/>
        <v>0</v>
      </c>
      <c r="L289" s="350">
        <f t="shared" si="50"/>
        <v>0</v>
      </c>
      <c r="M289" s="164">
        <f>L289*D289*'B) D RI'!S291</f>
        <v>0</v>
      </c>
      <c r="N289" s="18">
        <f>(('B) D RI'!S291*C289)-M289)/'B) D RI'!S291</f>
        <v>593029.02942708356</v>
      </c>
      <c r="O289" s="167">
        <f t="shared" si="42"/>
        <v>52.915948017050376</v>
      </c>
      <c r="P289" s="106">
        <f t="shared" si="43"/>
        <v>1.2065886476562546</v>
      </c>
    </row>
    <row r="290" spans="1:16" x14ac:dyDescent="0.25">
      <c r="A290" s="82">
        <f>'A) Base RI'!A292</f>
        <v>5890</v>
      </c>
      <c r="B290" s="83" t="str">
        <f>'A) Base RI'!B292</f>
        <v>Vevey</v>
      </c>
      <c r="C290" s="14">
        <f>'B) D RI'!U292</f>
        <v>920050.18059360737</v>
      </c>
      <c r="D290" s="62">
        <f>'B) D RI'!AR292</f>
        <v>18838</v>
      </c>
      <c r="E290" s="346">
        <f t="shared" si="51"/>
        <v>48.840120001784022</v>
      </c>
      <c r="F290" s="112">
        <f t="shared" si="44"/>
        <v>1.0614738024384607</v>
      </c>
      <c r="G290" s="116">
        <f t="shared" si="45"/>
        <v>0</v>
      </c>
      <c r="H290" s="116">
        <f t="shared" si="46"/>
        <v>0</v>
      </c>
      <c r="I290" s="116">
        <f t="shared" si="47"/>
        <v>0</v>
      </c>
      <c r="J290" s="116">
        <f t="shared" si="48"/>
        <v>0</v>
      </c>
      <c r="K290" s="116">
        <f t="shared" si="49"/>
        <v>0</v>
      </c>
      <c r="L290" s="350">
        <f t="shared" si="50"/>
        <v>0</v>
      </c>
      <c r="M290" s="164">
        <f>L290*D290*'B) D RI'!S292</f>
        <v>0</v>
      </c>
      <c r="N290" s="18">
        <f>(('B) D RI'!S292*C290)-M290)/'B) D RI'!S292</f>
        <v>920050.18059360737</v>
      </c>
      <c r="O290" s="167">
        <f t="shared" si="42"/>
        <v>48.840120001784022</v>
      </c>
      <c r="P290" s="106">
        <f t="shared" si="43"/>
        <v>1.1136516787969781</v>
      </c>
    </row>
    <row r="291" spans="1:16" x14ac:dyDescent="0.25">
      <c r="A291" s="82">
        <f>'A) Base RI'!A293</f>
        <v>5891</v>
      </c>
      <c r="B291" s="83" t="str">
        <f>'A) Base RI'!B293</f>
        <v>Veytaux</v>
      </c>
      <c r="C291" s="14">
        <f>'B) D RI'!U293</f>
        <v>37637.543719806752</v>
      </c>
      <c r="D291" s="62">
        <f>'B) D RI'!AR293</f>
        <v>845</v>
      </c>
      <c r="E291" s="346">
        <f t="shared" si="51"/>
        <v>44.541471857759468</v>
      </c>
      <c r="F291" s="112">
        <f t="shared" si="44"/>
        <v>0.96804851211124399</v>
      </c>
      <c r="G291" s="116">
        <f t="shared" si="45"/>
        <v>0</v>
      </c>
      <c r="H291" s="116">
        <f t="shared" si="46"/>
        <v>0</v>
      </c>
      <c r="I291" s="116">
        <f t="shared" si="47"/>
        <v>0</v>
      </c>
      <c r="J291" s="116">
        <f t="shared" si="48"/>
        <v>0</v>
      </c>
      <c r="K291" s="116">
        <f t="shared" si="49"/>
        <v>0</v>
      </c>
      <c r="L291" s="350">
        <f t="shared" si="50"/>
        <v>0</v>
      </c>
      <c r="M291" s="164">
        <f>L291*D291*'B) D RI'!S293</f>
        <v>0</v>
      </c>
      <c r="N291" s="18">
        <f>(('B) D RI'!S293*C291)-M291)/'B) D RI'!S293</f>
        <v>37637.543719806752</v>
      </c>
      <c r="O291" s="167">
        <f t="shared" si="42"/>
        <v>44.541471857759468</v>
      </c>
      <c r="P291" s="106">
        <f t="shared" si="43"/>
        <v>1.0156339687263314</v>
      </c>
    </row>
    <row r="292" spans="1:16" x14ac:dyDescent="0.25">
      <c r="A292" s="82">
        <f>'A) Base RI'!A294</f>
        <v>5902</v>
      </c>
      <c r="B292" s="83" t="str">
        <f>'A) Base RI'!B294</f>
        <v>Belmont-sur-Yverdon</v>
      </c>
      <c r="C292" s="14">
        <f>'B) D RI'!U294</f>
        <v>8809.0856578947369</v>
      </c>
      <c r="D292" s="62">
        <f>'B) D RI'!AR294</f>
        <v>357</v>
      </c>
      <c r="E292" s="346">
        <f t="shared" si="51"/>
        <v>24.675309966091699</v>
      </c>
      <c r="F292" s="112">
        <f t="shared" si="44"/>
        <v>0.53628441320574682</v>
      </c>
      <c r="G292" s="116">
        <f t="shared" si="45"/>
        <v>0</v>
      </c>
      <c r="H292" s="116">
        <f t="shared" si="46"/>
        <v>0</v>
      </c>
      <c r="I292" s="116">
        <f t="shared" si="47"/>
        <v>0</v>
      </c>
      <c r="J292" s="116">
        <f t="shared" si="48"/>
        <v>0</v>
      </c>
      <c r="K292" s="116">
        <f t="shared" si="49"/>
        <v>0</v>
      </c>
      <c r="L292" s="350">
        <f t="shared" si="50"/>
        <v>0</v>
      </c>
      <c r="M292" s="164">
        <f>L292*D292*'B) D RI'!S294</f>
        <v>0</v>
      </c>
      <c r="N292" s="18">
        <f>(('B) D RI'!S294*C292)-M292)/'B) D RI'!S294</f>
        <v>8809.0856578947369</v>
      </c>
      <c r="O292" s="167">
        <f t="shared" si="42"/>
        <v>24.675309966091699</v>
      </c>
      <c r="P292" s="106">
        <f t="shared" si="43"/>
        <v>0.56264604525070883</v>
      </c>
    </row>
    <row r="293" spans="1:16" x14ac:dyDescent="0.25">
      <c r="A293" s="82">
        <f>'A) Base RI'!A295</f>
        <v>5903</v>
      </c>
      <c r="B293" s="83" t="str">
        <f>'A) Base RI'!B295</f>
        <v>Bioley-Magnoux</v>
      </c>
      <c r="C293" s="14">
        <f>'B) D RI'!U295</f>
        <v>6088.8460038610028</v>
      </c>
      <c r="D293" s="62">
        <f>'B) D RI'!AR295</f>
        <v>196</v>
      </c>
      <c r="E293" s="346">
        <f t="shared" si="51"/>
        <v>31.065540836025523</v>
      </c>
      <c r="F293" s="112">
        <f t="shared" si="44"/>
        <v>0.67516741881098519</v>
      </c>
      <c r="G293" s="116">
        <f t="shared" si="45"/>
        <v>0</v>
      </c>
      <c r="H293" s="116">
        <f t="shared" si="46"/>
        <v>0</v>
      </c>
      <c r="I293" s="116">
        <f t="shared" si="47"/>
        <v>0</v>
      </c>
      <c r="J293" s="116">
        <f t="shared" si="48"/>
        <v>0</v>
      </c>
      <c r="K293" s="116">
        <f t="shared" si="49"/>
        <v>0</v>
      </c>
      <c r="L293" s="350">
        <f t="shared" si="50"/>
        <v>0</v>
      </c>
      <c r="M293" s="164">
        <f>L293*D293*'B) D RI'!S295</f>
        <v>0</v>
      </c>
      <c r="N293" s="18">
        <f>(('B) D RI'!S295*C293)-M293)/'B) D RI'!S295</f>
        <v>6088.8460038610028</v>
      </c>
      <c r="O293" s="167">
        <f t="shared" si="42"/>
        <v>31.065540836025523</v>
      </c>
      <c r="P293" s="106">
        <f t="shared" si="43"/>
        <v>0.70835599305472996</v>
      </c>
    </row>
    <row r="294" spans="1:16" x14ac:dyDescent="0.25">
      <c r="A294" s="82">
        <f>'A) Base RI'!A296</f>
        <v>5904</v>
      </c>
      <c r="B294" s="83" t="str">
        <f>'A) Base RI'!B296</f>
        <v>Chamblon</v>
      </c>
      <c r="C294" s="14">
        <f>'B) D RI'!U296</f>
        <v>21622.015909090911</v>
      </c>
      <c r="D294" s="62">
        <f>'B) D RI'!AR296</f>
        <v>590</v>
      </c>
      <c r="E294" s="346">
        <f t="shared" si="51"/>
        <v>36.647484591679508</v>
      </c>
      <c r="F294" s="112">
        <f t="shared" si="44"/>
        <v>0.79648339967047588</v>
      </c>
      <c r="G294" s="116">
        <f t="shared" si="45"/>
        <v>0</v>
      </c>
      <c r="H294" s="116">
        <f t="shared" si="46"/>
        <v>0</v>
      </c>
      <c r="I294" s="116">
        <f t="shared" si="47"/>
        <v>0</v>
      </c>
      <c r="J294" s="116">
        <f t="shared" si="48"/>
        <v>0</v>
      </c>
      <c r="K294" s="116">
        <f t="shared" si="49"/>
        <v>0</v>
      </c>
      <c r="L294" s="350">
        <f t="shared" si="50"/>
        <v>0</v>
      </c>
      <c r="M294" s="164">
        <f>L294*D294*'B) D RI'!S296</f>
        <v>0</v>
      </c>
      <c r="N294" s="18">
        <f>(('B) D RI'!S296*C294)-M294)/'B) D RI'!S296</f>
        <v>21622.015909090911</v>
      </c>
      <c r="O294" s="167">
        <f t="shared" si="42"/>
        <v>36.647484591679508</v>
      </c>
      <c r="P294" s="106">
        <f t="shared" si="43"/>
        <v>0.83563539028404266</v>
      </c>
    </row>
    <row r="295" spans="1:16" x14ac:dyDescent="0.25">
      <c r="A295" s="82">
        <f>'A) Base RI'!A297</f>
        <v>5905</v>
      </c>
      <c r="B295" s="83" t="str">
        <f>'A) Base RI'!B297</f>
        <v>Champvent</v>
      </c>
      <c r="C295" s="14">
        <f>'B) D RI'!U297</f>
        <v>20315.716338028171</v>
      </c>
      <c r="D295" s="62">
        <f>'B) D RI'!AR297</f>
        <v>600</v>
      </c>
      <c r="E295" s="346">
        <f t="shared" si="51"/>
        <v>33.85952723004695</v>
      </c>
      <c r="F295" s="112">
        <f t="shared" si="44"/>
        <v>0.73589092566385361</v>
      </c>
      <c r="G295" s="116">
        <f t="shared" si="45"/>
        <v>0</v>
      </c>
      <c r="H295" s="116">
        <f t="shared" si="46"/>
        <v>0</v>
      </c>
      <c r="I295" s="116">
        <f t="shared" si="47"/>
        <v>0</v>
      </c>
      <c r="J295" s="116">
        <f t="shared" si="48"/>
        <v>0</v>
      </c>
      <c r="K295" s="116">
        <f t="shared" si="49"/>
        <v>0</v>
      </c>
      <c r="L295" s="350">
        <f t="shared" si="50"/>
        <v>0</v>
      </c>
      <c r="M295" s="164">
        <f>L295*D295*'B) D RI'!S297</f>
        <v>0</v>
      </c>
      <c r="N295" s="18">
        <f>(('B) D RI'!S297*C295)-M295)/'B) D RI'!S297</f>
        <v>20315.716338028171</v>
      </c>
      <c r="O295" s="167">
        <f t="shared" si="42"/>
        <v>33.85952723004695</v>
      </c>
      <c r="P295" s="106">
        <f t="shared" si="43"/>
        <v>0.77206442862213276</v>
      </c>
    </row>
    <row r="296" spans="1:16" x14ac:dyDescent="0.25">
      <c r="A296" s="82">
        <f>'A) Base RI'!A298</f>
        <v>5907</v>
      </c>
      <c r="B296" s="83" t="str">
        <f>'A) Base RI'!B298</f>
        <v>Chavannes-le-Chêne</v>
      </c>
      <c r="C296" s="14">
        <f>'B) D RI'!U298</f>
        <v>6770.541794871795</v>
      </c>
      <c r="D296" s="62">
        <f>'B) D RI'!AR298</f>
        <v>274</v>
      </c>
      <c r="E296" s="346">
        <f t="shared" si="51"/>
        <v>24.710006550626989</v>
      </c>
      <c r="F296" s="112">
        <f t="shared" si="44"/>
        <v>0.53703849643725721</v>
      </c>
      <c r="G296" s="116">
        <f t="shared" si="45"/>
        <v>0</v>
      </c>
      <c r="H296" s="116">
        <f t="shared" si="46"/>
        <v>0</v>
      </c>
      <c r="I296" s="116">
        <f t="shared" si="47"/>
        <v>0</v>
      </c>
      <c r="J296" s="116">
        <f t="shared" si="48"/>
        <v>0</v>
      </c>
      <c r="K296" s="116">
        <f t="shared" si="49"/>
        <v>0</v>
      </c>
      <c r="L296" s="350">
        <f t="shared" si="50"/>
        <v>0</v>
      </c>
      <c r="M296" s="164">
        <f>L296*D296*'B) D RI'!S298</f>
        <v>0</v>
      </c>
      <c r="N296" s="18">
        <f>(('B) D RI'!S298*C296)-M296)/'B) D RI'!S298</f>
        <v>6770.541794871795</v>
      </c>
      <c r="O296" s="167">
        <f t="shared" si="42"/>
        <v>24.710006550626989</v>
      </c>
      <c r="P296" s="106">
        <f t="shared" si="43"/>
        <v>0.56343719624736566</v>
      </c>
    </row>
    <row r="297" spans="1:16" x14ac:dyDescent="0.25">
      <c r="A297" s="82">
        <f>'A) Base RI'!A299</f>
        <v>5908</v>
      </c>
      <c r="B297" s="83" t="str">
        <f>'A) Base RI'!B299</f>
        <v>Chêne-Pâquier</v>
      </c>
      <c r="C297" s="14">
        <f>'B) D RI'!U299</f>
        <v>3326.5444303797472</v>
      </c>
      <c r="D297" s="62">
        <f>'B) D RI'!AR299</f>
        <v>132</v>
      </c>
      <c r="E297" s="346">
        <f t="shared" si="51"/>
        <v>25.201094169543538</v>
      </c>
      <c r="F297" s="112">
        <f t="shared" si="44"/>
        <v>0.54771162013479846</v>
      </c>
      <c r="G297" s="116">
        <f t="shared" si="45"/>
        <v>0</v>
      </c>
      <c r="H297" s="116">
        <f t="shared" si="46"/>
        <v>0</v>
      </c>
      <c r="I297" s="116">
        <f t="shared" si="47"/>
        <v>0</v>
      </c>
      <c r="J297" s="116">
        <f t="shared" si="48"/>
        <v>0</v>
      </c>
      <c r="K297" s="116">
        <f t="shared" si="49"/>
        <v>0</v>
      </c>
      <c r="L297" s="350">
        <f t="shared" si="50"/>
        <v>0</v>
      </c>
      <c r="M297" s="164">
        <f>L297*D297*'B) D RI'!S299</f>
        <v>0</v>
      </c>
      <c r="N297" s="18">
        <f>(('B) D RI'!S299*C297)-M297)/'B) D RI'!S299</f>
        <v>3326.5444303797472</v>
      </c>
      <c r="O297" s="167">
        <f t="shared" si="42"/>
        <v>25.201094169543538</v>
      </c>
      <c r="P297" s="106">
        <f t="shared" si="43"/>
        <v>0.57463496871849895</v>
      </c>
    </row>
    <row r="298" spans="1:16" x14ac:dyDescent="0.25">
      <c r="A298" s="82">
        <f>'A) Base RI'!A300</f>
        <v>5909</v>
      </c>
      <c r="B298" s="83" t="str">
        <f>'A) Base RI'!B300</f>
        <v>Cheseaux-Noréaz</v>
      </c>
      <c r="C298" s="14">
        <f>'B) D RI'!U300</f>
        <v>30671.321093750001</v>
      </c>
      <c r="D298" s="62">
        <f>'B) D RI'!AR300</f>
        <v>663</v>
      </c>
      <c r="E298" s="346">
        <f t="shared" si="51"/>
        <v>46.261419447586725</v>
      </c>
      <c r="F298" s="112">
        <f t="shared" si="44"/>
        <v>1.0054292414809121</v>
      </c>
      <c r="G298" s="116">
        <f t="shared" si="45"/>
        <v>0</v>
      </c>
      <c r="H298" s="116">
        <f t="shared" si="46"/>
        <v>0</v>
      </c>
      <c r="I298" s="116">
        <f t="shared" si="47"/>
        <v>0</v>
      </c>
      <c r="J298" s="116">
        <f t="shared" si="48"/>
        <v>0</v>
      </c>
      <c r="K298" s="116">
        <f t="shared" si="49"/>
        <v>0</v>
      </c>
      <c r="L298" s="350">
        <f t="shared" si="50"/>
        <v>0</v>
      </c>
      <c r="M298" s="164">
        <f>L298*D298*'B) D RI'!S300</f>
        <v>0</v>
      </c>
      <c r="N298" s="18">
        <f>(('B) D RI'!S300*C298)-M298)/'B) D RI'!S300</f>
        <v>30671.321093750001</v>
      </c>
      <c r="O298" s="167">
        <f t="shared" si="42"/>
        <v>46.261419447586725</v>
      </c>
      <c r="P298" s="106">
        <f t="shared" si="43"/>
        <v>1.0548521876984382</v>
      </c>
    </row>
    <row r="299" spans="1:16" x14ac:dyDescent="0.25">
      <c r="A299" s="82">
        <f>'A) Base RI'!A301</f>
        <v>5910</v>
      </c>
      <c r="B299" s="83" t="str">
        <f>'A) Base RI'!B301</f>
        <v>Cronay</v>
      </c>
      <c r="C299" s="14">
        <f>'B) D RI'!U301</f>
        <v>9292.7018518518507</v>
      </c>
      <c r="D299" s="62">
        <f>'B) D RI'!AR301</f>
        <v>352</v>
      </c>
      <c r="E299" s="346">
        <f t="shared" si="51"/>
        <v>26.399721170033668</v>
      </c>
      <c r="F299" s="112">
        <f t="shared" si="44"/>
        <v>0.57376215317749346</v>
      </c>
      <c r="G299" s="116">
        <f t="shared" si="45"/>
        <v>0</v>
      </c>
      <c r="H299" s="116">
        <f t="shared" si="46"/>
        <v>0</v>
      </c>
      <c r="I299" s="116">
        <f t="shared" si="47"/>
        <v>0</v>
      </c>
      <c r="J299" s="116">
        <f t="shared" si="48"/>
        <v>0</v>
      </c>
      <c r="K299" s="116">
        <f t="shared" si="49"/>
        <v>0</v>
      </c>
      <c r="L299" s="350">
        <f t="shared" si="50"/>
        <v>0</v>
      </c>
      <c r="M299" s="164">
        <f>L299*D299*'B) D RI'!S301</f>
        <v>0</v>
      </c>
      <c r="N299" s="18">
        <f>(('B) D RI'!S301*C299)-M299)/'B) D RI'!S301</f>
        <v>9292.7018518518507</v>
      </c>
      <c r="O299" s="167">
        <f t="shared" si="42"/>
        <v>26.399721170033668</v>
      </c>
      <c r="P299" s="106">
        <f t="shared" si="43"/>
        <v>0.60196604348445903</v>
      </c>
    </row>
    <row r="300" spans="1:16" x14ac:dyDescent="0.25">
      <c r="A300" s="82">
        <f>'A) Base RI'!A302</f>
        <v>5911</v>
      </c>
      <c r="B300" s="83" t="str">
        <f>'A) Base RI'!B302</f>
        <v>Cuarny</v>
      </c>
      <c r="C300" s="14">
        <f>'B) D RI'!U302</f>
        <v>6815.3613580246902</v>
      </c>
      <c r="D300" s="62">
        <f>'B) D RI'!AR302</f>
        <v>204</v>
      </c>
      <c r="E300" s="346">
        <f t="shared" si="51"/>
        <v>33.408634107964168</v>
      </c>
      <c r="F300" s="112">
        <f t="shared" si="44"/>
        <v>0.72609137486887043</v>
      </c>
      <c r="G300" s="116">
        <f t="shared" si="45"/>
        <v>0</v>
      </c>
      <c r="H300" s="116">
        <f t="shared" si="46"/>
        <v>0</v>
      </c>
      <c r="I300" s="116">
        <f t="shared" si="47"/>
        <v>0</v>
      </c>
      <c r="J300" s="116">
        <f t="shared" si="48"/>
        <v>0</v>
      </c>
      <c r="K300" s="116">
        <f t="shared" si="49"/>
        <v>0</v>
      </c>
      <c r="L300" s="350">
        <f t="shared" si="50"/>
        <v>0</v>
      </c>
      <c r="M300" s="164">
        <f>L300*D300*'B) D RI'!S302</f>
        <v>0</v>
      </c>
      <c r="N300" s="18">
        <f>(('B) D RI'!S302*C300)-M300)/'B) D RI'!S302</f>
        <v>6815.3613580246902</v>
      </c>
      <c r="O300" s="167">
        <f t="shared" si="42"/>
        <v>33.408634107964168</v>
      </c>
      <c r="P300" s="106">
        <f t="shared" si="43"/>
        <v>0.76178317046086785</v>
      </c>
    </row>
    <row r="301" spans="1:16" x14ac:dyDescent="0.25">
      <c r="A301" s="82">
        <f>'A) Base RI'!A303</f>
        <v>5912</v>
      </c>
      <c r="B301" s="83" t="str">
        <f>'A) Base RI'!B303</f>
        <v>Démoret</v>
      </c>
      <c r="C301" s="14">
        <f>'B) D RI'!U303</f>
        <v>3149.2327160493824</v>
      </c>
      <c r="D301" s="62">
        <f>'B) D RI'!AR303</f>
        <v>126</v>
      </c>
      <c r="E301" s="346">
        <f t="shared" si="51"/>
        <v>24.993910444836366</v>
      </c>
      <c r="F301" s="112">
        <f t="shared" si="44"/>
        <v>0.54320876272862806</v>
      </c>
      <c r="G301" s="116">
        <f t="shared" si="45"/>
        <v>0</v>
      </c>
      <c r="H301" s="116">
        <f t="shared" si="46"/>
        <v>0</v>
      </c>
      <c r="I301" s="116">
        <f t="shared" si="47"/>
        <v>0</v>
      </c>
      <c r="J301" s="116">
        <f t="shared" si="48"/>
        <v>0</v>
      </c>
      <c r="K301" s="116">
        <f t="shared" si="49"/>
        <v>0</v>
      </c>
      <c r="L301" s="350">
        <f t="shared" si="50"/>
        <v>0</v>
      </c>
      <c r="M301" s="164">
        <f>L301*D301*'B) D RI'!S303</f>
        <v>0</v>
      </c>
      <c r="N301" s="18">
        <f>(('B) D RI'!S303*C301)-M301)/'B) D RI'!S303</f>
        <v>3149.2327160493824</v>
      </c>
      <c r="O301" s="167">
        <f t="shared" si="42"/>
        <v>24.993910444836366</v>
      </c>
      <c r="P301" s="106">
        <f t="shared" si="43"/>
        <v>0.56991076855619127</v>
      </c>
    </row>
    <row r="302" spans="1:16" x14ac:dyDescent="0.25">
      <c r="A302" s="82">
        <f>'A) Base RI'!A304</f>
        <v>5913</v>
      </c>
      <c r="B302" s="83" t="str">
        <f>'A) Base RI'!B304</f>
        <v>Donneloye</v>
      </c>
      <c r="C302" s="14">
        <f>'B) D RI'!U304</f>
        <v>23147.804931506846</v>
      </c>
      <c r="D302" s="62">
        <f>'B) D RI'!AR304</f>
        <v>728</v>
      </c>
      <c r="E302" s="346">
        <f t="shared" si="51"/>
        <v>31.796435345476436</v>
      </c>
      <c r="F302" s="112">
        <f t="shared" si="44"/>
        <v>0.69105242020123392</v>
      </c>
      <c r="G302" s="116">
        <f t="shared" si="45"/>
        <v>0</v>
      </c>
      <c r="H302" s="116">
        <f t="shared" si="46"/>
        <v>0</v>
      </c>
      <c r="I302" s="116">
        <f t="shared" si="47"/>
        <v>0</v>
      </c>
      <c r="J302" s="116">
        <f t="shared" si="48"/>
        <v>0</v>
      </c>
      <c r="K302" s="116">
        <f t="shared" si="49"/>
        <v>0</v>
      </c>
      <c r="L302" s="350">
        <f t="shared" si="50"/>
        <v>0</v>
      </c>
      <c r="M302" s="164">
        <f>L302*D302*'B) D RI'!S304</f>
        <v>0</v>
      </c>
      <c r="N302" s="18">
        <f>(('B) D RI'!S304*C302)-M302)/'B) D RI'!S304</f>
        <v>23147.804931506846</v>
      </c>
      <c r="O302" s="167">
        <f t="shared" si="42"/>
        <v>31.796435345476436</v>
      </c>
      <c r="P302" s="106">
        <f t="shared" si="43"/>
        <v>0.72502183862275416</v>
      </c>
    </row>
    <row r="303" spans="1:16" x14ac:dyDescent="0.25">
      <c r="A303" s="82">
        <f>'A) Base RI'!A305</f>
        <v>5914</v>
      </c>
      <c r="B303" s="83" t="str">
        <f>'A) Base RI'!B305</f>
        <v>Ependes</v>
      </c>
      <c r="C303" s="14">
        <f>'B) D RI'!U305</f>
        <v>8718.0938666666661</v>
      </c>
      <c r="D303" s="62">
        <f>'B) D RI'!AR305</f>
        <v>344</v>
      </c>
      <c r="E303" s="346">
        <f t="shared" si="51"/>
        <v>25.343296124031006</v>
      </c>
      <c r="F303" s="112">
        <f t="shared" si="44"/>
        <v>0.55080218685204807</v>
      </c>
      <c r="G303" s="116">
        <f t="shared" si="45"/>
        <v>0</v>
      </c>
      <c r="H303" s="116">
        <f t="shared" si="46"/>
        <v>0</v>
      </c>
      <c r="I303" s="116">
        <f t="shared" si="47"/>
        <v>0</v>
      </c>
      <c r="J303" s="116">
        <f t="shared" si="48"/>
        <v>0</v>
      </c>
      <c r="K303" s="116">
        <f t="shared" si="49"/>
        <v>0</v>
      </c>
      <c r="L303" s="350">
        <f t="shared" si="50"/>
        <v>0</v>
      </c>
      <c r="M303" s="164">
        <f>L303*D303*'B) D RI'!S305</f>
        <v>0</v>
      </c>
      <c r="N303" s="18">
        <f>(('B) D RI'!S305*C303)-M303)/'B) D RI'!S305</f>
        <v>8718.0938666666661</v>
      </c>
      <c r="O303" s="167">
        <f t="shared" si="42"/>
        <v>25.343296124031006</v>
      </c>
      <c r="P303" s="106">
        <f t="shared" si="43"/>
        <v>0.57787745553747882</v>
      </c>
    </row>
    <row r="304" spans="1:16" x14ac:dyDescent="0.25">
      <c r="A304" s="82">
        <f>'A) Base RI'!A306</f>
        <v>5915</v>
      </c>
      <c r="B304" s="83" t="str">
        <f>'A) Base RI'!B306</f>
        <v>Essert-Pittet</v>
      </c>
      <c r="C304" s="14">
        <f>'B) D RI'!U306</f>
        <v>3469.1017098039219</v>
      </c>
      <c r="D304" s="62">
        <f>'B) D RI'!AR306</f>
        <v>151</v>
      </c>
      <c r="E304" s="346">
        <f t="shared" si="51"/>
        <v>22.974183508635246</v>
      </c>
      <c r="F304" s="112">
        <f t="shared" si="44"/>
        <v>0.49931273563495021</v>
      </c>
      <c r="G304" s="116">
        <f t="shared" si="45"/>
        <v>0</v>
      </c>
      <c r="H304" s="116">
        <f t="shared" si="46"/>
        <v>0</v>
      </c>
      <c r="I304" s="116">
        <f t="shared" si="47"/>
        <v>0</v>
      </c>
      <c r="J304" s="116">
        <f t="shared" si="48"/>
        <v>0</v>
      </c>
      <c r="K304" s="116">
        <f t="shared" si="49"/>
        <v>0</v>
      </c>
      <c r="L304" s="350">
        <f t="shared" si="50"/>
        <v>0</v>
      </c>
      <c r="M304" s="164">
        <f>L304*D304*'B) D RI'!S306</f>
        <v>0</v>
      </c>
      <c r="N304" s="18">
        <f>(('B) D RI'!S306*C304)-M304)/'B) D RI'!S306</f>
        <v>3469.1017098039219</v>
      </c>
      <c r="O304" s="167">
        <f t="shared" si="42"/>
        <v>22.974183508635246</v>
      </c>
      <c r="P304" s="106">
        <f t="shared" si="43"/>
        <v>0.52385698545472281</v>
      </c>
    </row>
    <row r="305" spans="1:16" x14ac:dyDescent="0.25">
      <c r="A305" s="82">
        <f>'A) Base RI'!A307</f>
        <v>5919</v>
      </c>
      <c r="B305" s="83" t="str">
        <f>'A) Base RI'!B307</f>
        <v>Mathod</v>
      </c>
      <c r="C305" s="14">
        <f>'B) D RI'!U307</f>
        <v>14691.435202702703</v>
      </c>
      <c r="D305" s="62">
        <f>'B) D RI'!AR307</f>
        <v>552</v>
      </c>
      <c r="E305" s="346">
        <f t="shared" si="51"/>
        <v>26.614918845475913</v>
      </c>
      <c r="F305" s="112">
        <f t="shared" si="44"/>
        <v>0.57843918293948526</v>
      </c>
      <c r="G305" s="116">
        <f t="shared" si="45"/>
        <v>0</v>
      </c>
      <c r="H305" s="116">
        <f t="shared" si="46"/>
        <v>0</v>
      </c>
      <c r="I305" s="116">
        <f t="shared" si="47"/>
        <v>0</v>
      </c>
      <c r="J305" s="116">
        <f t="shared" si="48"/>
        <v>0</v>
      </c>
      <c r="K305" s="116">
        <f t="shared" si="49"/>
        <v>0</v>
      </c>
      <c r="L305" s="350">
        <f t="shared" si="50"/>
        <v>0</v>
      </c>
      <c r="M305" s="164">
        <f>L305*D305*'B) D RI'!S307</f>
        <v>0</v>
      </c>
      <c r="N305" s="18">
        <f>(('B) D RI'!S307*C305)-M305)/'B) D RI'!S307</f>
        <v>14691.435202702703</v>
      </c>
      <c r="O305" s="167">
        <f t="shared" si="42"/>
        <v>26.614918845475913</v>
      </c>
      <c r="P305" s="106">
        <f t="shared" si="43"/>
        <v>0.60687297763041748</v>
      </c>
    </row>
    <row r="306" spans="1:16" x14ac:dyDescent="0.25">
      <c r="A306" s="82">
        <f>'A) Base RI'!A308</f>
        <v>5921</v>
      </c>
      <c r="B306" s="83" t="str">
        <f>'A) Base RI'!B308</f>
        <v>Molondin</v>
      </c>
      <c r="C306" s="14">
        <f>'B) D RI'!U308</f>
        <v>4662.1348148148145</v>
      </c>
      <c r="D306" s="62">
        <f>'B) D RI'!AR308</f>
        <v>228</v>
      </c>
      <c r="E306" s="346">
        <f t="shared" si="51"/>
        <v>20.447959714100065</v>
      </c>
      <c r="F306" s="112">
        <f t="shared" si="44"/>
        <v>0.44440868591316773</v>
      </c>
      <c r="G306" s="116">
        <f t="shared" si="45"/>
        <v>0</v>
      </c>
      <c r="H306" s="116">
        <f t="shared" si="46"/>
        <v>0</v>
      </c>
      <c r="I306" s="116">
        <f t="shared" si="47"/>
        <v>0</v>
      </c>
      <c r="J306" s="116">
        <f t="shared" si="48"/>
        <v>0</v>
      </c>
      <c r="K306" s="116">
        <f t="shared" si="49"/>
        <v>0</v>
      </c>
      <c r="L306" s="350">
        <f t="shared" si="50"/>
        <v>0</v>
      </c>
      <c r="M306" s="164">
        <f>L306*D306*'B) D RI'!S308</f>
        <v>0</v>
      </c>
      <c r="N306" s="18">
        <f>(('B) D RI'!S308*C306)-M306)/'B) D RI'!S308</f>
        <v>4662.1348148148145</v>
      </c>
      <c r="O306" s="167">
        <f t="shared" si="42"/>
        <v>20.447959714100065</v>
      </c>
      <c r="P306" s="106">
        <f t="shared" si="43"/>
        <v>0.46625406863760172</v>
      </c>
    </row>
    <row r="307" spans="1:16" x14ac:dyDescent="0.25">
      <c r="A307" s="82">
        <f>'A) Base RI'!A309</f>
        <v>5922</v>
      </c>
      <c r="B307" s="83" t="str">
        <f>'A) Base RI'!B309</f>
        <v>Montagny-près-Yverdon</v>
      </c>
      <c r="C307" s="14">
        <f>'B) D RI'!U309</f>
        <v>45740.98344262295</v>
      </c>
      <c r="D307" s="62">
        <f>'B) D RI'!AR309</f>
        <v>725</v>
      </c>
      <c r="E307" s="346">
        <f t="shared" si="51"/>
        <v>63.091011644997174</v>
      </c>
      <c r="F307" s="112">
        <f t="shared" si="44"/>
        <v>1.3711976143395657</v>
      </c>
      <c r="G307" s="116">
        <f t="shared" si="45"/>
        <v>7.8770780862943397</v>
      </c>
      <c r="H307" s="116">
        <f t="shared" si="46"/>
        <v>0</v>
      </c>
      <c r="I307" s="116">
        <f t="shared" si="47"/>
        <v>0</v>
      </c>
      <c r="J307" s="116">
        <f t="shared" si="48"/>
        <v>0</v>
      </c>
      <c r="K307" s="116">
        <f t="shared" si="49"/>
        <v>0</v>
      </c>
      <c r="L307" s="350">
        <f t="shared" si="50"/>
        <v>2.8357481110659624</v>
      </c>
      <c r="M307" s="164">
        <f>L307*D307*'B) D RI'!S309</f>
        <v>125410.96021189219</v>
      </c>
      <c r="N307" s="18">
        <f>(('B) D RI'!S309*C307)-M307)/'B) D RI'!S309</f>
        <v>43685.066062100123</v>
      </c>
      <c r="O307" s="167">
        <f t="shared" si="42"/>
        <v>60.255263533931206</v>
      </c>
      <c r="P307" s="106">
        <f t="shared" si="43"/>
        <v>1.3739396092488241</v>
      </c>
    </row>
    <row r="308" spans="1:16" x14ac:dyDescent="0.25">
      <c r="A308" s="82">
        <f>'A) Base RI'!A310</f>
        <v>5923</v>
      </c>
      <c r="B308" s="83" t="str">
        <f>'A) Base RI'!B310</f>
        <v>Oppens</v>
      </c>
      <c r="C308" s="14">
        <f>'B) D RI'!U310</f>
        <v>4470.86061728395</v>
      </c>
      <c r="D308" s="62">
        <f>'B) D RI'!AR310</f>
        <v>176</v>
      </c>
      <c r="E308" s="346">
        <f t="shared" si="51"/>
        <v>25.402617143658805</v>
      </c>
      <c r="F308" s="112">
        <f t="shared" si="44"/>
        <v>0.55209144880035099</v>
      </c>
      <c r="G308" s="116">
        <f t="shared" si="45"/>
        <v>0</v>
      </c>
      <c r="H308" s="116">
        <f t="shared" si="46"/>
        <v>0</v>
      </c>
      <c r="I308" s="116">
        <f t="shared" si="47"/>
        <v>0</v>
      </c>
      <c r="J308" s="116">
        <f t="shared" si="48"/>
        <v>0</v>
      </c>
      <c r="K308" s="116">
        <f t="shared" si="49"/>
        <v>0</v>
      </c>
      <c r="L308" s="350">
        <f t="shared" si="50"/>
        <v>0</v>
      </c>
      <c r="M308" s="164">
        <f>L308*D308*'B) D RI'!S310</f>
        <v>0</v>
      </c>
      <c r="N308" s="18">
        <f>(('B) D RI'!S310*C308)-M308)/'B) D RI'!S310</f>
        <v>4470.86061728395</v>
      </c>
      <c r="O308" s="167">
        <f t="shared" si="42"/>
        <v>25.402617143658805</v>
      </c>
      <c r="P308" s="106">
        <f t="shared" si="43"/>
        <v>0.5792300925312871</v>
      </c>
    </row>
    <row r="309" spans="1:16" x14ac:dyDescent="0.25">
      <c r="A309" s="82">
        <f>'A) Base RI'!A311</f>
        <v>5924</v>
      </c>
      <c r="B309" s="83" t="str">
        <f>'A) Base RI'!B311</f>
        <v>Orges</v>
      </c>
      <c r="C309" s="14">
        <f>'B) D RI'!U311</f>
        <v>7786.4310810810803</v>
      </c>
      <c r="D309" s="62">
        <f>'B) D RI'!AR311</f>
        <v>274</v>
      </c>
      <c r="E309" s="346">
        <f t="shared" si="51"/>
        <v>28.417631682777664</v>
      </c>
      <c r="F309" s="112">
        <f t="shared" si="44"/>
        <v>0.61761870276960484</v>
      </c>
      <c r="G309" s="116">
        <f t="shared" si="45"/>
        <v>0</v>
      </c>
      <c r="H309" s="116">
        <f t="shared" si="46"/>
        <v>0</v>
      </c>
      <c r="I309" s="116">
        <f t="shared" si="47"/>
        <v>0</v>
      </c>
      <c r="J309" s="116">
        <f t="shared" si="48"/>
        <v>0</v>
      </c>
      <c r="K309" s="116">
        <f t="shared" si="49"/>
        <v>0</v>
      </c>
      <c r="L309" s="350">
        <f t="shared" si="50"/>
        <v>0</v>
      </c>
      <c r="M309" s="164">
        <f>L309*D309*'B) D RI'!S311</f>
        <v>0</v>
      </c>
      <c r="N309" s="18">
        <f>(('B) D RI'!S311*C309)-M309)/'B) D RI'!S311</f>
        <v>7786.4310810810803</v>
      </c>
      <c r="O309" s="167">
        <f t="shared" si="42"/>
        <v>28.417631682777664</v>
      </c>
      <c r="P309" s="106">
        <f t="shared" si="43"/>
        <v>0.647978408525686</v>
      </c>
    </row>
    <row r="310" spans="1:16" x14ac:dyDescent="0.25">
      <c r="A310" s="82">
        <f>'A) Base RI'!A312</f>
        <v>5925</v>
      </c>
      <c r="B310" s="83" t="str">
        <f>'A) Base RI'!B312</f>
        <v>Orzens</v>
      </c>
      <c r="C310" s="14">
        <f>'B) D RI'!U312</f>
        <v>5069.9973417721512</v>
      </c>
      <c r="D310" s="62">
        <f>'B) D RI'!AR312</f>
        <v>197</v>
      </c>
      <c r="E310" s="346">
        <f t="shared" si="51"/>
        <v>25.736027115594677</v>
      </c>
      <c r="F310" s="112">
        <f t="shared" si="44"/>
        <v>0.55933766258256001</v>
      </c>
      <c r="G310" s="116">
        <f t="shared" si="45"/>
        <v>0</v>
      </c>
      <c r="H310" s="116">
        <f t="shared" si="46"/>
        <v>0</v>
      </c>
      <c r="I310" s="116">
        <f t="shared" si="47"/>
        <v>0</v>
      </c>
      <c r="J310" s="116">
        <f t="shared" si="48"/>
        <v>0</v>
      </c>
      <c r="K310" s="116">
        <f t="shared" si="49"/>
        <v>0</v>
      </c>
      <c r="L310" s="350">
        <f t="shared" si="50"/>
        <v>0</v>
      </c>
      <c r="M310" s="164">
        <f>L310*D310*'B) D RI'!S312</f>
        <v>0</v>
      </c>
      <c r="N310" s="18">
        <f>(('B) D RI'!S312*C310)-M310)/'B) D RI'!S312</f>
        <v>5069.9973417721512</v>
      </c>
      <c r="O310" s="167">
        <f t="shared" si="42"/>
        <v>25.736027115594677</v>
      </c>
      <c r="P310" s="106">
        <f t="shared" si="43"/>
        <v>0.5868325016768926</v>
      </c>
    </row>
    <row r="311" spans="1:16" x14ac:dyDescent="0.25">
      <c r="A311" s="82">
        <f>'A) Base RI'!A313</f>
        <v>5926</v>
      </c>
      <c r="B311" s="83" t="str">
        <f>'A) Base RI'!B313</f>
        <v>Pomy</v>
      </c>
      <c r="C311" s="14">
        <f>'B) D RI'!U313</f>
        <v>22116.912816901407</v>
      </c>
      <c r="D311" s="62">
        <f>'B) D RI'!AR313</f>
        <v>735</v>
      </c>
      <c r="E311" s="346">
        <f t="shared" si="51"/>
        <v>30.091037846124365</v>
      </c>
      <c r="F311" s="112">
        <f t="shared" si="44"/>
        <v>0.65398791732449735</v>
      </c>
      <c r="G311" s="116">
        <f t="shared" si="45"/>
        <v>0</v>
      </c>
      <c r="H311" s="116">
        <f t="shared" si="46"/>
        <v>0</v>
      </c>
      <c r="I311" s="116">
        <f t="shared" si="47"/>
        <v>0</v>
      </c>
      <c r="J311" s="116">
        <f t="shared" si="48"/>
        <v>0</v>
      </c>
      <c r="K311" s="116">
        <f t="shared" si="49"/>
        <v>0</v>
      </c>
      <c r="L311" s="350">
        <f t="shared" si="50"/>
        <v>0</v>
      </c>
      <c r="M311" s="164">
        <f>L311*D311*'B) D RI'!S313</f>
        <v>0</v>
      </c>
      <c r="N311" s="18">
        <f>(('B) D RI'!S313*C311)-M311)/'B) D RI'!S313</f>
        <v>22116.912816901407</v>
      </c>
      <c r="O311" s="167">
        <f t="shared" si="42"/>
        <v>30.091037846124365</v>
      </c>
      <c r="P311" s="106">
        <f t="shared" si="43"/>
        <v>0.68613539059395678</v>
      </c>
    </row>
    <row r="312" spans="1:16" x14ac:dyDescent="0.25">
      <c r="A312" s="82">
        <f>'A) Base RI'!A314</f>
        <v>5928</v>
      </c>
      <c r="B312" s="83" t="str">
        <f>'A) Base RI'!B314</f>
        <v>Rovray</v>
      </c>
      <c r="C312" s="14">
        <f>'B) D RI'!U314</f>
        <v>4108.2366666666667</v>
      </c>
      <c r="D312" s="62">
        <f>'B) D RI'!AR314</f>
        <v>165</v>
      </c>
      <c r="E312" s="346">
        <f t="shared" si="51"/>
        <v>24.898404040404042</v>
      </c>
      <c r="F312" s="112">
        <f t="shared" si="44"/>
        <v>0.5411330604931236</v>
      </c>
      <c r="G312" s="116">
        <f t="shared" si="45"/>
        <v>0</v>
      </c>
      <c r="H312" s="116">
        <f t="shared" si="46"/>
        <v>0</v>
      </c>
      <c r="I312" s="116">
        <f t="shared" si="47"/>
        <v>0</v>
      </c>
      <c r="J312" s="116">
        <f t="shared" si="48"/>
        <v>0</v>
      </c>
      <c r="K312" s="116">
        <f t="shared" si="49"/>
        <v>0</v>
      </c>
      <c r="L312" s="350">
        <f t="shared" si="50"/>
        <v>0</v>
      </c>
      <c r="M312" s="164">
        <f>L312*D312*'B) D RI'!S314</f>
        <v>0</v>
      </c>
      <c r="N312" s="18">
        <f>(('B) D RI'!S314*C312)-M312)/'B) D RI'!S314</f>
        <v>4108.2366666666667</v>
      </c>
      <c r="O312" s="167">
        <f t="shared" si="42"/>
        <v>24.898404040404042</v>
      </c>
      <c r="P312" s="106">
        <f t="shared" si="43"/>
        <v>0.56773303296446798</v>
      </c>
    </row>
    <row r="313" spans="1:16" x14ac:dyDescent="0.25">
      <c r="A313" s="82">
        <f>'A) Base RI'!A315</f>
        <v>5929</v>
      </c>
      <c r="B313" s="83" t="str">
        <f>'A) Base RI'!B315</f>
        <v>Suchy</v>
      </c>
      <c r="C313" s="14">
        <f>'B) D RI'!U315</f>
        <v>16171.057696078431</v>
      </c>
      <c r="D313" s="62">
        <f>'B) D RI'!AR315</f>
        <v>525</v>
      </c>
      <c r="E313" s="346">
        <f t="shared" si="51"/>
        <v>30.802014659197013</v>
      </c>
      <c r="F313" s="112">
        <f t="shared" si="44"/>
        <v>0.66944003458363255</v>
      </c>
      <c r="G313" s="116">
        <f t="shared" si="45"/>
        <v>0</v>
      </c>
      <c r="H313" s="116">
        <f t="shared" si="46"/>
        <v>0</v>
      </c>
      <c r="I313" s="116">
        <f t="shared" si="47"/>
        <v>0</v>
      </c>
      <c r="J313" s="116">
        <f t="shared" si="48"/>
        <v>0</v>
      </c>
      <c r="K313" s="116">
        <f t="shared" si="49"/>
        <v>0</v>
      </c>
      <c r="L313" s="350">
        <f t="shared" si="50"/>
        <v>0</v>
      </c>
      <c r="M313" s="164">
        <f>L313*D313*'B) D RI'!S315</f>
        <v>0</v>
      </c>
      <c r="N313" s="18">
        <f>(('B) D RI'!S315*C313)-M313)/'B) D RI'!S315</f>
        <v>16171.057696078431</v>
      </c>
      <c r="O313" s="167">
        <f t="shared" si="42"/>
        <v>30.802014659197013</v>
      </c>
      <c r="P313" s="106">
        <f t="shared" si="43"/>
        <v>0.70234707314992018</v>
      </c>
    </row>
    <row r="314" spans="1:16" x14ac:dyDescent="0.25">
      <c r="A314" s="82">
        <f>'A) Base RI'!A316</f>
        <v>5930</v>
      </c>
      <c r="B314" s="83" t="str">
        <f>'A) Base RI'!B316</f>
        <v>Suscévaz</v>
      </c>
      <c r="C314" s="14">
        <f>'B) D RI'!U316</f>
        <v>4973.4774242424237</v>
      </c>
      <c r="D314" s="62">
        <f>'B) D RI'!AR316</f>
        <v>199</v>
      </c>
      <c r="E314" s="346">
        <f t="shared" si="51"/>
        <v>24.992348865539817</v>
      </c>
      <c r="F314" s="112">
        <f t="shared" si="44"/>
        <v>0.54317482391943472</v>
      </c>
      <c r="G314" s="116">
        <f t="shared" si="45"/>
        <v>0</v>
      </c>
      <c r="H314" s="116">
        <f t="shared" si="46"/>
        <v>0</v>
      </c>
      <c r="I314" s="116">
        <f t="shared" si="47"/>
        <v>0</v>
      </c>
      <c r="J314" s="116">
        <f t="shared" si="48"/>
        <v>0</v>
      </c>
      <c r="K314" s="116">
        <f t="shared" si="49"/>
        <v>0</v>
      </c>
      <c r="L314" s="350">
        <f t="shared" si="50"/>
        <v>0</v>
      </c>
      <c r="M314" s="164">
        <f>L314*D314*'B) D RI'!S316</f>
        <v>0</v>
      </c>
      <c r="N314" s="18">
        <f>(('B) D RI'!S316*C314)-M314)/'B) D RI'!S316</f>
        <v>4973.4774242424237</v>
      </c>
      <c r="O314" s="167">
        <f t="shared" si="42"/>
        <v>24.992348865539817</v>
      </c>
      <c r="P314" s="106">
        <f t="shared" si="43"/>
        <v>0.56987516144865114</v>
      </c>
    </row>
    <row r="315" spans="1:16" x14ac:dyDescent="0.25">
      <c r="A315" s="82">
        <f>'A) Base RI'!A317</f>
        <v>5931</v>
      </c>
      <c r="B315" s="83" t="str">
        <f>'A) Base RI'!B317</f>
        <v>Treycovagnes</v>
      </c>
      <c r="C315" s="14">
        <f>'B) D RI'!U317</f>
        <v>11474.723896103897</v>
      </c>
      <c r="D315" s="62">
        <f>'B) D RI'!AR317</f>
        <v>471</v>
      </c>
      <c r="E315" s="346">
        <f t="shared" si="51"/>
        <v>24.362471116993412</v>
      </c>
      <c r="F315" s="112">
        <f t="shared" si="44"/>
        <v>0.52948528489298463</v>
      </c>
      <c r="G315" s="116">
        <f t="shared" si="45"/>
        <v>0</v>
      </c>
      <c r="H315" s="116">
        <f t="shared" si="46"/>
        <v>0</v>
      </c>
      <c r="I315" s="116">
        <f t="shared" si="47"/>
        <v>0</v>
      </c>
      <c r="J315" s="116">
        <f t="shared" si="48"/>
        <v>0</v>
      </c>
      <c r="K315" s="116">
        <f t="shared" si="49"/>
        <v>0</v>
      </c>
      <c r="L315" s="350">
        <f t="shared" si="50"/>
        <v>0</v>
      </c>
      <c r="M315" s="164">
        <f>L315*D315*'B) D RI'!S317</f>
        <v>0</v>
      </c>
      <c r="N315" s="18">
        <f>(('B) D RI'!S317*C315)-M315)/'B) D RI'!S317</f>
        <v>11474.723896103897</v>
      </c>
      <c r="O315" s="167">
        <f t="shared" si="42"/>
        <v>24.362471116993412</v>
      </c>
      <c r="P315" s="106">
        <f t="shared" si="43"/>
        <v>0.5555126985374228</v>
      </c>
    </row>
    <row r="316" spans="1:16" x14ac:dyDescent="0.25">
      <c r="A316" s="82">
        <f>'A) Base RI'!A318</f>
        <v>5932</v>
      </c>
      <c r="B316" s="83" t="str">
        <f>'A) Base RI'!B318</f>
        <v>Ursins</v>
      </c>
      <c r="C316" s="14">
        <f>'B) D RI'!U318</f>
        <v>5257.3797435897432</v>
      </c>
      <c r="D316" s="62">
        <f>'B) D RI'!AR318</f>
        <v>208</v>
      </c>
      <c r="E316" s="346">
        <f t="shared" si="51"/>
        <v>25.275864151873765</v>
      </c>
      <c r="F316" s="112">
        <f t="shared" si="44"/>
        <v>0.54933664434541507</v>
      </c>
      <c r="G316" s="116">
        <f t="shared" si="45"/>
        <v>0</v>
      </c>
      <c r="H316" s="116">
        <f t="shared" si="46"/>
        <v>0</v>
      </c>
      <c r="I316" s="116">
        <f t="shared" si="47"/>
        <v>0</v>
      </c>
      <c r="J316" s="116">
        <f t="shared" si="48"/>
        <v>0</v>
      </c>
      <c r="K316" s="116">
        <f t="shared" si="49"/>
        <v>0</v>
      </c>
      <c r="L316" s="350">
        <f t="shared" si="50"/>
        <v>0</v>
      </c>
      <c r="M316" s="164">
        <f>L316*D316*'B) D RI'!S318</f>
        <v>0</v>
      </c>
      <c r="N316" s="18">
        <f>(('B) D RI'!S318*C316)-M316)/'B) D RI'!S318</f>
        <v>5257.3797435897432</v>
      </c>
      <c r="O316" s="167">
        <f t="shared" si="42"/>
        <v>25.275864151873765</v>
      </c>
      <c r="P316" s="106">
        <f t="shared" si="43"/>
        <v>0.57633987272656928</v>
      </c>
    </row>
    <row r="317" spans="1:16" x14ac:dyDescent="0.25">
      <c r="A317" s="82">
        <f>'A) Base RI'!A319</f>
        <v>5933</v>
      </c>
      <c r="B317" s="83" t="str">
        <f>'A) Base RI'!B319</f>
        <v>Valeyres-sous-Montagny</v>
      </c>
      <c r="C317" s="14">
        <f>'B) D RI'!U319</f>
        <v>19712.293888888889</v>
      </c>
      <c r="D317" s="62">
        <f>'B) D RI'!AR319</f>
        <v>642</v>
      </c>
      <c r="E317" s="346">
        <f t="shared" si="51"/>
        <v>30.704507615091728</v>
      </c>
      <c r="F317" s="112">
        <f t="shared" si="44"/>
        <v>0.66732085115682704</v>
      </c>
      <c r="G317" s="116">
        <f t="shared" si="45"/>
        <v>0</v>
      </c>
      <c r="H317" s="116">
        <f t="shared" si="46"/>
        <v>0</v>
      </c>
      <c r="I317" s="116">
        <f t="shared" si="47"/>
        <v>0</v>
      </c>
      <c r="J317" s="116">
        <f t="shared" si="48"/>
        <v>0</v>
      </c>
      <c r="K317" s="116">
        <f t="shared" si="49"/>
        <v>0</v>
      </c>
      <c r="L317" s="350">
        <f t="shared" si="50"/>
        <v>0</v>
      </c>
      <c r="M317" s="164">
        <f>L317*D317*'B) D RI'!S319</f>
        <v>0</v>
      </c>
      <c r="N317" s="18">
        <f>(('B) D RI'!S319*C317)-M317)/'B) D RI'!S319</f>
        <v>19712.293888888889</v>
      </c>
      <c r="O317" s="167">
        <f t="shared" si="42"/>
        <v>30.704507615091728</v>
      </c>
      <c r="P317" s="106">
        <f t="shared" ref="P317:P322" si="52">O317/O$323</f>
        <v>0.70012371900258363</v>
      </c>
    </row>
    <row r="318" spans="1:16" x14ac:dyDescent="0.25">
      <c r="A318" s="82">
        <f>'A) Base RI'!A320</f>
        <v>5934</v>
      </c>
      <c r="B318" s="83" t="str">
        <f>'A) Base RI'!B320</f>
        <v>Valeyres-sous-Ursins</v>
      </c>
      <c r="C318" s="14">
        <f>'B) D RI'!U320</f>
        <v>5945.0260256410256</v>
      </c>
      <c r="D318" s="62">
        <f>'B) D RI'!AR320</f>
        <v>241</v>
      </c>
      <c r="E318" s="346">
        <f t="shared" si="51"/>
        <v>24.668157782742846</v>
      </c>
      <c r="F318" s="112">
        <f t="shared" si="44"/>
        <v>0.5361289701958859</v>
      </c>
      <c r="G318" s="116">
        <f t="shared" si="45"/>
        <v>0</v>
      </c>
      <c r="H318" s="116">
        <f t="shared" si="46"/>
        <v>0</v>
      </c>
      <c r="I318" s="116">
        <f t="shared" si="47"/>
        <v>0</v>
      </c>
      <c r="J318" s="116">
        <f t="shared" si="48"/>
        <v>0</v>
      </c>
      <c r="K318" s="116">
        <f t="shared" si="49"/>
        <v>0</v>
      </c>
      <c r="L318" s="350">
        <f t="shared" si="50"/>
        <v>0</v>
      </c>
      <c r="M318" s="164">
        <f>L318*D318*'B) D RI'!S320</f>
        <v>0</v>
      </c>
      <c r="N318" s="18">
        <f>(('B) D RI'!S320*C318)-M318)/'B) D RI'!S320</f>
        <v>5945.0260256410256</v>
      </c>
      <c r="O318" s="167">
        <f t="shared" si="42"/>
        <v>24.668157782742846</v>
      </c>
      <c r="P318" s="106">
        <f t="shared" si="52"/>
        <v>0.562482961273986</v>
      </c>
    </row>
    <row r="319" spans="1:16" x14ac:dyDescent="0.25">
      <c r="A319" s="82">
        <f>'A) Base RI'!A321</f>
        <v>5935</v>
      </c>
      <c r="B319" s="83" t="str">
        <f>'A) Base RI'!B321</f>
        <v>Villars-Epeney</v>
      </c>
      <c r="C319" s="14">
        <f>'B) D RI'!U321</f>
        <v>3981.1370000000011</v>
      </c>
      <c r="D319" s="62">
        <f>'B) D RI'!AR321</f>
        <v>89</v>
      </c>
      <c r="E319" s="346">
        <f t="shared" si="51"/>
        <v>44.731876404494393</v>
      </c>
      <c r="F319" s="112">
        <f t="shared" si="44"/>
        <v>0.97218669682940007</v>
      </c>
      <c r="G319" s="116">
        <f t="shared" si="45"/>
        <v>0</v>
      </c>
      <c r="H319" s="116">
        <f t="shared" si="46"/>
        <v>0</v>
      </c>
      <c r="I319" s="116">
        <f t="shared" si="47"/>
        <v>0</v>
      </c>
      <c r="J319" s="116">
        <f t="shared" si="48"/>
        <v>0</v>
      </c>
      <c r="K319" s="116">
        <f t="shared" si="49"/>
        <v>0</v>
      </c>
      <c r="L319" s="350">
        <f t="shared" si="50"/>
        <v>0</v>
      </c>
      <c r="M319" s="164">
        <f>L319*D319*'B) D RI'!S321</f>
        <v>0</v>
      </c>
      <c r="N319" s="18">
        <f>(('B) D RI'!S321*C319)-M319)/'B) D RI'!S321</f>
        <v>3981.1370000000011</v>
      </c>
      <c r="O319" s="167">
        <f t="shared" si="42"/>
        <v>44.731876404494393</v>
      </c>
      <c r="P319" s="106">
        <f t="shared" si="52"/>
        <v>1.0199755703258806</v>
      </c>
    </row>
    <row r="320" spans="1:16" x14ac:dyDescent="0.25">
      <c r="A320" s="82">
        <f>'A) Base RI'!A322</f>
        <v>5937</v>
      </c>
      <c r="B320" s="83" t="str">
        <f>'A) Base RI'!B322</f>
        <v>Vugelles-La Mothe</v>
      </c>
      <c r="C320" s="14">
        <f>'B) D RI'!U322</f>
        <v>2078.5690612244898</v>
      </c>
      <c r="D320" s="62">
        <f>'B) D RI'!AR322</f>
        <v>137</v>
      </c>
      <c r="E320" s="346">
        <f t="shared" si="51"/>
        <v>15.172036943244452</v>
      </c>
      <c r="F320" s="112">
        <f t="shared" si="44"/>
        <v>0.32974365632791686</v>
      </c>
      <c r="G320" s="116">
        <f t="shared" si="45"/>
        <v>0</v>
      </c>
      <c r="H320" s="116">
        <f t="shared" si="46"/>
        <v>0</v>
      </c>
      <c r="I320" s="116">
        <f t="shared" si="47"/>
        <v>0</v>
      </c>
      <c r="J320" s="116">
        <f t="shared" si="48"/>
        <v>0</v>
      </c>
      <c r="K320" s="116">
        <f t="shared" si="49"/>
        <v>0</v>
      </c>
      <c r="L320" s="350">
        <f t="shared" si="50"/>
        <v>0</v>
      </c>
      <c r="M320" s="164">
        <f>L320*D320*'B) D RI'!S322</f>
        <v>0</v>
      </c>
      <c r="N320" s="18">
        <f>(('B) D RI'!S322*C320)-M320)/'B) D RI'!S322</f>
        <v>2078.5690612244898</v>
      </c>
      <c r="O320" s="167">
        <f t="shared" si="42"/>
        <v>15.172036943244452</v>
      </c>
      <c r="P320" s="106">
        <f t="shared" si="52"/>
        <v>0.34595255728275787</v>
      </c>
    </row>
    <row r="321" spans="1:16" x14ac:dyDescent="0.25">
      <c r="A321" s="82">
        <f>'A) Base RI'!A323</f>
        <v>5938</v>
      </c>
      <c r="B321" s="83" t="str">
        <f>'A) Base RI'!B323</f>
        <v>Yverdon-les-Bains</v>
      </c>
      <c r="C321" s="14">
        <f>'B) D RI'!U323</f>
        <v>756903.16758169921</v>
      </c>
      <c r="D321" s="62">
        <f>'B) D RI'!AR323</f>
        <v>28972</v>
      </c>
      <c r="E321" s="346">
        <f t="shared" si="51"/>
        <v>26.125333687066796</v>
      </c>
      <c r="F321" s="112">
        <f t="shared" si="44"/>
        <v>0.56779871318439501</v>
      </c>
      <c r="G321" s="116">
        <f t="shared" si="45"/>
        <v>0</v>
      </c>
      <c r="H321" s="116">
        <f t="shared" si="46"/>
        <v>0</v>
      </c>
      <c r="I321" s="116">
        <f t="shared" si="47"/>
        <v>0</v>
      </c>
      <c r="J321" s="116">
        <f t="shared" si="48"/>
        <v>0</v>
      </c>
      <c r="K321" s="116">
        <f t="shared" si="49"/>
        <v>0</v>
      </c>
      <c r="L321" s="350">
        <f t="shared" si="50"/>
        <v>0</v>
      </c>
      <c r="M321" s="164">
        <f>L321*D321*'B) D RI'!S323</f>
        <v>0</v>
      </c>
      <c r="N321" s="18">
        <f>(('B) D RI'!S323*C321)-M321)/'B) D RI'!S323</f>
        <v>756903.16758169921</v>
      </c>
      <c r="O321" s="167">
        <f t="shared" si="42"/>
        <v>26.125333687066796</v>
      </c>
      <c r="P321" s="106">
        <f t="shared" si="52"/>
        <v>0.59570946424108751</v>
      </c>
    </row>
    <row r="322" spans="1:16" x14ac:dyDescent="0.25">
      <c r="A322" s="84">
        <f>'A) Base RI'!A324</f>
        <v>5939</v>
      </c>
      <c r="B322" s="87" t="str">
        <f>'A) Base RI'!B324</f>
        <v>Yvonand</v>
      </c>
      <c r="C322" s="153">
        <f>'B) D RI'!U324</f>
        <v>81342.881095890421</v>
      </c>
      <c r="D322" s="85">
        <f>'B) D RI'!AR324</f>
        <v>3095</v>
      </c>
      <c r="E322" s="347">
        <f t="shared" si="51"/>
        <v>26.282029433244077</v>
      </c>
      <c r="F322" s="113">
        <f t="shared" si="44"/>
        <v>0.5712042828167927</v>
      </c>
      <c r="G322" s="117">
        <f t="shared" si="45"/>
        <v>0</v>
      </c>
      <c r="H322" s="117">
        <f t="shared" si="46"/>
        <v>0</v>
      </c>
      <c r="I322" s="117">
        <f t="shared" si="47"/>
        <v>0</v>
      </c>
      <c r="J322" s="117">
        <f t="shared" si="48"/>
        <v>0</v>
      </c>
      <c r="K322" s="117">
        <f t="shared" si="49"/>
        <v>0</v>
      </c>
      <c r="L322" s="351">
        <f t="shared" si="50"/>
        <v>0</v>
      </c>
      <c r="M322" s="165">
        <f>L322*D322*'B) D RI'!S324</f>
        <v>0</v>
      </c>
      <c r="N322" s="43">
        <f>(('B) D RI'!S324*C322)-M322)/'B) D RI'!S324</f>
        <v>81342.881095890421</v>
      </c>
      <c r="O322" s="168">
        <f t="shared" si="42"/>
        <v>26.282029433244077</v>
      </c>
      <c r="P322" s="104">
        <f t="shared" si="52"/>
        <v>0.59928243827932282</v>
      </c>
    </row>
    <row r="323" spans="1:16" x14ac:dyDescent="0.25">
      <c r="A323" s="100"/>
      <c r="B323" s="99">
        <f>COUNTA(B5:B322)</f>
        <v>318</v>
      </c>
      <c r="C323" s="85">
        <f>SUM(C5:C322)</f>
        <v>34755744.815253168</v>
      </c>
      <c r="D323" s="85">
        <f>SUM(D5:D322)</f>
        <v>755369</v>
      </c>
      <c r="E323" s="107">
        <f>C323/D323</f>
        <v>46.011611298919028</v>
      </c>
      <c r="F323" s="104">
        <v>1</v>
      </c>
      <c r="G323" s="114"/>
      <c r="H323" s="114"/>
      <c r="I323" s="114"/>
      <c r="J323" s="114"/>
      <c r="K323" s="114"/>
      <c r="L323" s="60"/>
      <c r="M323" s="172">
        <f>SUM(M5:M322)</f>
        <v>92573132.113626584</v>
      </c>
      <c r="N323" s="43">
        <f>SUM(N5:N322)</f>
        <v>33127335.331169713</v>
      </c>
      <c r="O323" s="169">
        <f t="shared" si="42"/>
        <v>43.855831164860767</v>
      </c>
      <c r="P323" s="108">
        <v>1</v>
      </c>
    </row>
    <row r="324" spans="1:16" x14ac:dyDescent="0.25">
      <c r="M324" s="24"/>
      <c r="N324" s="58"/>
    </row>
    <row r="326" spans="1:16" x14ac:dyDescent="0.25">
      <c r="F326" s="27"/>
    </row>
    <row r="327" spans="1:16" x14ac:dyDescent="0.25">
      <c r="F327" s="27"/>
    </row>
    <row r="328" spans="1:16" x14ac:dyDescent="0.25">
      <c r="F328" s="27"/>
      <c r="G328" s="39"/>
    </row>
    <row r="329" spans="1:16" x14ac:dyDescent="0.25">
      <c r="E329" s="58"/>
    </row>
  </sheetData>
  <sheetProtection sheet="1" objects="1" scenarios="1"/>
  <mergeCells count="9">
    <mergeCell ref="A3:A4"/>
    <mergeCell ref="B3:B4"/>
    <mergeCell ref="F3:F4"/>
    <mergeCell ref="C3:E3"/>
    <mergeCell ref="P3:P4"/>
    <mergeCell ref="O3:O4"/>
    <mergeCell ref="N3:N4"/>
    <mergeCell ref="M3:M4"/>
    <mergeCell ref="L3:L4"/>
  </mergeCells>
  <phoneticPr fontId="6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341"/>
  <sheetViews>
    <sheetView workbookViewId="0"/>
  </sheetViews>
  <sheetFormatPr baseColWidth="10" defaultColWidth="10.75" defaultRowHeight="15" x14ac:dyDescent="0.25"/>
  <cols>
    <col min="1" max="1" width="7.25" style="24" customWidth="1"/>
    <col min="2" max="2" width="18" style="24" customWidth="1"/>
    <col min="3" max="3" width="10.375" style="24" customWidth="1"/>
    <col min="4" max="4" width="12.75" style="24" customWidth="1"/>
    <col min="5" max="5" width="12.125" style="24" customWidth="1"/>
    <col min="6" max="6" width="15.125" style="24" customWidth="1"/>
    <col min="7" max="7" width="12.125" style="24" customWidth="1"/>
    <col min="8" max="8" width="9.25" style="24" customWidth="1"/>
    <col min="9" max="10" width="12.125" style="24" customWidth="1"/>
    <col min="11" max="12" width="9.25" style="24" customWidth="1"/>
    <col min="13" max="13" width="12.125" style="24" customWidth="1"/>
    <col min="14" max="14" width="14" style="24" customWidth="1"/>
    <col min="15" max="20" width="12.125" style="24" customWidth="1"/>
    <col min="21" max="23" width="8.125" style="24" customWidth="1"/>
    <col min="24" max="31" width="11" style="24" customWidth="1"/>
    <col min="32" max="32" width="9.25" style="24" customWidth="1"/>
    <col min="33" max="33" width="11" style="24" customWidth="1"/>
    <col min="34" max="16384" width="10.75" style="24"/>
  </cols>
  <sheetData>
    <row r="1" spans="1:33" s="75" customFormat="1" ht="20.25" customHeight="1" x14ac:dyDescent="0.25">
      <c r="A1" s="86" t="s">
        <v>120</v>
      </c>
      <c r="B1" s="74"/>
      <c r="C1" s="123"/>
      <c r="D1" s="123"/>
      <c r="E1" s="123"/>
      <c r="F1" s="123"/>
      <c r="G1" s="123"/>
      <c r="H1" s="123"/>
      <c r="I1" s="123"/>
      <c r="J1" s="123"/>
      <c r="K1" s="24"/>
      <c r="L1" s="24"/>
      <c r="M1" s="123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</row>
    <row r="2" spans="1:33" s="89" customFormat="1" x14ac:dyDescent="0.25">
      <c r="A2" s="57"/>
      <c r="D2" s="24"/>
      <c r="E2" s="24"/>
      <c r="F2" s="24"/>
      <c r="G2" s="24"/>
      <c r="K2" s="24"/>
      <c r="L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</row>
    <row r="3" spans="1:33" s="89" customFormat="1" ht="30" x14ac:dyDescent="0.25">
      <c r="A3" s="449" t="s">
        <v>119</v>
      </c>
      <c r="B3" s="450"/>
      <c r="C3" s="451"/>
      <c r="D3" s="109" t="s">
        <v>3</v>
      </c>
      <c r="E3" s="119" t="s">
        <v>2</v>
      </c>
      <c r="F3" s="24"/>
      <c r="G3" s="24"/>
      <c r="K3" s="24"/>
      <c r="L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</row>
    <row r="4" spans="1:33" s="89" customFormat="1" x14ac:dyDescent="0.25">
      <c r="A4" s="138" t="s">
        <v>459</v>
      </c>
      <c r="B4" s="139"/>
      <c r="C4" s="152">
        <f>+Paramètres!B50</f>
        <v>703936600</v>
      </c>
      <c r="D4" s="150">
        <f>C4/$E$4</f>
        <v>21.249418130460427</v>
      </c>
      <c r="E4" s="155">
        <f>'D) Ecrêtage'!N323</f>
        <v>33127335.331169713</v>
      </c>
      <c r="F4" s="24"/>
      <c r="G4" s="24"/>
      <c r="K4" s="24"/>
      <c r="L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</row>
    <row r="5" spans="1:33" s="89" customFormat="1" x14ac:dyDescent="0.25">
      <c r="A5" s="140" t="s">
        <v>425</v>
      </c>
      <c r="B5" s="141"/>
      <c r="C5" s="14">
        <f>-'C) Prél. conj.'!H323</f>
        <v>-121553446.755</v>
      </c>
      <c r="D5" s="63">
        <f>C5/$E$4</f>
        <v>-3.6692793289845325</v>
      </c>
      <c r="E5" s="131"/>
      <c r="F5" s="24"/>
      <c r="G5" s="24"/>
      <c r="K5" s="24"/>
      <c r="L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</row>
    <row r="6" spans="1:33" s="89" customFormat="1" x14ac:dyDescent="0.25">
      <c r="A6" s="142" t="s">
        <v>426</v>
      </c>
      <c r="B6" s="143"/>
      <c r="C6" s="153">
        <f>-'D) Ecrêtage'!M323</f>
        <v>-92573132.113626584</v>
      </c>
      <c r="D6" s="63">
        <f>C6/$E$4</f>
        <v>-2.7944635808520331</v>
      </c>
      <c r="E6" s="131"/>
      <c r="F6" s="24"/>
      <c r="G6" s="24"/>
      <c r="K6" s="24"/>
      <c r="L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s="89" customFormat="1" x14ac:dyDescent="0.25">
      <c r="A7" s="134" t="s">
        <v>335</v>
      </c>
      <c r="B7" s="136"/>
      <c r="C7" s="154">
        <f>C4+C6+C5</f>
        <v>489810021.13137341</v>
      </c>
      <c r="D7" s="45">
        <f>C7/$E$4</f>
        <v>14.785675220623862</v>
      </c>
      <c r="E7" s="131"/>
      <c r="F7" s="24"/>
      <c r="G7" s="24"/>
      <c r="K7" s="24"/>
      <c r="L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</row>
    <row r="8" spans="1:33" s="89" customFormat="1" x14ac:dyDescent="0.25">
      <c r="A8" s="57"/>
      <c r="D8" s="24"/>
      <c r="E8" s="24"/>
      <c r="F8" s="24"/>
      <c r="G8" s="24"/>
      <c r="K8" s="24"/>
      <c r="L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</row>
    <row r="9" spans="1:33" ht="38.25" customHeight="1" x14ac:dyDescent="0.25">
      <c r="A9" s="435" t="s">
        <v>53</v>
      </c>
      <c r="B9" s="435" t="s">
        <v>123</v>
      </c>
      <c r="C9" s="435" t="s">
        <v>350</v>
      </c>
      <c r="D9" s="435" t="s">
        <v>502</v>
      </c>
      <c r="E9" s="454" t="s">
        <v>353</v>
      </c>
      <c r="F9" s="109" t="s">
        <v>503</v>
      </c>
      <c r="G9" s="452" t="s">
        <v>458</v>
      </c>
    </row>
    <row r="10" spans="1:33" x14ac:dyDescent="0.25">
      <c r="A10" s="437"/>
      <c r="B10" s="436"/>
      <c r="C10" s="437"/>
      <c r="D10" s="436"/>
      <c r="E10" s="455"/>
      <c r="F10" s="145">
        <f>D7</f>
        <v>14.785675220623862</v>
      </c>
      <c r="G10" s="453"/>
    </row>
    <row r="11" spans="1:33" x14ac:dyDescent="0.25">
      <c r="A11" s="78">
        <f>'A) Base RI'!A7</f>
        <v>5401</v>
      </c>
      <c r="B11" s="146" t="str">
        <f>'A) Base RI'!B7</f>
        <v>Aigle</v>
      </c>
      <c r="C11" s="90">
        <f>'A) Base RI'!AN7</f>
        <v>9771</v>
      </c>
      <c r="D11" s="149">
        <f>'C) Prél. conj.'!H5</f>
        <v>650739.40500000003</v>
      </c>
      <c r="E11" s="125">
        <f>'D) Ecrêtage'!M5</f>
        <v>0</v>
      </c>
      <c r="F11" s="73">
        <f>$F$10*'D) Ecrêtage'!N5</f>
        <v>3789781.7385461493</v>
      </c>
      <c r="G11" s="171">
        <f>D11+F11+E11</f>
        <v>4440521.1435461491</v>
      </c>
    </row>
    <row r="12" spans="1:33" x14ac:dyDescent="0.25">
      <c r="A12" s="82">
        <f>'A) Base RI'!A8</f>
        <v>5402</v>
      </c>
      <c r="B12" s="147" t="str">
        <f>'A) Base RI'!B8</f>
        <v>Bex</v>
      </c>
      <c r="C12" s="18">
        <f>'A) Base RI'!AN8</f>
        <v>7007</v>
      </c>
      <c r="D12" s="61">
        <f>'C) Prél. conj.'!H6</f>
        <v>605122.91500000004</v>
      </c>
      <c r="E12" s="25">
        <f>'D) Ecrêtage'!M6</f>
        <v>0</v>
      </c>
      <c r="F12" s="73">
        <f>$F$10*'D) Ecrêtage'!N6</f>
        <v>2420776.9661206319</v>
      </c>
      <c r="G12" s="98">
        <f t="shared" ref="G12:G67" si="0">D12+F12+E12</f>
        <v>3025899.8811206319</v>
      </c>
    </row>
    <row r="13" spans="1:33" x14ac:dyDescent="0.25">
      <c r="A13" s="82">
        <f>'A) Base RI'!A9</f>
        <v>5403</v>
      </c>
      <c r="B13" s="147" t="str">
        <f>'A) Base RI'!B9</f>
        <v>Chessel</v>
      </c>
      <c r="C13" s="18">
        <f>'A) Base RI'!AN9</f>
        <v>362</v>
      </c>
      <c r="D13" s="61">
        <f>'C) Prél. conj.'!H7</f>
        <v>23221.864999999998</v>
      </c>
      <c r="E13" s="25">
        <f>'D) Ecrêtage'!M7</f>
        <v>0</v>
      </c>
      <c r="F13" s="73">
        <f>$F$10*'D) Ecrêtage'!N7</f>
        <v>115722.04232521224</v>
      </c>
      <c r="G13" s="98">
        <f t="shared" si="0"/>
        <v>138943.90732521223</v>
      </c>
    </row>
    <row r="14" spans="1:33" x14ac:dyDescent="0.25">
      <c r="A14" s="82">
        <f>'A) Base RI'!A10</f>
        <v>5404</v>
      </c>
      <c r="B14" s="147" t="str">
        <f>'A) Base RI'!B10</f>
        <v>Corbeyrier</v>
      </c>
      <c r="C14" s="18">
        <f>'A) Base RI'!AN10</f>
        <v>421</v>
      </c>
      <c r="D14" s="61">
        <f>'C) Prél. conj.'!H8</f>
        <v>93064.58</v>
      </c>
      <c r="E14" s="25">
        <f>'D) Ecrêtage'!M8</f>
        <v>0</v>
      </c>
      <c r="F14" s="73">
        <f>$F$10*'D) Ecrêtage'!N8</f>
        <v>129560.44159776547</v>
      </c>
      <c r="G14" s="98">
        <f t="shared" si="0"/>
        <v>222625.02159776547</v>
      </c>
    </row>
    <row r="15" spans="1:33" x14ac:dyDescent="0.25">
      <c r="A15" s="82">
        <f>'A) Base RI'!A11</f>
        <v>5405</v>
      </c>
      <c r="B15" s="147" t="str">
        <f>'A) Base RI'!B11</f>
        <v>Gryon</v>
      </c>
      <c r="C15" s="18">
        <f>'A) Base RI'!AN11</f>
        <v>1248</v>
      </c>
      <c r="D15" s="61">
        <f>'C) Prél. conj.'!H9</f>
        <v>403541.6</v>
      </c>
      <c r="E15" s="25">
        <f>'D) Ecrêtage'!M9</f>
        <v>0</v>
      </c>
      <c r="F15" s="73">
        <f>$F$10*'D) Ecrêtage'!N9</f>
        <v>993415.5373063545</v>
      </c>
      <c r="G15" s="98">
        <f t="shared" si="0"/>
        <v>1396957.1373063545</v>
      </c>
    </row>
    <row r="16" spans="1:33" x14ac:dyDescent="0.25">
      <c r="A16" s="82">
        <f>'A) Base RI'!A12</f>
        <v>5406</v>
      </c>
      <c r="B16" s="147" t="str">
        <f>'A) Base RI'!B12</f>
        <v>Lavey-Morcles</v>
      </c>
      <c r="C16" s="18">
        <f>'A) Base RI'!AN12</f>
        <v>885</v>
      </c>
      <c r="D16" s="61">
        <f>'C) Prél. conj.'!H10</f>
        <v>63789.299999999996</v>
      </c>
      <c r="E16" s="25">
        <f>'D) Ecrêtage'!M10</f>
        <v>0</v>
      </c>
      <c r="F16" s="73">
        <f>$F$10*'D) Ecrêtage'!N10</f>
        <v>284032.10268950963</v>
      </c>
      <c r="G16" s="98">
        <f t="shared" si="0"/>
        <v>347821.40268950962</v>
      </c>
    </row>
    <row r="17" spans="1:7" x14ac:dyDescent="0.25">
      <c r="A17" s="82">
        <f>'A) Base RI'!A13</f>
        <v>5407</v>
      </c>
      <c r="B17" s="147" t="str">
        <f>'A) Base RI'!B13</f>
        <v>Leysin</v>
      </c>
      <c r="C17" s="18">
        <f>'A) Base RI'!AN13</f>
        <v>4050</v>
      </c>
      <c r="D17" s="61">
        <f>'C) Prél. conj.'!H11</f>
        <v>511611.42000000004</v>
      </c>
      <c r="E17" s="25">
        <f>'D) Ecrêtage'!M11</f>
        <v>0</v>
      </c>
      <c r="F17" s="73">
        <f>$F$10*'D) Ecrêtage'!N11</f>
        <v>1474443.5463923689</v>
      </c>
      <c r="G17" s="98">
        <f t="shared" si="0"/>
        <v>1986054.966392369</v>
      </c>
    </row>
    <row r="18" spans="1:7" x14ac:dyDescent="0.25">
      <c r="A18" s="82">
        <f>'A) Base RI'!A14</f>
        <v>5408</v>
      </c>
      <c r="B18" s="147" t="str">
        <f>'A) Base RI'!B14</f>
        <v>Noville</v>
      </c>
      <c r="C18" s="18">
        <f>'A) Base RI'!AN14</f>
        <v>971</v>
      </c>
      <c r="D18" s="61">
        <f>'C) Prél. conj.'!H12</f>
        <v>101534.61500000001</v>
      </c>
      <c r="E18" s="25">
        <f>'D) Ecrêtage'!M12</f>
        <v>0</v>
      </c>
      <c r="F18" s="73">
        <f>$F$10*'D) Ecrêtage'!N12</f>
        <v>410776.69756617578</v>
      </c>
      <c r="G18" s="98">
        <f t="shared" si="0"/>
        <v>512311.31256617577</v>
      </c>
    </row>
    <row r="19" spans="1:7" x14ac:dyDescent="0.25">
      <c r="A19" s="82">
        <f>'A) Base RI'!A15</f>
        <v>5409</v>
      </c>
      <c r="B19" s="147" t="str">
        <f>'A) Base RI'!B15</f>
        <v>Ollon</v>
      </c>
      <c r="C19" s="18">
        <f>'A) Base RI'!AN15</f>
        <v>7152</v>
      </c>
      <c r="D19" s="61">
        <f>'C) Prél. conj.'!H13</f>
        <v>1482731.6850000001</v>
      </c>
      <c r="E19" s="25">
        <f>'D) Ecrêtage'!M13</f>
        <v>0</v>
      </c>
      <c r="F19" s="73">
        <f>$F$10*'D) Ecrêtage'!N13</f>
        <v>5515294.352535448</v>
      </c>
      <c r="G19" s="98">
        <f t="shared" si="0"/>
        <v>6998026.0375354476</v>
      </c>
    </row>
    <row r="20" spans="1:7" x14ac:dyDescent="0.25">
      <c r="A20" s="82">
        <f>'A) Base RI'!A16</f>
        <v>5410</v>
      </c>
      <c r="B20" s="147" t="str">
        <f>'A) Base RI'!B16</f>
        <v>Ormont-Dessous</v>
      </c>
      <c r="C20" s="18">
        <f>'A) Base RI'!AN16</f>
        <v>1072</v>
      </c>
      <c r="D20" s="61">
        <f>'C) Prél. conj.'!H14</f>
        <v>126399.44</v>
      </c>
      <c r="E20" s="25">
        <f>'D) Ecrêtage'!M14</f>
        <v>0</v>
      </c>
      <c r="F20" s="73">
        <f>$F$10*'D) Ecrêtage'!N14</f>
        <v>467735.85369914043</v>
      </c>
      <c r="G20" s="98">
        <f t="shared" si="0"/>
        <v>594135.29369914043</v>
      </c>
    </row>
    <row r="21" spans="1:7" x14ac:dyDescent="0.25">
      <c r="A21" s="82">
        <f>'A) Base RI'!A17</f>
        <v>5411</v>
      </c>
      <c r="B21" s="147" t="str">
        <f>'A) Base RI'!B17</f>
        <v>Ormont-Dessus</v>
      </c>
      <c r="C21" s="18">
        <f>'A) Base RI'!AN17</f>
        <v>1457</v>
      </c>
      <c r="D21" s="61">
        <f>'C) Prél. conj.'!H15</f>
        <v>335617.45</v>
      </c>
      <c r="E21" s="25">
        <f>'D) Ecrêtage'!M15</f>
        <v>0</v>
      </c>
      <c r="F21" s="73">
        <f>$F$10*'D) Ecrêtage'!N15</f>
        <v>1005752.0969881107</v>
      </c>
      <c r="G21" s="98">
        <f t="shared" si="0"/>
        <v>1341369.5469881108</v>
      </c>
    </row>
    <row r="22" spans="1:7" x14ac:dyDescent="0.25">
      <c r="A22" s="82">
        <f>'A) Base RI'!A18</f>
        <v>5412</v>
      </c>
      <c r="B22" s="147" t="str">
        <f>'A) Base RI'!B18</f>
        <v>Rennaz</v>
      </c>
      <c r="C22" s="18">
        <f>'A) Base RI'!AN18</f>
        <v>802</v>
      </c>
      <c r="D22" s="61">
        <f>'C) Prél. conj.'!H16</f>
        <v>216645.63</v>
      </c>
      <c r="E22" s="25">
        <f>'D) Ecrêtage'!M16</f>
        <v>0</v>
      </c>
      <c r="F22" s="73">
        <f>$F$10*'D) Ecrêtage'!N16</f>
        <v>362983.34377734375</v>
      </c>
      <c r="G22" s="98">
        <f t="shared" si="0"/>
        <v>579628.97377734375</v>
      </c>
    </row>
    <row r="23" spans="1:7" x14ac:dyDescent="0.25">
      <c r="A23" s="82">
        <f>'A) Base RI'!A19</f>
        <v>5413</v>
      </c>
      <c r="B23" s="147" t="str">
        <f>'A) Base RI'!B19</f>
        <v>Roche</v>
      </c>
      <c r="C23" s="18">
        <f>'A) Base RI'!AN19</f>
        <v>1499</v>
      </c>
      <c r="D23" s="61">
        <f>'C) Prél. conj.'!H17</f>
        <v>211424.57</v>
      </c>
      <c r="E23" s="25">
        <f>'D) Ecrêtage'!M17</f>
        <v>0</v>
      </c>
      <c r="F23" s="73">
        <f>$F$10*'D) Ecrêtage'!N17</f>
        <v>523175.16219872108</v>
      </c>
      <c r="G23" s="98">
        <f t="shared" si="0"/>
        <v>734599.73219872103</v>
      </c>
    </row>
    <row r="24" spans="1:7" x14ac:dyDescent="0.25">
      <c r="A24" s="82">
        <f>'A) Base RI'!A20</f>
        <v>5414</v>
      </c>
      <c r="B24" s="147" t="str">
        <f>'A) Base RI'!B20</f>
        <v>Villeneuve</v>
      </c>
      <c r="C24" s="18">
        <f>'A) Base RI'!AN20</f>
        <v>5188</v>
      </c>
      <c r="D24" s="61">
        <f>'C) Prél. conj.'!H18</f>
        <v>943408.87</v>
      </c>
      <c r="E24" s="25">
        <f>'D) Ecrêtage'!M18</f>
        <v>0</v>
      </c>
      <c r="F24" s="73">
        <f>$F$10*'D) Ecrêtage'!N18</f>
        <v>2637289.9934700215</v>
      </c>
      <c r="G24" s="98">
        <f t="shared" si="0"/>
        <v>3580698.8634700216</v>
      </c>
    </row>
    <row r="25" spans="1:7" x14ac:dyDescent="0.25">
      <c r="A25" s="82">
        <f>'A) Base RI'!A21</f>
        <v>5415</v>
      </c>
      <c r="B25" s="147" t="str">
        <f>'A) Base RI'!B21</f>
        <v>Yvorne</v>
      </c>
      <c r="C25" s="18">
        <f>'A) Base RI'!AN21</f>
        <v>1039</v>
      </c>
      <c r="D25" s="61">
        <f>'C) Prél. conj.'!H19</f>
        <v>161570.595</v>
      </c>
      <c r="E25" s="25">
        <f>'D) Ecrêtage'!M19</f>
        <v>0</v>
      </c>
      <c r="F25" s="73">
        <f>$F$10*'D) Ecrêtage'!N19</f>
        <v>592514.08116657543</v>
      </c>
      <c r="G25" s="98">
        <f t="shared" si="0"/>
        <v>754084.6761665754</v>
      </c>
    </row>
    <row r="26" spans="1:7" x14ac:dyDescent="0.25">
      <c r="A26" s="82">
        <f>'A) Base RI'!A22</f>
        <v>5421</v>
      </c>
      <c r="B26" s="147" t="str">
        <f>'A) Base RI'!B22</f>
        <v>Apples</v>
      </c>
      <c r="C26" s="18">
        <f>'A) Base RI'!AN22</f>
        <v>1341</v>
      </c>
      <c r="D26" s="61">
        <f>'C) Prél. conj.'!H20</f>
        <v>145273.82</v>
      </c>
      <c r="E26" s="25">
        <f>'D) Ecrêtage'!M20</f>
        <v>0</v>
      </c>
      <c r="F26" s="73">
        <f>$F$10*'D) Ecrêtage'!N20</f>
        <v>727083.13204905379</v>
      </c>
      <c r="G26" s="98">
        <f t="shared" si="0"/>
        <v>872356.95204905374</v>
      </c>
    </row>
    <row r="27" spans="1:7" x14ac:dyDescent="0.25">
      <c r="A27" s="82">
        <f>'A) Base RI'!A23</f>
        <v>5422</v>
      </c>
      <c r="B27" s="147" t="str">
        <f>'A) Base RI'!B23</f>
        <v>Aubonne</v>
      </c>
      <c r="C27" s="18">
        <f>'A) Base RI'!AN23</f>
        <v>3051</v>
      </c>
      <c r="D27" s="61">
        <f>'C) Prél. conj.'!H21</f>
        <v>569145.23499999999</v>
      </c>
      <c r="E27" s="25">
        <f>'D) Ecrêtage'!M21</f>
        <v>2473522.0259348722</v>
      </c>
      <c r="F27" s="73">
        <f>$F$10*'D) Ecrêtage'!N21</f>
        <v>3257498.4790263777</v>
      </c>
      <c r="G27" s="98">
        <f t="shared" si="0"/>
        <v>6300165.7399612498</v>
      </c>
    </row>
    <row r="28" spans="1:7" x14ac:dyDescent="0.25">
      <c r="A28" s="82">
        <f>'A) Base RI'!A24</f>
        <v>5423</v>
      </c>
      <c r="B28" s="147" t="str">
        <f>'A) Base RI'!B24</f>
        <v>Ballens</v>
      </c>
      <c r="C28" s="18">
        <f>'A) Base RI'!AN24</f>
        <v>507</v>
      </c>
      <c r="D28" s="61">
        <f>'C) Prél. conj.'!H22</f>
        <v>17534.449999999997</v>
      </c>
      <c r="E28" s="25">
        <f>'D) Ecrêtage'!M22</f>
        <v>0</v>
      </c>
      <c r="F28" s="73">
        <f>$F$10*'D) Ecrêtage'!N22</f>
        <v>237400.54562344251</v>
      </c>
      <c r="G28" s="98">
        <f t="shared" si="0"/>
        <v>254934.99562344252</v>
      </c>
    </row>
    <row r="29" spans="1:7" x14ac:dyDescent="0.25">
      <c r="A29" s="82">
        <f>'A) Base RI'!A25</f>
        <v>5424</v>
      </c>
      <c r="B29" s="147" t="str">
        <f>'A) Base RI'!B25</f>
        <v>Berolle</v>
      </c>
      <c r="C29" s="18">
        <f>'A) Base RI'!AN25</f>
        <v>302</v>
      </c>
      <c r="D29" s="61">
        <f>'C) Prél. conj.'!H23</f>
        <v>6473.9</v>
      </c>
      <c r="E29" s="25">
        <f>'D) Ecrêtage'!M23</f>
        <v>0</v>
      </c>
      <c r="F29" s="73">
        <f>$F$10*'D) Ecrêtage'!N23</f>
        <v>138364.6885931064</v>
      </c>
      <c r="G29" s="98">
        <f t="shared" si="0"/>
        <v>144838.5885931064</v>
      </c>
    </row>
    <row r="30" spans="1:7" x14ac:dyDescent="0.25">
      <c r="A30" s="82">
        <f>'A) Base RI'!A26</f>
        <v>5425</v>
      </c>
      <c r="B30" s="147" t="str">
        <f>'A) Base RI'!B26</f>
        <v>Bière</v>
      </c>
      <c r="C30" s="18">
        <f>'A) Base RI'!AN26</f>
        <v>1526</v>
      </c>
      <c r="D30" s="61">
        <f>'C) Prél. conj.'!H24</f>
        <v>63737.34</v>
      </c>
      <c r="E30" s="25">
        <f>'D) Ecrêtage'!M24</f>
        <v>0</v>
      </c>
      <c r="F30" s="73">
        <f>$F$10*'D) Ecrêtage'!N24</f>
        <v>548939.21866557014</v>
      </c>
      <c r="G30" s="98">
        <f t="shared" si="0"/>
        <v>612676.5586655701</v>
      </c>
    </row>
    <row r="31" spans="1:7" x14ac:dyDescent="0.25">
      <c r="A31" s="82">
        <f>'A) Base RI'!A27</f>
        <v>5426</v>
      </c>
      <c r="B31" s="147" t="str">
        <f>'A) Base RI'!B27</f>
        <v>Bougy-Villars</v>
      </c>
      <c r="C31" s="18">
        <f>'A) Base RI'!AN27</f>
        <v>444</v>
      </c>
      <c r="D31" s="61">
        <f>'C) Prél. conj.'!H25</f>
        <v>236608.95999999996</v>
      </c>
      <c r="E31" s="25">
        <f>'D) Ecrêtage'!M25</f>
        <v>842189.61597574514</v>
      </c>
      <c r="F31" s="73">
        <f>$F$10*'D) Ecrêtage'!N25</f>
        <v>579609.79734320217</v>
      </c>
      <c r="G31" s="98">
        <f t="shared" si="0"/>
        <v>1658408.3733189474</v>
      </c>
    </row>
    <row r="32" spans="1:7" x14ac:dyDescent="0.25">
      <c r="A32" s="82">
        <f>'A) Base RI'!A28</f>
        <v>5427</v>
      </c>
      <c r="B32" s="147" t="str">
        <f>'A) Base RI'!B28</f>
        <v>Féchy</v>
      </c>
      <c r="C32" s="18">
        <f>'A) Base RI'!AN28</f>
        <v>857</v>
      </c>
      <c r="D32" s="61">
        <f>'C) Prél. conj.'!H26</f>
        <v>190507.52500000002</v>
      </c>
      <c r="E32" s="25">
        <f>'D) Ecrêtage'!M26</f>
        <v>740992.82565739565</v>
      </c>
      <c r="F32" s="73">
        <f>$F$10*'D) Ecrêtage'!N26</f>
        <v>938617.88231679029</v>
      </c>
      <c r="G32" s="98">
        <f t="shared" si="0"/>
        <v>1870118.2329741861</v>
      </c>
    </row>
    <row r="33" spans="1:7" x14ac:dyDescent="0.25">
      <c r="A33" s="82">
        <f>'A) Base RI'!A29</f>
        <v>5428</v>
      </c>
      <c r="B33" s="147" t="str">
        <f>'A) Base RI'!B29</f>
        <v>Gimel</v>
      </c>
      <c r="C33" s="18">
        <f>'A) Base RI'!AN29</f>
        <v>1923</v>
      </c>
      <c r="D33" s="61">
        <f>'C) Prél. conj.'!H27</f>
        <v>200697.12999999998</v>
      </c>
      <c r="E33" s="25">
        <f>'D) Ecrêtage'!M27</f>
        <v>0</v>
      </c>
      <c r="F33" s="73">
        <f>$F$10*'D) Ecrêtage'!N27</f>
        <v>802047.22838126239</v>
      </c>
      <c r="G33" s="98">
        <f t="shared" si="0"/>
        <v>1002744.3583812624</v>
      </c>
    </row>
    <row r="34" spans="1:7" x14ac:dyDescent="0.25">
      <c r="A34" s="82">
        <f>'A) Base RI'!A30</f>
        <v>5429</v>
      </c>
      <c r="B34" s="147" t="str">
        <f>'A) Base RI'!B30</f>
        <v>Longirod</v>
      </c>
      <c r="C34" s="18">
        <f>'A) Base RI'!AN30</f>
        <v>441</v>
      </c>
      <c r="D34" s="61">
        <f>'C) Prél. conj.'!H28</f>
        <v>46369.925000000003</v>
      </c>
      <c r="E34" s="25">
        <f>'D) Ecrêtage'!M28</f>
        <v>0</v>
      </c>
      <c r="F34" s="73">
        <f>$F$10*'D) Ecrêtage'!N28</f>
        <v>216192.39372078882</v>
      </c>
      <c r="G34" s="98">
        <f t="shared" si="0"/>
        <v>262562.31872078881</v>
      </c>
    </row>
    <row r="35" spans="1:7" x14ac:dyDescent="0.25">
      <c r="A35" s="82">
        <f>'A) Base RI'!A31</f>
        <v>5430</v>
      </c>
      <c r="B35" s="147" t="str">
        <f>'A) Base RI'!B31</f>
        <v>Marchissy</v>
      </c>
      <c r="C35" s="18">
        <f>'A) Base RI'!AN31</f>
        <v>444</v>
      </c>
      <c r="D35" s="61">
        <f>'C) Prél. conj.'!H29</f>
        <v>41194.619999999995</v>
      </c>
      <c r="E35" s="25">
        <f>'D) Ecrêtage'!M29</f>
        <v>0</v>
      </c>
      <c r="F35" s="73">
        <f>$F$10*'D) Ecrêtage'!N29</f>
        <v>193239.58245942899</v>
      </c>
      <c r="G35" s="98">
        <f t="shared" si="0"/>
        <v>234434.20245942898</v>
      </c>
    </row>
    <row r="36" spans="1:7" x14ac:dyDescent="0.25">
      <c r="A36" s="82">
        <f>'A) Base RI'!A32</f>
        <v>5431</v>
      </c>
      <c r="B36" s="147" t="str">
        <f>'A) Base RI'!B32</f>
        <v>Mollens</v>
      </c>
      <c r="C36" s="18">
        <f>'A) Base RI'!AN32</f>
        <v>288</v>
      </c>
      <c r="D36" s="61">
        <f>'C) Prél. conj.'!H30</f>
        <v>21428.85</v>
      </c>
      <c r="E36" s="25">
        <f>'D) Ecrêtage'!M30</f>
        <v>0</v>
      </c>
      <c r="F36" s="73">
        <f>$F$10*'D) Ecrêtage'!N30</f>
        <v>118644.89547733817</v>
      </c>
      <c r="G36" s="98">
        <f t="shared" si="0"/>
        <v>140073.74547733818</v>
      </c>
    </row>
    <row r="37" spans="1:7" x14ac:dyDescent="0.25">
      <c r="A37" s="82">
        <f>'A) Base RI'!A33</f>
        <v>5432</v>
      </c>
      <c r="B37" s="147" t="str">
        <f>'A) Base RI'!B33</f>
        <v>Montherod</v>
      </c>
      <c r="C37" s="18">
        <f>'A) Base RI'!AN33</f>
        <v>521</v>
      </c>
      <c r="D37" s="61">
        <f>'C) Prél. conj.'!H31</f>
        <v>71012.13</v>
      </c>
      <c r="E37" s="25">
        <f>'D) Ecrêtage'!M31</f>
        <v>0</v>
      </c>
      <c r="F37" s="73">
        <f>$F$10*'D) Ecrêtage'!N31</f>
        <v>263176.5990844859</v>
      </c>
      <c r="G37" s="98">
        <f t="shared" si="0"/>
        <v>334188.72908448591</v>
      </c>
    </row>
    <row r="38" spans="1:7" x14ac:dyDescent="0.25">
      <c r="A38" s="82">
        <f>'A) Base RI'!A34</f>
        <v>5434</v>
      </c>
      <c r="B38" s="147" t="str">
        <f>'A) Base RI'!B34</f>
        <v>Saint-George</v>
      </c>
      <c r="C38" s="18">
        <f>'A) Base RI'!AN34</f>
        <v>951</v>
      </c>
      <c r="D38" s="61">
        <f>'C) Prél. conj.'!H32</f>
        <v>195551.44</v>
      </c>
      <c r="E38" s="25">
        <f>'D) Ecrêtage'!M32</f>
        <v>0</v>
      </c>
      <c r="F38" s="73">
        <f>$F$10*'D) Ecrêtage'!N32</f>
        <v>519496.17096866324</v>
      </c>
      <c r="G38" s="98">
        <f t="shared" si="0"/>
        <v>715047.61096866324</v>
      </c>
    </row>
    <row r="39" spans="1:7" x14ac:dyDescent="0.25">
      <c r="A39" s="82">
        <f>'A) Base RI'!A35</f>
        <v>5435</v>
      </c>
      <c r="B39" s="147" t="str">
        <f>'A) Base RI'!B35</f>
        <v>Saint-Livres</v>
      </c>
      <c r="C39" s="18">
        <f>'A) Base RI'!AN35</f>
        <v>699</v>
      </c>
      <c r="D39" s="61">
        <f>'C) Prél. conj.'!H33</f>
        <v>77270.95</v>
      </c>
      <c r="E39" s="25">
        <f>'D) Ecrêtage'!M33</f>
        <v>0</v>
      </c>
      <c r="F39" s="73">
        <f>$F$10*'D) Ecrêtage'!N33</f>
        <v>318760.66066266428</v>
      </c>
      <c r="G39" s="98">
        <f t="shared" si="0"/>
        <v>396031.61066266429</v>
      </c>
    </row>
    <row r="40" spans="1:7" x14ac:dyDescent="0.25">
      <c r="A40" s="82">
        <f>'A) Base RI'!A36</f>
        <v>5436</v>
      </c>
      <c r="B40" s="147" t="str">
        <f>'A) Base RI'!B36</f>
        <v>Saint-Oyens</v>
      </c>
      <c r="C40" s="18">
        <f>'A) Base RI'!AN36</f>
        <v>326</v>
      </c>
      <c r="D40" s="61">
        <f>'C) Prél. conj.'!H34</f>
        <v>53054.7</v>
      </c>
      <c r="E40" s="25">
        <f>'D) Ecrêtage'!M34</f>
        <v>0</v>
      </c>
      <c r="F40" s="73">
        <f>$F$10*'D) Ecrêtage'!N34</f>
        <v>168105.4104138026</v>
      </c>
      <c r="G40" s="98">
        <f t="shared" si="0"/>
        <v>221160.11041380261</v>
      </c>
    </row>
    <row r="41" spans="1:7" x14ac:dyDescent="0.25">
      <c r="A41" s="82">
        <f>'A) Base RI'!A37</f>
        <v>5437</v>
      </c>
      <c r="B41" s="147" t="str">
        <f>'A) Base RI'!B37</f>
        <v>Saubraz</v>
      </c>
      <c r="C41" s="18">
        <f>'A) Base RI'!AN37</f>
        <v>385</v>
      </c>
      <c r="D41" s="61">
        <f>'C) Prél. conj.'!H35</f>
        <v>58376.6</v>
      </c>
      <c r="E41" s="25">
        <f>'D) Ecrêtage'!M35</f>
        <v>0</v>
      </c>
      <c r="F41" s="73">
        <f>$F$10*'D) Ecrêtage'!N35</f>
        <v>121372.46904757853</v>
      </c>
      <c r="G41" s="98">
        <f t="shared" si="0"/>
        <v>179749.06904757852</v>
      </c>
    </row>
    <row r="42" spans="1:7" x14ac:dyDescent="0.25">
      <c r="A42" s="82">
        <f>'A) Base RI'!A38</f>
        <v>5451</v>
      </c>
      <c r="B42" s="147" t="str">
        <f>'A) Base RI'!B38</f>
        <v>Avenches</v>
      </c>
      <c r="C42" s="18">
        <f>'A) Base RI'!AN38</f>
        <v>4030</v>
      </c>
      <c r="D42" s="61">
        <f>'C) Prél. conj.'!H36</f>
        <v>496056.57000000007</v>
      </c>
      <c r="E42" s="25">
        <f>'D) Ecrêtage'!M36</f>
        <v>0</v>
      </c>
      <c r="F42" s="73">
        <f>$F$10*'D) Ecrêtage'!N36</f>
        <v>1534020.8903920115</v>
      </c>
      <c r="G42" s="98">
        <f t="shared" si="0"/>
        <v>2030077.4603920116</v>
      </c>
    </row>
    <row r="43" spans="1:7" x14ac:dyDescent="0.25">
      <c r="A43" s="82">
        <f>'A) Base RI'!A39</f>
        <v>5456</v>
      </c>
      <c r="B43" s="147" t="str">
        <f>'A) Base RI'!B39</f>
        <v>Cudrefin</v>
      </c>
      <c r="C43" s="18">
        <f>'A) Base RI'!AN39</f>
        <v>1464</v>
      </c>
      <c r="D43" s="61">
        <f>'C) Prél. conj.'!H37</f>
        <v>231470.55</v>
      </c>
      <c r="E43" s="25">
        <f>'D) Ecrêtage'!M37</f>
        <v>0</v>
      </c>
      <c r="F43" s="73">
        <f>$F$10*'D) Ecrêtage'!N37</f>
        <v>669205.63406529487</v>
      </c>
      <c r="G43" s="98">
        <f t="shared" si="0"/>
        <v>900676.18406529492</v>
      </c>
    </row>
    <row r="44" spans="1:7" x14ac:dyDescent="0.25">
      <c r="A44" s="82">
        <f>'A) Base RI'!A40</f>
        <v>5458</v>
      </c>
      <c r="B44" s="147" t="str">
        <f>'A) Base RI'!B40</f>
        <v>Faoug</v>
      </c>
      <c r="C44" s="18">
        <f>'A) Base RI'!AN40</f>
        <v>825</v>
      </c>
      <c r="D44" s="61">
        <f>'C) Prél. conj.'!H38</f>
        <v>174030.5</v>
      </c>
      <c r="E44" s="25">
        <f>'D) Ecrêtage'!M38</f>
        <v>0</v>
      </c>
      <c r="F44" s="73">
        <f>$F$10*'D) Ecrêtage'!N38</f>
        <v>395248.19521502854</v>
      </c>
      <c r="G44" s="98">
        <f t="shared" si="0"/>
        <v>569278.69521502848</v>
      </c>
    </row>
    <row r="45" spans="1:7" x14ac:dyDescent="0.25">
      <c r="A45" s="82">
        <f>'A) Base RI'!A41</f>
        <v>5464</v>
      </c>
      <c r="B45" s="147" t="str">
        <f>'A) Base RI'!B41</f>
        <v>Vully-les-Lacs</v>
      </c>
      <c r="C45" s="18">
        <f>'A) Base RI'!AN41</f>
        <v>2798</v>
      </c>
      <c r="D45" s="61">
        <f>'C) Prél. conj.'!H39</f>
        <v>293007.59999999998</v>
      </c>
      <c r="E45" s="25">
        <f>'D) Ecrêtage'!M39</f>
        <v>0</v>
      </c>
      <c r="F45" s="73">
        <f>$F$10*'D) Ecrêtage'!N39</f>
        <v>1354810.1052027154</v>
      </c>
      <c r="G45" s="98">
        <f t="shared" si="0"/>
        <v>1647817.7052027155</v>
      </c>
    </row>
    <row r="46" spans="1:7" x14ac:dyDescent="0.25">
      <c r="A46" s="82">
        <f>'A) Base RI'!A42</f>
        <v>5471</v>
      </c>
      <c r="B46" s="147" t="str">
        <f>'A) Base RI'!B42</f>
        <v>Bettens</v>
      </c>
      <c r="C46" s="18">
        <f>'A) Base RI'!AN42</f>
        <v>531</v>
      </c>
      <c r="D46" s="61">
        <f>'C) Prél. conj.'!H40</f>
        <v>129039.90000000001</v>
      </c>
      <c r="E46" s="25">
        <f>'D) Ecrêtage'!M40</f>
        <v>0</v>
      </c>
      <c r="F46" s="73">
        <f>$F$10*'D) Ecrêtage'!N40</f>
        <v>276023.11773217696</v>
      </c>
      <c r="G46" s="98">
        <f t="shared" si="0"/>
        <v>405063.01773217699</v>
      </c>
    </row>
    <row r="47" spans="1:7" x14ac:dyDescent="0.25">
      <c r="A47" s="82">
        <f>'A) Base RI'!A43</f>
        <v>5472</v>
      </c>
      <c r="B47" s="147" t="str">
        <f>'A) Base RI'!B43</f>
        <v>Bournens</v>
      </c>
      <c r="C47" s="18">
        <f>'A) Base RI'!AN43</f>
        <v>362</v>
      </c>
      <c r="D47" s="61">
        <f>'C) Prél. conj.'!H41</f>
        <v>28258.325000000001</v>
      </c>
      <c r="E47" s="25">
        <f>'D) Ecrêtage'!M41</f>
        <v>0</v>
      </c>
      <c r="F47" s="73">
        <f>$F$10*'D) Ecrêtage'!N41</f>
        <v>189769.25109462807</v>
      </c>
      <c r="G47" s="98">
        <f t="shared" si="0"/>
        <v>218027.57609462808</v>
      </c>
    </row>
    <row r="48" spans="1:7" x14ac:dyDescent="0.25">
      <c r="A48" s="82">
        <f>'A) Base RI'!A44</f>
        <v>5473</v>
      </c>
      <c r="B48" s="147" t="str">
        <f>'A) Base RI'!B44</f>
        <v>Boussens</v>
      </c>
      <c r="C48" s="18">
        <f>'A) Base RI'!AN44</f>
        <v>944</v>
      </c>
      <c r="D48" s="61">
        <f>'C) Prél. conj.'!H42</f>
        <v>61719.8</v>
      </c>
      <c r="E48" s="25">
        <f>'D) Ecrêtage'!M42</f>
        <v>0</v>
      </c>
      <c r="F48" s="73">
        <f>$F$10*'D) Ecrêtage'!N42</f>
        <v>486515.36386814644</v>
      </c>
      <c r="G48" s="98">
        <f t="shared" si="0"/>
        <v>548235.16386814648</v>
      </c>
    </row>
    <row r="49" spans="1:7" x14ac:dyDescent="0.25">
      <c r="A49" s="82">
        <f>'A) Base RI'!A45</f>
        <v>5474</v>
      </c>
      <c r="B49" s="147" t="str">
        <f>'A) Base RI'!B45</f>
        <v>La Chaux (Cossonay)</v>
      </c>
      <c r="C49" s="18">
        <f>'A) Base RI'!AN45</f>
        <v>422</v>
      </c>
      <c r="D49" s="61">
        <f>'C) Prél. conj.'!H43</f>
        <v>31747.15</v>
      </c>
      <c r="E49" s="25">
        <f>'D) Ecrêtage'!M43</f>
        <v>0</v>
      </c>
      <c r="F49" s="73">
        <f>$F$10*'D) Ecrêtage'!N43</f>
        <v>191361.6934867411</v>
      </c>
      <c r="G49" s="98">
        <f t="shared" si="0"/>
        <v>223108.8434867411</v>
      </c>
    </row>
    <row r="50" spans="1:7" x14ac:dyDescent="0.25">
      <c r="A50" s="82">
        <f>'A) Base RI'!A46</f>
        <v>5475</v>
      </c>
      <c r="B50" s="147" t="str">
        <f>'A) Base RI'!B46</f>
        <v>Chavannes-le-Veyron</v>
      </c>
      <c r="C50" s="18">
        <f>'A) Base RI'!AN46</f>
        <v>127</v>
      </c>
      <c r="D50" s="61">
        <f>'C) Prél. conj.'!H44</f>
        <v>16489.05</v>
      </c>
      <c r="E50" s="25">
        <f>'D) Ecrêtage'!M44</f>
        <v>0</v>
      </c>
      <c r="F50" s="73">
        <f>$F$10*'D) Ecrêtage'!N44</f>
        <v>42537.66368771431</v>
      </c>
      <c r="G50" s="98">
        <f t="shared" si="0"/>
        <v>59026.713687714306</v>
      </c>
    </row>
    <row r="51" spans="1:7" x14ac:dyDescent="0.25">
      <c r="A51" s="82">
        <f>'A) Base RI'!A47</f>
        <v>5476</v>
      </c>
      <c r="B51" s="147" t="str">
        <f>'A) Base RI'!B47</f>
        <v>Chevilly</v>
      </c>
      <c r="C51" s="18">
        <f>'A) Base RI'!AN47</f>
        <v>249</v>
      </c>
      <c r="D51" s="61">
        <f>'C) Prél. conj.'!H45</f>
        <v>42942.425000000003</v>
      </c>
      <c r="E51" s="25">
        <f>'D) Ecrêtage'!M45</f>
        <v>0</v>
      </c>
      <c r="F51" s="73">
        <f>$F$10*'D) Ecrêtage'!N45</f>
        <v>107738.26213148718</v>
      </c>
      <c r="G51" s="98">
        <f t="shared" si="0"/>
        <v>150680.68713148718</v>
      </c>
    </row>
    <row r="52" spans="1:7" x14ac:dyDescent="0.25">
      <c r="A52" s="82">
        <f>'A) Base RI'!A48</f>
        <v>5477</v>
      </c>
      <c r="B52" s="147" t="str">
        <f>'A) Base RI'!B48</f>
        <v>Cossonay</v>
      </c>
      <c r="C52" s="18">
        <f>'A) Base RI'!AN48</f>
        <v>3608</v>
      </c>
      <c r="D52" s="61">
        <f>'C) Prél. conj.'!H46</f>
        <v>327946.15000000002</v>
      </c>
      <c r="E52" s="25">
        <f>'D) Ecrêtage'!M46</f>
        <v>0</v>
      </c>
      <c r="F52" s="73">
        <f>$F$10*'D) Ecrêtage'!N46</f>
        <v>1859120.9255105869</v>
      </c>
      <c r="G52" s="98">
        <f t="shared" si="0"/>
        <v>2187067.0755105871</v>
      </c>
    </row>
    <row r="53" spans="1:7" x14ac:dyDescent="0.25">
      <c r="A53" s="82">
        <f>'A) Base RI'!A49</f>
        <v>5478</v>
      </c>
      <c r="B53" s="147" t="str">
        <f>'A) Base RI'!B49</f>
        <v>Cottens</v>
      </c>
      <c r="C53" s="18">
        <f>'A) Base RI'!AN49</f>
        <v>472</v>
      </c>
      <c r="D53" s="61">
        <f>'C) Prél. conj.'!H47</f>
        <v>23144.175000000003</v>
      </c>
      <c r="E53" s="25">
        <f>'D) Ecrêtage'!M47</f>
        <v>0</v>
      </c>
      <c r="F53" s="73">
        <f>$F$10*'D) Ecrêtage'!N47</f>
        <v>230854.6553289906</v>
      </c>
      <c r="G53" s="98">
        <f t="shared" si="0"/>
        <v>253998.83032899059</v>
      </c>
    </row>
    <row r="54" spans="1:7" x14ac:dyDescent="0.25">
      <c r="A54" s="82">
        <f>'A) Base RI'!A50</f>
        <v>5479</v>
      </c>
      <c r="B54" s="147" t="str">
        <f>'A) Base RI'!B50</f>
        <v>Cuarnens</v>
      </c>
      <c r="C54" s="18">
        <f>'A) Base RI'!AN50</f>
        <v>435</v>
      </c>
      <c r="D54" s="61">
        <f>'C) Prél. conj.'!H48</f>
        <v>75963.75</v>
      </c>
      <c r="E54" s="25">
        <f>'D) Ecrêtage'!M48</f>
        <v>0</v>
      </c>
      <c r="F54" s="73">
        <f>$F$10*'D) Ecrêtage'!N48</f>
        <v>184517.7340644623</v>
      </c>
      <c r="G54" s="98">
        <f t="shared" si="0"/>
        <v>260481.4840644623</v>
      </c>
    </row>
    <row r="55" spans="1:7" x14ac:dyDescent="0.25">
      <c r="A55" s="82">
        <f>'A) Base RI'!A51</f>
        <v>5480</v>
      </c>
      <c r="B55" s="147" t="str">
        <f>'A) Base RI'!B51</f>
        <v>Daillens</v>
      </c>
      <c r="C55" s="18">
        <f>'A) Base RI'!AN51</f>
        <v>940</v>
      </c>
      <c r="D55" s="61">
        <f>'C) Prél. conj.'!H49</f>
        <v>133348.435</v>
      </c>
      <c r="E55" s="25">
        <f>'D) Ecrêtage'!M49</f>
        <v>0</v>
      </c>
      <c r="F55" s="73">
        <f>$F$10*'D) Ecrêtage'!N49</f>
        <v>568884.98912747495</v>
      </c>
      <c r="G55" s="98">
        <f t="shared" si="0"/>
        <v>702233.42412747489</v>
      </c>
    </row>
    <row r="56" spans="1:7" x14ac:dyDescent="0.25">
      <c r="A56" s="82">
        <f>'A) Base RI'!A52</f>
        <v>5481</v>
      </c>
      <c r="B56" s="147" t="str">
        <f>'A) Base RI'!B52</f>
        <v>Dizy</v>
      </c>
      <c r="C56" s="18">
        <f>'A) Base RI'!AN52</f>
        <v>224</v>
      </c>
      <c r="D56" s="61">
        <f>'C) Prél. conj.'!H50</f>
        <v>25009.65</v>
      </c>
      <c r="E56" s="25">
        <f>'D) Ecrêtage'!M50</f>
        <v>0</v>
      </c>
      <c r="F56" s="73">
        <f>$F$10*'D) Ecrêtage'!N50</f>
        <v>119323.37214999246</v>
      </c>
      <c r="G56" s="98">
        <f t="shared" si="0"/>
        <v>144333.02214999247</v>
      </c>
    </row>
    <row r="57" spans="1:7" x14ac:dyDescent="0.25">
      <c r="A57" s="82">
        <f>'A) Base RI'!A53</f>
        <v>5482</v>
      </c>
      <c r="B57" s="147" t="str">
        <f>'A) Base RI'!B53</f>
        <v>Eclépens</v>
      </c>
      <c r="C57" s="18">
        <f>'A) Base RI'!AN53</f>
        <v>1010</v>
      </c>
      <c r="D57" s="61">
        <f>'C) Prél. conj.'!H51</f>
        <v>159522.03</v>
      </c>
      <c r="E57" s="25">
        <f>'D) Ecrêtage'!M51</f>
        <v>210860.61367055963</v>
      </c>
      <c r="F57" s="73">
        <f>$F$10*'D) Ecrêtage'!N51</f>
        <v>945030.50303559436</v>
      </c>
      <c r="G57" s="98">
        <f t="shared" si="0"/>
        <v>1315413.1467061539</v>
      </c>
    </row>
    <row r="58" spans="1:7" x14ac:dyDescent="0.25">
      <c r="A58" s="82">
        <f>'A) Base RI'!A54</f>
        <v>5483</v>
      </c>
      <c r="B58" s="147" t="str">
        <f>'A) Base RI'!B54</f>
        <v>Ferreyres</v>
      </c>
      <c r="C58" s="18">
        <f>'A) Base RI'!AN54</f>
        <v>302</v>
      </c>
      <c r="D58" s="61">
        <f>'C) Prél. conj.'!H52</f>
        <v>7825.05</v>
      </c>
      <c r="E58" s="25">
        <f>'D) Ecrêtage'!M52</f>
        <v>0</v>
      </c>
      <c r="F58" s="73">
        <f>$F$10*'D) Ecrêtage'!N52</f>
        <v>148505.21301174353</v>
      </c>
      <c r="G58" s="98">
        <f t="shared" si="0"/>
        <v>156330.26301174352</v>
      </c>
    </row>
    <row r="59" spans="1:7" x14ac:dyDescent="0.25">
      <c r="A59" s="82">
        <f>'A) Base RI'!A55</f>
        <v>5484</v>
      </c>
      <c r="B59" s="147" t="str">
        <f>'A) Base RI'!B55</f>
        <v>Gollion</v>
      </c>
      <c r="C59" s="18">
        <f>'A) Base RI'!AN55</f>
        <v>813</v>
      </c>
      <c r="D59" s="61">
        <f>'C) Prél. conj.'!H53</f>
        <v>89725.755000000005</v>
      </c>
      <c r="E59" s="25">
        <f>'D) Ecrêtage'!M53</f>
        <v>0</v>
      </c>
      <c r="F59" s="73">
        <f>$F$10*'D) Ecrêtage'!N53</f>
        <v>361521.94533792511</v>
      </c>
      <c r="G59" s="98">
        <f t="shared" si="0"/>
        <v>451247.70033792511</v>
      </c>
    </row>
    <row r="60" spans="1:7" x14ac:dyDescent="0.25">
      <c r="A60" s="82">
        <f>'A) Base RI'!A56</f>
        <v>5485</v>
      </c>
      <c r="B60" s="147" t="str">
        <f>'A) Base RI'!B56</f>
        <v>Grancy</v>
      </c>
      <c r="C60" s="18">
        <f>'A) Base RI'!AN56</f>
        <v>388</v>
      </c>
      <c r="D60" s="61">
        <f>'C) Prél. conj.'!H54</f>
        <v>46667.555</v>
      </c>
      <c r="E60" s="25">
        <f>'D) Ecrêtage'!M54</f>
        <v>0</v>
      </c>
      <c r="F60" s="73">
        <f>$F$10*'D) Ecrêtage'!N54</f>
        <v>266319.5398290907</v>
      </c>
      <c r="G60" s="98">
        <f t="shared" si="0"/>
        <v>312987.0948290907</v>
      </c>
    </row>
    <row r="61" spans="1:7" x14ac:dyDescent="0.25">
      <c r="A61" s="82">
        <f>'A) Base RI'!A57</f>
        <v>5486</v>
      </c>
      <c r="B61" s="147" t="str">
        <f>'A) Base RI'!B57</f>
        <v>L'Isle</v>
      </c>
      <c r="C61" s="18">
        <f>'A) Base RI'!AN57</f>
        <v>1004</v>
      </c>
      <c r="D61" s="61">
        <f>'C) Prél. conj.'!H55</f>
        <v>157422.155</v>
      </c>
      <c r="E61" s="25">
        <f>'D) Ecrêtage'!M55</f>
        <v>0</v>
      </c>
      <c r="F61" s="73">
        <f>$F$10*'D) Ecrêtage'!N55</f>
        <v>393709.85683654179</v>
      </c>
      <c r="G61" s="98">
        <f t="shared" si="0"/>
        <v>551132.01183654182</v>
      </c>
    </row>
    <row r="62" spans="1:7" x14ac:dyDescent="0.25">
      <c r="A62" s="82">
        <f>'A) Base RI'!A58</f>
        <v>5487</v>
      </c>
      <c r="B62" s="147" t="str">
        <f>'A) Base RI'!B58</f>
        <v>Lussery-Villars</v>
      </c>
      <c r="C62" s="18">
        <f>'A) Base RI'!AN58</f>
        <v>404</v>
      </c>
      <c r="D62" s="61">
        <f>'C) Prél. conj.'!H56</f>
        <v>57526.899999999994</v>
      </c>
      <c r="E62" s="25">
        <f>'D) Ecrêtage'!M56</f>
        <v>0</v>
      </c>
      <c r="F62" s="73">
        <f>$F$10*'D) Ecrêtage'!N56</f>
        <v>209388.28592007895</v>
      </c>
      <c r="G62" s="98">
        <f t="shared" si="0"/>
        <v>266915.18592007895</v>
      </c>
    </row>
    <row r="63" spans="1:7" x14ac:dyDescent="0.25">
      <c r="A63" s="82">
        <f>'A) Base RI'!A59</f>
        <v>5488</v>
      </c>
      <c r="B63" s="147" t="str">
        <f>'A) Base RI'!B59</f>
        <v>Mauraz</v>
      </c>
      <c r="C63" s="18">
        <f>'A) Base RI'!AN59</f>
        <v>49</v>
      </c>
      <c r="D63" s="61">
        <f>'C) Prél. conj.'!H57</f>
        <v>0</v>
      </c>
      <c r="E63" s="25">
        <f>'D) Ecrêtage'!M57</f>
        <v>0</v>
      </c>
      <c r="F63" s="73">
        <f>$F$10*'D) Ecrêtage'!N57</f>
        <v>24372.742998832317</v>
      </c>
      <c r="G63" s="98">
        <f t="shared" si="0"/>
        <v>24372.742998832317</v>
      </c>
    </row>
    <row r="64" spans="1:7" x14ac:dyDescent="0.25">
      <c r="A64" s="82">
        <f>'A) Base RI'!A60</f>
        <v>5489</v>
      </c>
      <c r="B64" s="147" t="str">
        <f>'A) Base RI'!B60</f>
        <v>Mex</v>
      </c>
      <c r="C64" s="18">
        <f>'A) Base RI'!AN60</f>
        <v>670</v>
      </c>
      <c r="D64" s="61">
        <f>'C) Prél. conj.'!H58</f>
        <v>91013.244999999995</v>
      </c>
      <c r="E64" s="25">
        <f>'D) Ecrêtage'!M58</f>
        <v>418901.37649607018</v>
      </c>
      <c r="F64" s="73">
        <f>$F$10*'D) Ecrêtage'!N58</f>
        <v>695893.42851231922</v>
      </c>
      <c r="G64" s="98">
        <f t="shared" si="0"/>
        <v>1205808.0500083894</v>
      </c>
    </row>
    <row r="65" spans="1:7" x14ac:dyDescent="0.25">
      <c r="A65" s="82">
        <f>'A) Base RI'!A61</f>
        <v>5490</v>
      </c>
      <c r="B65" s="147" t="str">
        <f>'A) Base RI'!B61</f>
        <v>Moiry</v>
      </c>
      <c r="C65" s="18">
        <f>'A) Base RI'!AN61</f>
        <v>263</v>
      </c>
      <c r="D65" s="61">
        <f>'C) Prél. conj.'!H59</f>
        <v>35586.050000000003</v>
      </c>
      <c r="E65" s="25">
        <f>'D) Ecrêtage'!M59</f>
        <v>0</v>
      </c>
      <c r="F65" s="73">
        <f>$F$10*'D) Ecrêtage'!N59</f>
        <v>105720.91829482527</v>
      </c>
      <c r="G65" s="98">
        <f t="shared" si="0"/>
        <v>141306.96829482529</v>
      </c>
    </row>
    <row r="66" spans="1:7" x14ac:dyDescent="0.25">
      <c r="A66" s="82">
        <f>'A) Base RI'!A62</f>
        <v>5491</v>
      </c>
      <c r="B66" s="147" t="str">
        <f>'A) Base RI'!B62</f>
        <v>Mont-la-Ville</v>
      </c>
      <c r="C66" s="18">
        <f>'A) Base RI'!AN62</f>
        <v>372</v>
      </c>
      <c r="D66" s="61">
        <f>'C) Prél. conj.'!H60</f>
        <v>80321.049999999988</v>
      </c>
      <c r="E66" s="25">
        <f>'D) Ecrêtage'!M60</f>
        <v>0</v>
      </c>
      <c r="F66" s="73">
        <f>$F$10*'D) Ecrêtage'!N60</f>
        <v>135407.97240907015</v>
      </c>
      <c r="G66" s="98">
        <f t="shared" si="0"/>
        <v>215729.02240907014</v>
      </c>
    </row>
    <row r="67" spans="1:7" x14ac:dyDescent="0.25">
      <c r="A67" s="82">
        <f>'A) Base RI'!A63</f>
        <v>5492</v>
      </c>
      <c r="B67" s="147" t="str">
        <f>'A) Base RI'!B63</f>
        <v>Montricher</v>
      </c>
      <c r="C67" s="18">
        <f>'A) Base RI'!AN63</f>
        <v>930</v>
      </c>
      <c r="D67" s="61">
        <f>'C) Prél. conj.'!H61</f>
        <v>213740.91999999998</v>
      </c>
      <c r="E67" s="25">
        <f>'D) Ecrêtage'!M61</f>
        <v>3392861.1043183831</v>
      </c>
      <c r="F67" s="73">
        <f>$F$10*'D) Ecrêtage'!N61</f>
        <v>1441025.7652645996</v>
      </c>
      <c r="G67" s="98">
        <f t="shared" si="0"/>
        <v>5047627.7895829827</v>
      </c>
    </row>
    <row r="68" spans="1:7" x14ac:dyDescent="0.25">
      <c r="A68" s="82">
        <f>'A) Base RI'!A64</f>
        <v>5493</v>
      </c>
      <c r="B68" s="147" t="str">
        <f>'A) Base RI'!B64</f>
        <v>Orny</v>
      </c>
      <c r="C68" s="18">
        <f>'A) Base RI'!AN64</f>
        <v>364</v>
      </c>
      <c r="D68" s="61">
        <f>'C) Prél. conj.'!H62</f>
        <v>45595.8</v>
      </c>
      <c r="E68" s="25">
        <f>'D) Ecrêtage'!M62</f>
        <v>0</v>
      </c>
      <c r="F68" s="73">
        <f>$F$10*'D) Ecrêtage'!N62</f>
        <v>140093.89769833779</v>
      </c>
      <c r="G68" s="98">
        <f t="shared" ref="G68:G122" si="1">D68+F68+E68</f>
        <v>185689.69769833778</v>
      </c>
    </row>
    <row r="69" spans="1:7" x14ac:dyDescent="0.25">
      <c r="A69" s="82">
        <f>'A) Base RI'!A65</f>
        <v>5494</v>
      </c>
      <c r="B69" s="147" t="str">
        <f>'A) Base RI'!B65</f>
        <v>Pampigny</v>
      </c>
      <c r="C69" s="18">
        <f>'A) Base RI'!AN65</f>
        <v>1104</v>
      </c>
      <c r="D69" s="61">
        <f>'C) Prél. conj.'!H63</f>
        <v>63070.594999999994</v>
      </c>
      <c r="E69" s="25">
        <f>'D) Ecrêtage'!M63</f>
        <v>0</v>
      </c>
      <c r="F69" s="73">
        <f>$F$10*'D) Ecrêtage'!N63</f>
        <v>516298.35958286119</v>
      </c>
      <c r="G69" s="98">
        <f t="shared" si="1"/>
        <v>579368.95458286116</v>
      </c>
    </row>
    <row r="70" spans="1:7" x14ac:dyDescent="0.25">
      <c r="A70" s="82">
        <f>'A) Base RI'!A66</f>
        <v>5495</v>
      </c>
      <c r="B70" s="147" t="str">
        <f>'A) Base RI'!B66</f>
        <v>Penthalaz</v>
      </c>
      <c r="C70" s="18">
        <f>'A) Base RI'!AN66</f>
        <v>3150</v>
      </c>
      <c r="D70" s="61">
        <f>'C) Prél. conj.'!H64</f>
        <v>234987.29</v>
      </c>
      <c r="E70" s="25">
        <f>'D) Ecrêtage'!M64</f>
        <v>0</v>
      </c>
      <c r="F70" s="73">
        <f>$F$10*'D) Ecrêtage'!N64</f>
        <v>1296941.1068585725</v>
      </c>
      <c r="G70" s="98">
        <f t="shared" si="1"/>
        <v>1531928.3968585725</v>
      </c>
    </row>
    <row r="71" spans="1:7" x14ac:dyDescent="0.25">
      <c r="A71" s="82">
        <f>'A) Base RI'!A67</f>
        <v>5496</v>
      </c>
      <c r="B71" s="147" t="str">
        <f>'A) Base RI'!B67</f>
        <v>Penthaz</v>
      </c>
      <c r="C71" s="18">
        <f>'A) Base RI'!AN67</f>
        <v>1666</v>
      </c>
      <c r="D71" s="61">
        <f>'C) Prél. conj.'!H65</f>
        <v>112388.36499999999</v>
      </c>
      <c r="E71" s="25">
        <f>'D) Ecrêtage'!M65</f>
        <v>0</v>
      </c>
      <c r="F71" s="73">
        <f>$F$10*'D) Ecrêtage'!N65</f>
        <v>762443.55331175344</v>
      </c>
      <c r="G71" s="98">
        <f t="shared" si="1"/>
        <v>874831.91831175343</v>
      </c>
    </row>
    <row r="72" spans="1:7" x14ac:dyDescent="0.25">
      <c r="A72" s="82">
        <f>'A) Base RI'!A68</f>
        <v>5497</v>
      </c>
      <c r="B72" s="147" t="str">
        <f>'A) Base RI'!B68</f>
        <v>Pompaples</v>
      </c>
      <c r="C72" s="18">
        <f>'A) Base RI'!AN68</f>
        <v>839</v>
      </c>
      <c r="D72" s="61">
        <f>'C) Prél. conj.'!H66</f>
        <v>80603.164999999994</v>
      </c>
      <c r="E72" s="25">
        <f>'D) Ecrêtage'!M66</f>
        <v>0</v>
      </c>
      <c r="F72" s="73">
        <f>$F$10*'D) Ecrêtage'!N66</f>
        <v>300139.06310936151</v>
      </c>
      <c r="G72" s="98">
        <f>D72+F72+E72</f>
        <v>380742.22810936149</v>
      </c>
    </row>
    <row r="73" spans="1:7" x14ac:dyDescent="0.25">
      <c r="A73" s="82">
        <f>'A) Base RI'!A69</f>
        <v>5498</v>
      </c>
      <c r="B73" s="147" t="str">
        <f>'A) Base RI'!B69</f>
        <v>La Sarraz</v>
      </c>
      <c r="C73" s="18">
        <f>'A) Base RI'!AN69</f>
        <v>2510</v>
      </c>
      <c r="D73" s="61">
        <f>'C) Prél. conj.'!H67</f>
        <v>131489.35999999999</v>
      </c>
      <c r="E73" s="25">
        <f>'D) Ecrêtage'!M67</f>
        <v>0</v>
      </c>
      <c r="F73" s="73">
        <f>$F$10*'D) Ecrêtage'!N67</f>
        <v>1068954.3960048798</v>
      </c>
      <c r="G73" s="98">
        <f t="shared" si="1"/>
        <v>1200443.7560048797</v>
      </c>
    </row>
    <row r="74" spans="1:7" x14ac:dyDescent="0.25">
      <c r="A74" s="82">
        <f>'A) Base RI'!A70</f>
        <v>5499</v>
      </c>
      <c r="B74" s="147" t="str">
        <f>'A) Base RI'!B70</f>
        <v>Senarclens</v>
      </c>
      <c r="C74" s="18">
        <f>'A) Base RI'!AN70</f>
        <v>435</v>
      </c>
      <c r="D74" s="61">
        <f>'C) Prél. conj.'!H68</f>
        <v>12780.965</v>
      </c>
      <c r="E74" s="25">
        <f>'D) Ecrêtage'!M68</f>
        <v>0</v>
      </c>
      <c r="F74" s="73">
        <f>$F$10*'D) Ecrêtage'!N68</f>
        <v>258144.03398723993</v>
      </c>
      <c r="G74" s="98">
        <f t="shared" si="1"/>
        <v>270924.99898723996</v>
      </c>
    </row>
    <row r="75" spans="1:7" x14ac:dyDescent="0.25">
      <c r="A75" s="82">
        <f>'A) Base RI'!A71</f>
        <v>5500</v>
      </c>
      <c r="B75" s="147" t="str">
        <f>'A) Base RI'!B71</f>
        <v>Sévery</v>
      </c>
      <c r="C75" s="18">
        <f>'A) Base RI'!AN71</f>
        <v>223</v>
      </c>
      <c r="D75" s="61">
        <f>'C) Prél. conj.'!H69</f>
        <v>3925.1150000000002</v>
      </c>
      <c r="E75" s="25">
        <f>'D) Ecrêtage'!M69</f>
        <v>0</v>
      </c>
      <c r="F75" s="73">
        <f>$F$10*'D) Ecrêtage'!N69</f>
        <v>90222.600593514129</v>
      </c>
      <c r="G75" s="98">
        <f t="shared" si="1"/>
        <v>94147.715593514135</v>
      </c>
    </row>
    <row r="76" spans="1:7" x14ac:dyDescent="0.25">
      <c r="A76" s="82">
        <f>'A) Base RI'!A72</f>
        <v>5501</v>
      </c>
      <c r="B76" s="147" t="str">
        <f>'A) Base RI'!B72</f>
        <v>Sullens</v>
      </c>
      <c r="C76" s="18">
        <f>'A) Base RI'!AN72</f>
        <v>902</v>
      </c>
      <c r="D76" s="61">
        <f>'C) Prél. conj.'!H70</f>
        <v>213709.34999999998</v>
      </c>
      <c r="E76" s="25">
        <f>'D) Ecrêtage'!M70</f>
        <v>0</v>
      </c>
      <c r="F76" s="73">
        <f>$F$10*'D) Ecrêtage'!N70</f>
        <v>558719.56738382822</v>
      </c>
      <c r="G76" s="98">
        <f t="shared" si="1"/>
        <v>772428.9173838282</v>
      </c>
    </row>
    <row r="77" spans="1:7" x14ac:dyDescent="0.25">
      <c r="A77" s="82">
        <f>'A) Base RI'!A73</f>
        <v>5503</v>
      </c>
      <c r="B77" s="147" t="str">
        <f>'A) Base RI'!B73</f>
        <v>Vufflens-la-Ville</v>
      </c>
      <c r="C77" s="18">
        <f>'A) Base RI'!AN73</f>
        <v>1226</v>
      </c>
      <c r="D77" s="61">
        <f>'C) Prél. conj.'!H71</f>
        <v>79764.674999999988</v>
      </c>
      <c r="E77" s="25">
        <f>'D) Ecrêtage'!M71</f>
        <v>0</v>
      </c>
      <c r="F77" s="73">
        <f>$F$10*'D) Ecrêtage'!N71</f>
        <v>854804.12199399574</v>
      </c>
      <c r="G77" s="98">
        <f t="shared" si="1"/>
        <v>934568.79699399578</v>
      </c>
    </row>
    <row r="78" spans="1:7" x14ac:dyDescent="0.25">
      <c r="A78" s="82">
        <f>'A) Base RI'!A74</f>
        <v>5511</v>
      </c>
      <c r="B78" s="147" t="str">
        <f>'A) Base RI'!B74</f>
        <v>Assens</v>
      </c>
      <c r="C78" s="18">
        <f>'A) Base RI'!AN74</f>
        <v>1024</v>
      </c>
      <c r="D78" s="61">
        <f>'C) Prél. conj.'!H72</f>
        <v>77007.565000000002</v>
      </c>
      <c r="E78" s="25">
        <f>'D) Ecrêtage'!M72</f>
        <v>0</v>
      </c>
      <c r="F78" s="73">
        <f>$F$10*'D) Ecrêtage'!N72</f>
        <v>588227.29365644208</v>
      </c>
      <c r="G78" s="98">
        <f t="shared" si="1"/>
        <v>665234.85865644203</v>
      </c>
    </row>
    <row r="79" spans="1:7" x14ac:dyDescent="0.25">
      <c r="A79" s="82">
        <f>'A) Base RI'!A75</f>
        <v>5512</v>
      </c>
      <c r="B79" s="147" t="str">
        <f>'A) Base RI'!B75</f>
        <v>Bercher</v>
      </c>
      <c r="C79" s="18">
        <f>'A) Base RI'!AN75</f>
        <v>1143</v>
      </c>
      <c r="D79" s="61">
        <f>'C) Prél. conj.'!H73</f>
        <v>49336.584999999992</v>
      </c>
      <c r="E79" s="25">
        <f>'D) Ecrêtage'!M73</f>
        <v>0</v>
      </c>
      <c r="F79" s="73">
        <f>$F$10*'D) Ecrêtage'!N73</f>
        <v>541491.68666274857</v>
      </c>
      <c r="G79" s="98">
        <f t="shared" si="1"/>
        <v>590828.27166274854</v>
      </c>
    </row>
    <row r="80" spans="1:7" x14ac:dyDescent="0.25">
      <c r="A80" s="82">
        <f>'A) Base RI'!A76</f>
        <v>5513</v>
      </c>
      <c r="B80" s="147" t="str">
        <f>'A) Base RI'!B76</f>
        <v>Bioley-Orjulaz</v>
      </c>
      <c r="C80" s="18">
        <f>'A) Base RI'!AN76</f>
        <v>460</v>
      </c>
      <c r="D80" s="61">
        <f>'C) Prél. conj.'!H74</f>
        <v>213531.82</v>
      </c>
      <c r="E80" s="25">
        <f>'D) Ecrêtage'!M74</f>
        <v>121357.26257680164</v>
      </c>
      <c r="F80" s="73">
        <f>$F$10*'D) Ecrêtage'!N74</f>
        <v>423865.26794146898</v>
      </c>
      <c r="G80" s="98">
        <f t="shared" si="1"/>
        <v>758754.35051827063</v>
      </c>
    </row>
    <row r="81" spans="1:7" x14ac:dyDescent="0.25">
      <c r="A81" s="82">
        <f>'A) Base RI'!A77</f>
        <v>5514</v>
      </c>
      <c r="B81" s="147" t="str">
        <f>'A) Base RI'!B77</f>
        <v>Bottens</v>
      </c>
      <c r="C81" s="18">
        <f>'A) Base RI'!AN77</f>
        <v>1281</v>
      </c>
      <c r="D81" s="61">
        <f>'C) Prél. conj.'!H75</f>
        <v>69224.764999999999</v>
      </c>
      <c r="E81" s="25">
        <f>'D) Ecrêtage'!M75</f>
        <v>0</v>
      </c>
      <c r="F81" s="73">
        <f>$F$10*'D) Ecrêtage'!N75</f>
        <v>633507.79325596301</v>
      </c>
      <c r="G81" s="98">
        <f t="shared" si="1"/>
        <v>702732.55825596303</v>
      </c>
    </row>
    <row r="82" spans="1:7" x14ac:dyDescent="0.25">
      <c r="A82" s="82">
        <f>'A) Base RI'!A78</f>
        <v>5515</v>
      </c>
      <c r="B82" s="147" t="str">
        <f>'A) Base RI'!B78</f>
        <v>Bretigny-sur-Morrens</v>
      </c>
      <c r="C82" s="18">
        <f>'A) Base RI'!AN78</f>
        <v>785</v>
      </c>
      <c r="D82" s="61">
        <f>'C) Prél. conj.'!H76</f>
        <v>102136.535</v>
      </c>
      <c r="E82" s="25">
        <f>'D) Ecrêtage'!M76</f>
        <v>0</v>
      </c>
      <c r="F82" s="73">
        <f>$F$10*'D) Ecrêtage'!N76</f>
        <v>328591.96480488696</v>
      </c>
      <c r="G82" s="98">
        <f t="shared" si="1"/>
        <v>430728.49980488699</v>
      </c>
    </row>
    <row r="83" spans="1:7" x14ac:dyDescent="0.25">
      <c r="A83" s="82">
        <f>'A) Base RI'!A79</f>
        <v>5516</v>
      </c>
      <c r="B83" s="147" t="str">
        <f>'A) Base RI'!B79</f>
        <v>Cugy</v>
      </c>
      <c r="C83" s="18">
        <f>'A) Base RI'!AN79</f>
        <v>2738</v>
      </c>
      <c r="D83" s="61">
        <f>'C) Prél. conj.'!H77</f>
        <v>161075.66500000001</v>
      </c>
      <c r="E83" s="25">
        <f>'D) Ecrêtage'!M77</f>
        <v>0</v>
      </c>
      <c r="F83" s="73">
        <f>$F$10*'D) Ecrêtage'!N77</f>
        <v>1739259.6651132081</v>
      </c>
      <c r="G83" s="98">
        <f t="shared" si="1"/>
        <v>1900335.3301132082</v>
      </c>
    </row>
    <row r="84" spans="1:7" x14ac:dyDescent="0.25">
      <c r="A84" s="82">
        <f>'A) Base RI'!A80</f>
        <v>5518</v>
      </c>
      <c r="B84" s="147" t="str">
        <f>'A) Base RI'!B80</f>
        <v>Echallens</v>
      </c>
      <c r="C84" s="18">
        <f>'A) Base RI'!AN80</f>
        <v>5485</v>
      </c>
      <c r="D84" s="61">
        <f>'C) Prél. conj.'!H78</f>
        <v>520622.53500000003</v>
      </c>
      <c r="E84" s="25">
        <f>'D) Ecrêtage'!M78</f>
        <v>0</v>
      </c>
      <c r="F84" s="73">
        <f>$F$10*'D) Ecrêtage'!N78</f>
        <v>2560232.0069869673</v>
      </c>
      <c r="G84" s="98">
        <f t="shared" si="1"/>
        <v>3080854.5419869674</v>
      </c>
    </row>
    <row r="85" spans="1:7" x14ac:dyDescent="0.25">
      <c r="A85" s="82">
        <f>'A) Base RI'!A81</f>
        <v>5520</v>
      </c>
      <c r="B85" s="147" t="str">
        <f>'A) Base RI'!B81</f>
        <v>Essertines-sur-Yverdon</v>
      </c>
      <c r="C85" s="18">
        <f>'A) Base RI'!AN81</f>
        <v>908</v>
      </c>
      <c r="D85" s="61">
        <f>'C) Prél. conj.'!H79</f>
        <v>69268.955000000002</v>
      </c>
      <c r="E85" s="25">
        <f>'D) Ecrêtage'!M79</f>
        <v>0</v>
      </c>
      <c r="F85" s="73">
        <f>$F$10*'D) Ecrêtage'!N79</f>
        <v>413751.74842539313</v>
      </c>
      <c r="G85" s="98">
        <f t="shared" si="1"/>
        <v>483020.70342539315</v>
      </c>
    </row>
    <row r="86" spans="1:7" x14ac:dyDescent="0.25">
      <c r="A86" s="82">
        <f>'A) Base RI'!A82</f>
        <v>5521</v>
      </c>
      <c r="B86" s="147" t="str">
        <f>'A) Base RI'!B82</f>
        <v>Etagnières</v>
      </c>
      <c r="C86" s="18">
        <f>'A) Base RI'!AN82</f>
        <v>1106</v>
      </c>
      <c r="D86" s="61">
        <f>'C) Prél. conj.'!H80</f>
        <v>117908.36500000001</v>
      </c>
      <c r="E86" s="25">
        <f>'D) Ecrêtage'!M80</f>
        <v>0</v>
      </c>
      <c r="F86" s="73">
        <f>$F$10*'D) Ecrêtage'!N80</f>
        <v>536722.65572670626</v>
      </c>
      <c r="G86" s="98">
        <f t="shared" si="1"/>
        <v>654631.02072670625</v>
      </c>
    </row>
    <row r="87" spans="1:7" x14ac:dyDescent="0.25">
      <c r="A87" s="82">
        <f>'A) Base RI'!A83</f>
        <v>5522</v>
      </c>
      <c r="B87" s="147" t="str">
        <f>'A) Base RI'!B83</f>
        <v>Fey</v>
      </c>
      <c r="C87" s="18">
        <f>'A) Base RI'!AN83</f>
        <v>620</v>
      </c>
      <c r="D87" s="61">
        <f>'C) Prél. conj.'!H81</f>
        <v>88789.680000000008</v>
      </c>
      <c r="E87" s="25">
        <f>'D) Ecrêtage'!M81</f>
        <v>0</v>
      </c>
      <c r="F87" s="73">
        <f>$F$10*'D) Ecrêtage'!N81</f>
        <v>238927.3405037981</v>
      </c>
      <c r="G87" s="98">
        <f t="shared" si="1"/>
        <v>327717.02050379809</v>
      </c>
    </row>
    <row r="88" spans="1:7" x14ac:dyDescent="0.25">
      <c r="A88" s="82">
        <f>'A) Base RI'!A84</f>
        <v>5523</v>
      </c>
      <c r="B88" s="147" t="str">
        <f>'A) Base RI'!B84</f>
        <v>Froideville</v>
      </c>
      <c r="C88" s="18">
        <f>'A) Base RI'!AN84</f>
        <v>2305</v>
      </c>
      <c r="D88" s="61">
        <f>'C) Prél. conj.'!H82</f>
        <v>229356</v>
      </c>
      <c r="E88" s="25">
        <f>'D) Ecrêtage'!M82</f>
        <v>0</v>
      </c>
      <c r="F88" s="73">
        <f>$F$10*'D) Ecrêtage'!N82</f>
        <v>1068159.7023179957</v>
      </c>
      <c r="G88" s="98">
        <f t="shared" si="1"/>
        <v>1297515.7023179957</v>
      </c>
    </row>
    <row r="89" spans="1:7" x14ac:dyDescent="0.25">
      <c r="A89" s="82">
        <f>'A) Base RI'!A85</f>
        <v>5527</v>
      </c>
      <c r="B89" s="147" t="str">
        <f>'A) Base RI'!B85</f>
        <v>Morrens</v>
      </c>
      <c r="C89" s="18">
        <f>'A) Base RI'!AN85</f>
        <v>1048</v>
      </c>
      <c r="D89" s="61">
        <f>'C) Prél. conj.'!H83</f>
        <v>85890.175000000003</v>
      </c>
      <c r="E89" s="25">
        <f>'D) Ecrêtage'!M83</f>
        <v>0</v>
      </c>
      <c r="F89" s="73">
        <f>$F$10*'D) Ecrêtage'!N83</f>
        <v>558302.38157460233</v>
      </c>
      <c r="G89" s="98">
        <f t="shared" si="1"/>
        <v>644192.55657460238</v>
      </c>
    </row>
    <row r="90" spans="1:7" x14ac:dyDescent="0.25">
      <c r="A90" s="82">
        <f>'A) Base RI'!A86</f>
        <v>5529</v>
      </c>
      <c r="B90" s="147" t="str">
        <f>'A) Base RI'!B86</f>
        <v>Oulens-sous-Echallens</v>
      </c>
      <c r="C90" s="18">
        <f>'A) Base RI'!AN86</f>
        <v>529</v>
      </c>
      <c r="D90" s="61">
        <f>'C) Prél. conj.'!H84</f>
        <v>17047.990000000002</v>
      </c>
      <c r="E90" s="25">
        <f>'D) Ecrêtage'!M84</f>
        <v>0</v>
      </c>
      <c r="F90" s="73">
        <f>$F$10*'D) Ecrêtage'!N84</f>
        <v>286807.20109045383</v>
      </c>
      <c r="G90" s="98">
        <f t="shared" si="1"/>
        <v>303855.19109045382</v>
      </c>
    </row>
    <row r="91" spans="1:7" x14ac:dyDescent="0.25">
      <c r="A91" s="82">
        <f>'A) Base RI'!A87</f>
        <v>5530</v>
      </c>
      <c r="B91" s="147" t="str">
        <f>'A) Base RI'!B87</f>
        <v>Pailly</v>
      </c>
      <c r="C91" s="18">
        <f>'A) Base RI'!AN87</f>
        <v>524</v>
      </c>
      <c r="D91" s="61">
        <f>'C) Prél. conj.'!H85</f>
        <v>43167.739999999991</v>
      </c>
      <c r="E91" s="25">
        <f>'D) Ecrêtage'!M85</f>
        <v>0</v>
      </c>
      <c r="F91" s="73">
        <f>$F$10*'D) Ecrêtage'!N85</f>
        <v>205616.73553462556</v>
      </c>
      <c r="G91" s="98">
        <f t="shared" si="1"/>
        <v>248784.47553462556</v>
      </c>
    </row>
    <row r="92" spans="1:7" x14ac:dyDescent="0.25">
      <c r="A92" s="82">
        <f>'A) Base RI'!A88</f>
        <v>5531</v>
      </c>
      <c r="B92" s="147" t="str">
        <f>'A) Base RI'!B88</f>
        <v>Penthéréaz</v>
      </c>
      <c r="C92" s="18">
        <f>'A) Base RI'!AN88</f>
        <v>387</v>
      </c>
      <c r="D92" s="61">
        <f>'C) Prél. conj.'!H86</f>
        <v>0</v>
      </c>
      <c r="E92" s="25">
        <f>'D) Ecrêtage'!M86</f>
        <v>0</v>
      </c>
      <c r="F92" s="73">
        <f>$F$10*'D) Ecrêtage'!N86</f>
        <v>195001.0387731457</v>
      </c>
      <c r="G92" s="98">
        <f t="shared" si="1"/>
        <v>195001.0387731457</v>
      </c>
    </row>
    <row r="93" spans="1:7" x14ac:dyDescent="0.25">
      <c r="A93" s="82">
        <f>'A) Base RI'!A89</f>
        <v>5533</v>
      </c>
      <c r="B93" s="147" t="str">
        <f>'A) Base RI'!B89</f>
        <v>Poliez-Pittet</v>
      </c>
      <c r="C93" s="18">
        <f>'A) Base RI'!AN89</f>
        <v>802</v>
      </c>
      <c r="D93" s="61">
        <f>'C) Prél. conj.'!H87</f>
        <v>27825.55</v>
      </c>
      <c r="E93" s="25">
        <f>'D) Ecrêtage'!M87</f>
        <v>0</v>
      </c>
      <c r="F93" s="73">
        <f>$F$10*'D) Ecrêtage'!N87</f>
        <v>344183.81884449505</v>
      </c>
      <c r="G93" s="98">
        <f t="shared" si="1"/>
        <v>372009.36884449504</v>
      </c>
    </row>
    <row r="94" spans="1:7" x14ac:dyDescent="0.25">
      <c r="A94" s="82">
        <f>'A) Base RI'!A90</f>
        <v>5534</v>
      </c>
      <c r="B94" s="147" t="str">
        <f>'A) Base RI'!B90</f>
        <v>Rueyres</v>
      </c>
      <c r="C94" s="18">
        <f>'A) Base RI'!AN90</f>
        <v>261</v>
      </c>
      <c r="D94" s="61">
        <f>'C) Prél. conj.'!H88</f>
        <v>8743.9</v>
      </c>
      <c r="E94" s="25">
        <f>'D) Ecrêtage'!M88</f>
        <v>0</v>
      </c>
      <c r="F94" s="73">
        <f>$F$10*'D) Ecrêtage'!N88</f>
        <v>110772.00621488692</v>
      </c>
      <c r="G94" s="98">
        <f t="shared" si="1"/>
        <v>119515.90621488691</v>
      </c>
    </row>
    <row r="95" spans="1:7" x14ac:dyDescent="0.25">
      <c r="A95" s="82">
        <f>'A) Base RI'!A91</f>
        <v>5535</v>
      </c>
      <c r="B95" s="147" t="str">
        <f>'A) Base RI'!B91</f>
        <v>Saint-Barthélemy</v>
      </c>
      <c r="C95" s="18">
        <f>'A) Base RI'!AN91</f>
        <v>776</v>
      </c>
      <c r="D95" s="61">
        <f>'C) Prél. conj.'!H89</f>
        <v>36729.119999999995</v>
      </c>
      <c r="E95" s="25">
        <f>'D) Ecrêtage'!M89</f>
        <v>0</v>
      </c>
      <c r="F95" s="73">
        <f>$F$10*'D) Ecrêtage'!N89</f>
        <v>300702.85562719184</v>
      </c>
      <c r="G95" s="98">
        <f t="shared" si="1"/>
        <v>337431.97562719183</v>
      </c>
    </row>
    <row r="96" spans="1:7" x14ac:dyDescent="0.25">
      <c r="A96" s="82">
        <f>'A) Base RI'!A92</f>
        <v>5537</v>
      </c>
      <c r="B96" s="147" t="str">
        <f>'A) Base RI'!B92</f>
        <v>Villars-le-Terroir</v>
      </c>
      <c r="C96" s="18">
        <f>'A) Base RI'!AN92</f>
        <v>944</v>
      </c>
      <c r="D96" s="61">
        <f>'C) Prél. conj.'!H90</f>
        <v>119021.62499999999</v>
      </c>
      <c r="E96" s="25">
        <f>'D) Ecrêtage'!M90</f>
        <v>0</v>
      </c>
      <c r="F96" s="73">
        <f>$F$10*'D) Ecrêtage'!N90</f>
        <v>419794.8939021051</v>
      </c>
      <c r="G96" s="98">
        <f t="shared" si="1"/>
        <v>538816.51890210505</v>
      </c>
    </row>
    <row r="97" spans="1:7" x14ac:dyDescent="0.25">
      <c r="A97" s="82">
        <f>'A) Base RI'!A93</f>
        <v>5539</v>
      </c>
      <c r="B97" s="147" t="str">
        <f>'A) Base RI'!B93</f>
        <v>Vuarrens</v>
      </c>
      <c r="C97" s="18">
        <f>'A) Base RI'!AN93</f>
        <v>930</v>
      </c>
      <c r="D97" s="61">
        <f>'C) Prél. conj.'!H91</f>
        <v>127622.98</v>
      </c>
      <c r="E97" s="25">
        <f>'D) Ecrêtage'!M91</f>
        <v>0</v>
      </c>
      <c r="F97" s="73">
        <f>$F$10*'D) Ecrêtage'!N91</f>
        <v>335868.66394748748</v>
      </c>
      <c r="G97" s="98">
        <f t="shared" si="1"/>
        <v>463491.64394748746</v>
      </c>
    </row>
    <row r="98" spans="1:7" x14ac:dyDescent="0.25">
      <c r="A98" s="82">
        <f>'A) Base RI'!A94</f>
        <v>5540</v>
      </c>
      <c r="B98" s="147" t="str">
        <f>'A) Base RI'!B94</f>
        <v>Montilliez</v>
      </c>
      <c r="C98" s="18">
        <f>'A) Base RI'!AN94</f>
        <v>1635</v>
      </c>
      <c r="D98" s="61">
        <f>'C) Prél. conj.'!H92</f>
        <v>129529.23999999999</v>
      </c>
      <c r="E98" s="25">
        <f>'D) Ecrêtage'!M92</f>
        <v>0</v>
      </c>
      <c r="F98" s="73">
        <f>$F$10*'D) Ecrêtage'!N92</f>
        <v>727885.34064250661</v>
      </c>
      <c r="G98" s="98">
        <f>D98+F98+E98</f>
        <v>857414.5806425066</v>
      </c>
    </row>
    <row r="99" spans="1:7" x14ac:dyDescent="0.25">
      <c r="A99" s="82">
        <f>'A) Base RI'!A95</f>
        <v>5541</v>
      </c>
      <c r="B99" s="147" t="str">
        <f>'A) Base RI'!B95</f>
        <v>Goumoëns</v>
      </c>
      <c r="C99" s="18">
        <f>'A) Base RI'!AN95</f>
        <v>962</v>
      </c>
      <c r="D99" s="61">
        <f>'C) Prél. conj.'!H93</f>
        <v>81733.975000000006</v>
      </c>
      <c r="E99" s="25">
        <f>'D) Ecrêtage'!M93</f>
        <v>0</v>
      </c>
      <c r="F99" s="73">
        <f>$F$10*'D) Ecrêtage'!N93</f>
        <v>420197.81395523757</v>
      </c>
      <c r="G99" s="98">
        <f>D99+F99+E99</f>
        <v>501931.7889552376</v>
      </c>
    </row>
    <row r="100" spans="1:7" x14ac:dyDescent="0.25">
      <c r="A100" s="82">
        <f>'A) Base RI'!A96</f>
        <v>5551</v>
      </c>
      <c r="B100" s="147" t="str">
        <f>'A) Base RI'!B96</f>
        <v>Bonvillars</v>
      </c>
      <c r="C100" s="18">
        <f>'A) Base RI'!AN96</f>
        <v>514</v>
      </c>
      <c r="D100" s="61">
        <f>'C) Prél. conj.'!H94</f>
        <v>86295.514999999999</v>
      </c>
      <c r="E100" s="25">
        <f>'D) Ecrêtage'!M94</f>
        <v>0</v>
      </c>
      <c r="F100" s="73">
        <f>$F$10*'D) Ecrêtage'!N94</f>
        <v>305440.50549208198</v>
      </c>
      <c r="G100" s="98">
        <f t="shared" si="1"/>
        <v>391736.020492082</v>
      </c>
    </row>
    <row r="101" spans="1:7" x14ac:dyDescent="0.25">
      <c r="A101" s="82">
        <f>'A) Base RI'!A97</f>
        <v>5552</v>
      </c>
      <c r="B101" s="147" t="str">
        <f>'A) Base RI'!B97</f>
        <v>Bullet</v>
      </c>
      <c r="C101" s="18">
        <f>'A) Base RI'!AN97</f>
        <v>596</v>
      </c>
      <c r="D101" s="61">
        <f>'C) Prél. conj.'!H95</f>
        <v>88861.785000000003</v>
      </c>
      <c r="E101" s="25">
        <f>'D) Ecrêtage'!M95</f>
        <v>0</v>
      </c>
      <c r="F101" s="73">
        <f>$F$10*'D) Ecrêtage'!N95</f>
        <v>226871.99201226133</v>
      </c>
      <c r="G101" s="98">
        <f t="shared" si="1"/>
        <v>315733.77701226133</v>
      </c>
    </row>
    <row r="102" spans="1:7" x14ac:dyDescent="0.25">
      <c r="A102" s="82">
        <f>'A) Base RI'!A98</f>
        <v>5553</v>
      </c>
      <c r="B102" s="147" t="str">
        <f>'A) Base RI'!B98</f>
        <v>Champagne</v>
      </c>
      <c r="C102" s="18">
        <f>'A) Base RI'!AN98</f>
        <v>1005</v>
      </c>
      <c r="D102" s="61">
        <f>'C) Prél. conj.'!H96</f>
        <v>72659.664999999994</v>
      </c>
      <c r="E102" s="25">
        <f>'D) Ecrêtage'!M96</f>
        <v>0</v>
      </c>
      <c r="F102" s="73">
        <f>$F$10*'D) Ecrêtage'!N96</f>
        <v>511021.90146659769</v>
      </c>
      <c r="G102" s="98">
        <f t="shared" si="1"/>
        <v>583681.56646659772</v>
      </c>
    </row>
    <row r="103" spans="1:7" x14ac:dyDescent="0.25">
      <c r="A103" s="82">
        <f>'A) Base RI'!A99</f>
        <v>5554</v>
      </c>
      <c r="B103" s="147" t="str">
        <f>'A) Base RI'!B99</f>
        <v>Concise</v>
      </c>
      <c r="C103" s="18">
        <f>'A) Base RI'!AN99</f>
        <v>932</v>
      </c>
      <c r="D103" s="61">
        <f>'C) Prél. conj.'!H97</f>
        <v>75305.790000000008</v>
      </c>
      <c r="E103" s="25">
        <f>'D) Ecrêtage'!M97</f>
        <v>0</v>
      </c>
      <c r="F103" s="73">
        <f>$F$10*'D) Ecrêtage'!N97</f>
        <v>427716.85653340333</v>
      </c>
      <c r="G103" s="98">
        <f t="shared" si="1"/>
        <v>503022.64653340331</v>
      </c>
    </row>
    <row r="104" spans="1:7" x14ac:dyDescent="0.25">
      <c r="A104" s="82">
        <f>'A) Base RI'!A100</f>
        <v>5555</v>
      </c>
      <c r="B104" s="147" t="str">
        <f>'A) Base RI'!B100</f>
        <v>Corcelles-près-Concise</v>
      </c>
      <c r="C104" s="18">
        <f>'A) Base RI'!AN100</f>
        <v>331</v>
      </c>
      <c r="D104" s="61">
        <f>'C) Prél. conj.'!H98</f>
        <v>45688.014999999992</v>
      </c>
      <c r="E104" s="25">
        <f>'D) Ecrêtage'!M98</f>
        <v>0</v>
      </c>
      <c r="F104" s="73">
        <f>$F$10*'D) Ecrêtage'!N98</f>
        <v>141261.87041522065</v>
      </c>
      <c r="G104" s="98">
        <f t="shared" si="1"/>
        <v>186949.88541522063</v>
      </c>
    </row>
    <row r="105" spans="1:7" x14ac:dyDescent="0.25">
      <c r="A105" s="82">
        <f>'A) Base RI'!A101</f>
        <v>5556</v>
      </c>
      <c r="B105" s="147" t="str">
        <f>'A) Base RI'!B101</f>
        <v>Fiez</v>
      </c>
      <c r="C105" s="18">
        <f>'A) Base RI'!AN101</f>
        <v>411</v>
      </c>
      <c r="D105" s="61">
        <f>'C) Prél. conj.'!H99</f>
        <v>43825.354999999996</v>
      </c>
      <c r="E105" s="25">
        <f>'D) Ecrêtage'!M99</f>
        <v>0</v>
      </c>
      <c r="F105" s="73">
        <f>$F$10*'D) Ecrêtage'!N99</f>
        <v>161613.27193169863</v>
      </c>
      <c r="G105" s="98">
        <f t="shared" si="1"/>
        <v>205438.62693169864</v>
      </c>
    </row>
    <row r="106" spans="1:7" x14ac:dyDescent="0.25">
      <c r="A106" s="82">
        <f>'A) Base RI'!A102</f>
        <v>5557</v>
      </c>
      <c r="B106" s="147" t="str">
        <f>'A) Base RI'!B102</f>
        <v>Fontaines-sur-Grandson</v>
      </c>
      <c r="C106" s="18">
        <f>'A) Base RI'!AN102</f>
        <v>183</v>
      </c>
      <c r="D106" s="61">
        <f>'C) Prél. conj.'!H100</f>
        <v>36839.775000000001</v>
      </c>
      <c r="E106" s="25">
        <f>'D) Ecrêtage'!M100</f>
        <v>0</v>
      </c>
      <c r="F106" s="73">
        <f>$F$10*'D) Ecrêtage'!N100</f>
        <v>67937.687645345432</v>
      </c>
      <c r="G106" s="98">
        <f t="shared" si="1"/>
        <v>104777.46264534543</v>
      </c>
    </row>
    <row r="107" spans="1:7" x14ac:dyDescent="0.25">
      <c r="A107" s="82">
        <f>'A) Base RI'!A103</f>
        <v>5559</v>
      </c>
      <c r="B107" s="147" t="str">
        <f>'A) Base RI'!B103</f>
        <v>Giez</v>
      </c>
      <c r="C107" s="18">
        <f>'A) Base RI'!AN103</f>
        <v>384</v>
      </c>
      <c r="D107" s="61">
        <f>'C) Prél. conj.'!H101</f>
        <v>137337.42000000001</v>
      </c>
      <c r="E107" s="25">
        <f>'D) Ecrêtage'!M101</f>
        <v>0</v>
      </c>
      <c r="F107" s="73">
        <f>$F$10*'D) Ecrêtage'!N101</f>
        <v>218071.1033494203</v>
      </c>
      <c r="G107" s="98">
        <f t="shared" si="1"/>
        <v>355408.52334942028</v>
      </c>
    </row>
    <row r="108" spans="1:7" x14ac:dyDescent="0.25">
      <c r="A108" s="82">
        <f>'A) Base RI'!A104</f>
        <v>5560</v>
      </c>
      <c r="B108" s="147" t="str">
        <f>'A) Base RI'!B104</f>
        <v>Grandevent</v>
      </c>
      <c r="C108" s="18">
        <f>'A) Base RI'!AN104</f>
        <v>226</v>
      </c>
      <c r="D108" s="61">
        <f>'C) Prél. conj.'!H102</f>
        <v>46176.175000000003</v>
      </c>
      <c r="E108" s="25">
        <f>'D) Ecrêtage'!M102</f>
        <v>0</v>
      </c>
      <c r="F108" s="73">
        <f>$F$10*'D) Ecrêtage'!N102</f>
        <v>90446.374636398788</v>
      </c>
      <c r="G108" s="98">
        <f t="shared" si="1"/>
        <v>136622.54963639879</v>
      </c>
    </row>
    <row r="109" spans="1:7" x14ac:dyDescent="0.25">
      <c r="A109" s="82">
        <f>'A) Base RI'!A105</f>
        <v>5561</v>
      </c>
      <c r="B109" s="147" t="str">
        <f>'A) Base RI'!B105</f>
        <v>Grandson</v>
      </c>
      <c r="C109" s="18">
        <f>'A) Base RI'!AN105</f>
        <v>3244</v>
      </c>
      <c r="D109" s="61">
        <f>'C) Prél. conj.'!H103</f>
        <v>354911.25499999995</v>
      </c>
      <c r="E109" s="25">
        <f>'D) Ecrêtage'!M103</f>
        <v>0</v>
      </c>
      <c r="F109" s="73">
        <f>$F$10*'D) Ecrêtage'!N103</f>
        <v>1604766.3864907222</v>
      </c>
      <c r="G109" s="98">
        <f t="shared" si="1"/>
        <v>1959677.6414907221</v>
      </c>
    </row>
    <row r="110" spans="1:7" x14ac:dyDescent="0.25">
      <c r="A110" s="82">
        <f>'A) Base RI'!A106</f>
        <v>5562</v>
      </c>
      <c r="B110" s="147" t="str">
        <f>'A) Base RI'!B106</f>
        <v>Mauborget</v>
      </c>
      <c r="C110" s="18">
        <f>'A) Base RI'!AN106</f>
        <v>110</v>
      </c>
      <c r="D110" s="61">
        <f>'C) Prél. conj.'!H104</f>
        <v>27728.300000000003</v>
      </c>
      <c r="E110" s="25">
        <f>'D) Ecrêtage'!M104</f>
        <v>0</v>
      </c>
      <c r="F110" s="73">
        <f>$F$10*'D) Ecrêtage'!N104</f>
        <v>49946.024272783077</v>
      </c>
      <c r="G110" s="98">
        <f t="shared" si="1"/>
        <v>77674.32427278308</v>
      </c>
    </row>
    <row r="111" spans="1:7" x14ac:dyDescent="0.25">
      <c r="A111" s="82">
        <f>'A) Base RI'!A107</f>
        <v>5563</v>
      </c>
      <c r="B111" s="147" t="str">
        <f>'A) Base RI'!B107</f>
        <v>Mutrux</v>
      </c>
      <c r="C111" s="18">
        <f>'A) Base RI'!AN107</f>
        <v>149</v>
      </c>
      <c r="D111" s="61">
        <f>'C) Prél. conj.'!H105</f>
        <v>9192.625</v>
      </c>
      <c r="E111" s="25">
        <f>'D) Ecrêtage'!M105</f>
        <v>0</v>
      </c>
      <c r="F111" s="73">
        <f>$F$10*'D) Ecrêtage'!N105</f>
        <v>55204.614453790768</v>
      </c>
      <c r="G111" s="98">
        <f t="shared" si="1"/>
        <v>64397.239453790768</v>
      </c>
    </row>
    <row r="112" spans="1:7" x14ac:dyDescent="0.25">
      <c r="A112" s="82">
        <f>'A) Base RI'!A108</f>
        <v>5564</v>
      </c>
      <c r="B112" s="147" t="str">
        <f>'A) Base RI'!B108</f>
        <v>Novalles</v>
      </c>
      <c r="C112" s="18">
        <f>'A) Base RI'!AN108</f>
        <v>102</v>
      </c>
      <c r="D112" s="61">
        <f>'C) Prél. conj.'!H106</f>
        <v>8432.7000000000007</v>
      </c>
      <c r="E112" s="25">
        <f>'D) Ecrêtage'!M106</f>
        <v>0</v>
      </c>
      <c r="F112" s="73">
        <f>$F$10*'D) Ecrêtage'!N106</f>
        <v>35479.367258894919</v>
      </c>
      <c r="G112" s="98">
        <f t="shared" si="1"/>
        <v>43912.067258894924</v>
      </c>
    </row>
    <row r="113" spans="1:7" x14ac:dyDescent="0.25">
      <c r="A113" s="82">
        <f>'A) Base RI'!A109</f>
        <v>5565</v>
      </c>
      <c r="B113" s="147" t="str">
        <f>'A) Base RI'!B109</f>
        <v>Onnens</v>
      </c>
      <c r="C113" s="18">
        <f>'A) Base RI'!AN109</f>
        <v>500</v>
      </c>
      <c r="D113" s="61">
        <f>'C) Prél. conj.'!H107</f>
        <v>299555.73499999999</v>
      </c>
      <c r="E113" s="25">
        <f>'D) Ecrêtage'!M107</f>
        <v>0</v>
      </c>
      <c r="F113" s="73">
        <f>$F$10*'D) Ecrêtage'!N107</f>
        <v>266556.75340329279</v>
      </c>
      <c r="G113" s="98">
        <f t="shared" si="1"/>
        <v>566112.48840329284</v>
      </c>
    </row>
    <row r="114" spans="1:7" x14ac:dyDescent="0.25">
      <c r="A114" s="82">
        <f>'A) Base RI'!A110</f>
        <v>5566</v>
      </c>
      <c r="B114" s="147" t="str">
        <f>'A) Base RI'!B110</f>
        <v>Provence</v>
      </c>
      <c r="C114" s="18">
        <f>'A) Base RI'!AN110</f>
        <v>373</v>
      </c>
      <c r="D114" s="61">
        <f>'C) Prél. conj.'!H108</f>
        <v>22373.190000000002</v>
      </c>
      <c r="E114" s="25">
        <f>'D) Ecrêtage'!M108</f>
        <v>0</v>
      </c>
      <c r="F114" s="73">
        <f>$F$10*'D) Ecrêtage'!N108</f>
        <v>102812.57597892855</v>
      </c>
      <c r="G114" s="98">
        <f t="shared" si="1"/>
        <v>125185.76597892855</v>
      </c>
    </row>
    <row r="115" spans="1:7" x14ac:dyDescent="0.25">
      <c r="A115" s="82">
        <f>'A) Base RI'!A111</f>
        <v>5568</v>
      </c>
      <c r="B115" s="147" t="str">
        <f>'A) Base RI'!B111</f>
        <v>Sainte-Croix</v>
      </c>
      <c r="C115" s="18">
        <f>'A) Base RI'!AN111</f>
        <v>4732</v>
      </c>
      <c r="D115" s="61">
        <f>'C) Prél. conj.'!H109</f>
        <v>1033653.385</v>
      </c>
      <c r="E115" s="25">
        <f>'D) Ecrêtage'!M109</f>
        <v>0</v>
      </c>
      <c r="F115" s="73">
        <f>$F$10*'D) Ecrêtage'!N109</f>
        <v>1413180.974166495</v>
      </c>
      <c r="G115" s="98">
        <f t="shared" si="1"/>
        <v>2446834.359166495</v>
      </c>
    </row>
    <row r="116" spans="1:7" x14ac:dyDescent="0.25">
      <c r="A116" s="82">
        <f>'A) Base RI'!A112</f>
        <v>5571</v>
      </c>
      <c r="B116" s="147" t="str">
        <f>'A) Base RI'!B112</f>
        <v>Tévenon</v>
      </c>
      <c r="C116" s="18">
        <f>'A) Base RI'!AN112</f>
        <v>760</v>
      </c>
      <c r="D116" s="61">
        <f>'C) Prél. conj.'!H110</f>
        <v>74110.109999999986</v>
      </c>
      <c r="E116" s="25">
        <f>'D) Ecrêtage'!M110</f>
        <v>0</v>
      </c>
      <c r="F116" s="73">
        <f>$F$10*'D) Ecrêtage'!N110</f>
        <v>291964.75376907008</v>
      </c>
      <c r="G116" s="98">
        <f t="shared" si="1"/>
        <v>366074.86376907007</v>
      </c>
    </row>
    <row r="117" spans="1:7" x14ac:dyDescent="0.25">
      <c r="A117" s="82">
        <f>'A) Base RI'!A113</f>
        <v>5581</v>
      </c>
      <c r="B117" s="147" t="str">
        <f>'A) Base RI'!B113</f>
        <v>Belmont-sur-Lausanne</v>
      </c>
      <c r="C117" s="18">
        <f>'A) Base RI'!AN113</f>
        <v>3554</v>
      </c>
      <c r="D117" s="61">
        <f>'C) Prél. conj.'!H111</f>
        <v>559978.505</v>
      </c>
      <c r="E117" s="25">
        <f>'D) Ecrêtage'!M111</f>
        <v>0</v>
      </c>
      <c r="F117" s="73">
        <f>$F$10*'D) Ecrêtage'!N111</f>
        <v>2664682.2718268479</v>
      </c>
      <c r="G117" s="98">
        <f t="shared" si="1"/>
        <v>3224660.7768268478</v>
      </c>
    </row>
    <row r="118" spans="1:7" x14ac:dyDescent="0.25">
      <c r="A118" s="82">
        <f>'A) Base RI'!A114</f>
        <v>5582</v>
      </c>
      <c r="B118" s="147" t="str">
        <f>'A) Base RI'!B114</f>
        <v>Cheseaux-sur-Lausanne</v>
      </c>
      <c r="C118" s="18">
        <f>'A) Base RI'!AN114</f>
        <v>4080</v>
      </c>
      <c r="D118" s="61">
        <f>'C) Prél. conj.'!H112</f>
        <v>322662.40500000003</v>
      </c>
      <c r="E118" s="25">
        <f>'D) Ecrêtage'!M112</f>
        <v>0</v>
      </c>
      <c r="F118" s="73">
        <f>$F$10*'D) Ecrêtage'!N112</f>
        <v>2149665.5600441215</v>
      </c>
      <c r="G118" s="98">
        <f t="shared" si="1"/>
        <v>2472327.9650441213</v>
      </c>
    </row>
    <row r="119" spans="1:7" x14ac:dyDescent="0.25">
      <c r="A119" s="82">
        <f>'A) Base RI'!A115</f>
        <v>5583</v>
      </c>
      <c r="B119" s="147" t="str">
        <f>'A) Base RI'!B115</f>
        <v>Crissier</v>
      </c>
      <c r="C119" s="18">
        <f>'A) Base RI'!AN115</f>
        <v>7407</v>
      </c>
      <c r="D119" s="61">
        <f>'C) Prél. conj.'!H113</f>
        <v>1153674.8049999999</v>
      </c>
      <c r="E119" s="25">
        <f>'D) Ecrêtage'!M113</f>
        <v>0</v>
      </c>
      <c r="F119" s="73">
        <f>$F$10*'D) Ecrêtage'!N113</f>
        <v>4444729.93289648</v>
      </c>
      <c r="G119" s="98">
        <f t="shared" si="1"/>
        <v>5598404.7378964797</v>
      </c>
    </row>
    <row r="120" spans="1:7" x14ac:dyDescent="0.25">
      <c r="A120" s="82">
        <f>'A) Base RI'!A116</f>
        <v>5584</v>
      </c>
      <c r="B120" s="147" t="str">
        <f>'A) Base RI'!B116</f>
        <v>Epalinges</v>
      </c>
      <c r="C120" s="18">
        <f>'A) Base RI'!AN116</f>
        <v>8912</v>
      </c>
      <c r="D120" s="61">
        <f>'C) Prél. conj.'!H114</f>
        <v>1010133.64</v>
      </c>
      <c r="E120" s="25">
        <f>'D) Ecrêtage'!M114</f>
        <v>0</v>
      </c>
      <c r="F120" s="73">
        <f>$F$10*'D) Ecrêtage'!N114</f>
        <v>6823687.2307145232</v>
      </c>
      <c r="G120" s="98">
        <f t="shared" si="1"/>
        <v>7833820.8707145229</v>
      </c>
    </row>
    <row r="121" spans="1:7" x14ac:dyDescent="0.25">
      <c r="A121" s="82">
        <f>'A) Base RI'!A117</f>
        <v>5585</v>
      </c>
      <c r="B121" s="147" t="str">
        <f>'A) Base RI'!B117</f>
        <v>Jouxtens-Mézery</v>
      </c>
      <c r="C121" s="18">
        <f>'A) Base RI'!AN117</f>
        <v>1398</v>
      </c>
      <c r="D121" s="61">
        <f>'C) Prél. conj.'!H115</f>
        <v>390341.45499999996</v>
      </c>
      <c r="E121" s="25">
        <f>'D) Ecrêtage'!M115</f>
        <v>3133628.3107174905</v>
      </c>
      <c r="F121" s="73">
        <f>$F$10*'D) Ecrêtage'!N115</f>
        <v>1990008.6847905263</v>
      </c>
      <c r="G121" s="98">
        <f t="shared" si="1"/>
        <v>5513978.4505080171</v>
      </c>
    </row>
    <row r="122" spans="1:7" x14ac:dyDescent="0.25">
      <c r="A122" s="82">
        <f>'A) Base RI'!A118</f>
        <v>5586</v>
      </c>
      <c r="B122" s="147" t="str">
        <f>'A) Base RI'!B118</f>
        <v>Lausanne</v>
      </c>
      <c r="C122" s="18">
        <f>'A) Base RI'!AN118</f>
        <v>133521</v>
      </c>
      <c r="D122" s="61">
        <f>'C) Prél. conj.'!H116</f>
        <v>17658928.895</v>
      </c>
      <c r="E122" s="25">
        <f>'D) Ecrêtage'!M116</f>
        <v>0</v>
      </c>
      <c r="F122" s="73">
        <f>$F$10*'D) Ecrêtage'!N116</f>
        <v>89244168.030486763</v>
      </c>
      <c r="G122" s="98">
        <f t="shared" si="1"/>
        <v>106903096.92548676</v>
      </c>
    </row>
    <row r="123" spans="1:7" x14ac:dyDescent="0.25">
      <c r="A123" s="82">
        <f>'A) Base RI'!A119</f>
        <v>5587</v>
      </c>
      <c r="B123" s="147" t="str">
        <f>'A) Base RI'!B119</f>
        <v>Le Mont-sur-Lausanne</v>
      </c>
      <c r="C123" s="18">
        <f>'A) Base RI'!AN119</f>
        <v>6937</v>
      </c>
      <c r="D123" s="61">
        <f>'C) Prél. conj.'!H117</f>
        <v>1148820.605</v>
      </c>
      <c r="E123" s="25">
        <f>'D) Ecrêtage'!M117</f>
        <v>0</v>
      </c>
      <c r="F123" s="73">
        <f>$F$10*'D) Ecrêtage'!N117</f>
        <v>5160960.4142475091</v>
      </c>
      <c r="G123" s="98">
        <f t="shared" ref="G123:G176" si="2">D123+F123+E123</f>
        <v>6309781.0192475095</v>
      </c>
    </row>
    <row r="124" spans="1:7" x14ac:dyDescent="0.25">
      <c r="A124" s="82">
        <f>'A) Base RI'!A120</f>
        <v>5588</v>
      </c>
      <c r="B124" s="147" t="str">
        <f>'A) Base RI'!B120</f>
        <v>Paudex</v>
      </c>
      <c r="C124" s="18">
        <f>'A) Base RI'!AN120</f>
        <v>1454</v>
      </c>
      <c r="D124" s="61">
        <f>'C) Prél. conj.'!H118</f>
        <v>62983.425000000003</v>
      </c>
      <c r="E124" s="25">
        <f>'D) Ecrêtage'!M118</f>
        <v>2036369.4157227813</v>
      </c>
      <c r="F124" s="73">
        <f>$F$10*'D) Ecrêtage'!N118</f>
        <v>1765980.9137285016</v>
      </c>
      <c r="G124" s="98">
        <f t="shared" si="2"/>
        <v>3865333.7544512833</v>
      </c>
    </row>
    <row r="125" spans="1:7" x14ac:dyDescent="0.25">
      <c r="A125" s="82">
        <f>'A) Base RI'!A121</f>
        <v>5589</v>
      </c>
      <c r="B125" s="147" t="str">
        <f>'A) Base RI'!B121</f>
        <v>Prilly</v>
      </c>
      <c r="C125" s="18">
        <f>'A) Base RI'!AN121</f>
        <v>11824</v>
      </c>
      <c r="D125" s="61">
        <f>'C) Prél. conj.'!H119</f>
        <v>884025.45500000007</v>
      </c>
      <c r="E125" s="25">
        <f>'D) Ecrêtage'!M119</f>
        <v>0</v>
      </c>
      <c r="F125" s="73">
        <f>$F$10*'D) Ecrêtage'!N119</f>
        <v>6061594.6788588874</v>
      </c>
      <c r="G125" s="98">
        <f t="shared" si="2"/>
        <v>6945620.1338588875</v>
      </c>
    </row>
    <row r="126" spans="1:7" x14ac:dyDescent="0.25">
      <c r="A126" s="82">
        <f>'A) Base RI'!A122</f>
        <v>5590</v>
      </c>
      <c r="B126" s="147" t="str">
        <f>'A) Base RI'!B122</f>
        <v>Pully</v>
      </c>
      <c r="C126" s="18">
        <f>'A) Base RI'!AN122</f>
        <v>17598</v>
      </c>
      <c r="D126" s="61">
        <f>'C) Prél. conj.'!H120</f>
        <v>5667141.2650000006</v>
      </c>
      <c r="E126" s="25">
        <f>'D) Ecrêtage'!M120</f>
        <v>11237460.526540413</v>
      </c>
      <c r="F126" s="73">
        <f>$F$10*'D) Ecrêtage'!N120</f>
        <v>18243391.178315833</v>
      </c>
      <c r="G126" s="98">
        <f t="shared" si="2"/>
        <v>35147992.969856247</v>
      </c>
    </row>
    <row r="127" spans="1:7" x14ac:dyDescent="0.25">
      <c r="A127" s="82">
        <f>'A) Base RI'!A123</f>
        <v>5591</v>
      </c>
      <c r="B127" s="147" t="str">
        <f>'A) Base RI'!B123</f>
        <v>Renens</v>
      </c>
      <c r="C127" s="18">
        <f>'A) Base RI'!AN123</f>
        <v>20307</v>
      </c>
      <c r="D127" s="61">
        <f>'C) Prél. conj.'!H121</f>
        <v>2258312.0249999999</v>
      </c>
      <c r="E127" s="25">
        <f>'D) Ecrêtage'!M121</f>
        <v>0</v>
      </c>
      <c r="F127" s="73">
        <f>$F$10*'D) Ecrêtage'!N121</f>
        <v>7499662.9505694015</v>
      </c>
      <c r="G127" s="98">
        <f t="shared" si="2"/>
        <v>9757974.9755694009</v>
      </c>
    </row>
    <row r="128" spans="1:7" x14ac:dyDescent="0.25">
      <c r="A128" s="82">
        <f>'A) Base RI'!A124</f>
        <v>5592</v>
      </c>
      <c r="B128" s="147" t="str">
        <f>'A) Base RI'!B124</f>
        <v>Romanel-sur-Lausanne</v>
      </c>
      <c r="C128" s="18">
        <f>'A) Base RI'!AN124</f>
        <v>3290</v>
      </c>
      <c r="D128" s="61">
        <f>'C) Prél. conj.'!H122</f>
        <v>320074.14500000002</v>
      </c>
      <c r="E128" s="25">
        <f>'D) Ecrêtage'!M122</f>
        <v>0</v>
      </c>
      <c r="F128" s="73">
        <f>$F$10*'D) Ecrêtage'!N122</f>
        <v>1707264.3663348556</v>
      </c>
      <c r="G128" s="98">
        <f t="shared" si="2"/>
        <v>2027338.5113348556</v>
      </c>
    </row>
    <row r="129" spans="1:7" x14ac:dyDescent="0.25">
      <c r="A129" s="82">
        <f>'A) Base RI'!A125</f>
        <v>5601</v>
      </c>
      <c r="B129" s="147" t="str">
        <f>'A) Base RI'!B125</f>
        <v>Chexbres</v>
      </c>
      <c r="C129" s="18">
        <f>'A) Base RI'!AN125</f>
        <v>2180</v>
      </c>
      <c r="D129" s="61">
        <f>'C) Prél. conj.'!H123</f>
        <v>365734.755</v>
      </c>
      <c r="E129" s="25">
        <f>'D) Ecrêtage'!M123</f>
        <v>0</v>
      </c>
      <c r="F129" s="73">
        <f>$F$10*'D) Ecrêtage'!N123</f>
        <v>1508212.3318966012</v>
      </c>
      <c r="G129" s="98">
        <f t="shared" si="2"/>
        <v>1873947.0868966011</v>
      </c>
    </row>
    <row r="130" spans="1:7" x14ac:dyDescent="0.25">
      <c r="A130" s="82">
        <f>'A) Base RI'!A126</f>
        <v>5604</v>
      </c>
      <c r="B130" s="147" t="str">
        <f>'A) Base RI'!B126</f>
        <v>Forel (Lavaux)</v>
      </c>
      <c r="C130" s="18">
        <f>'A) Base RI'!AN126</f>
        <v>2072</v>
      </c>
      <c r="D130" s="61">
        <f>'C) Prél. conj.'!H124</f>
        <v>172710.85500000001</v>
      </c>
      <c r="E130" s="25">
        <f>'D) Ecrêtage'!M124</f>
        <v>0</v>
      </c>
      <c r="F130" s="73">
        <f>$F$10*'D) Ecrêtage'!N124</f>
        <v>1089396.4999302609</v>
      </c>
      <c r="G130" s="98">
        <f t="shared" si="2"/>
        <v>1262107.3549302609</v>
      </c>
    </row>
    <row r="131" spans="1:7" x14ac:dyDescent="0.25">
      <c r="A131" s="82">
        <f>'A) Base RI'!A127</f>
        <v>5606</v>
      </c>
      <c r="B131" s="147" t="str">
        <f>'A) Base RI'!B127</f>
        <v>Lutry</v>
      </c>
      <c r="C131" s="18">
        <f>'A) Base RI'!AN127</f>
        <v>9648</v>
      </c>
      <c r="D131" s="61">
        <f>'C) Prél. conj.'!H125</f>
        <v>2796053.5449999999</v>
      </c>
      <c r="E131" s="25">
        <f>'D) Ecrêtage'!M125</f>
        <v>6422402.2606219677</v>
      </c>
      <c r="F131" s="73">
        <f>$F$10*'D) Ecrêtage'!N125</f>
        <v>10295065.166726416</v>
      </c>
      <c r="G131" s="98">
        <f t="shared" si="2"/>
        <v>19513520.972348385</v>
      </c>
    </row>
    <row r="132" spans="1:7" x14ac:dyDescent="0.25">
      <c r="A132" s="82">
        <f>'A) Base RI'!A128</f>
        <v>5607</v>
      </c>
      <c r="B132" s="147" t="str">
        <f>'A) Base RI'!B128</f>
        <v>Puidoux</v>
      </c>
      <c r="C132" s="18">
        <f>'A) Base RI'!AN128</f>
        <v>2815</v>
      </c>
      <c r="D132" s="61">
        <f>'C) Prél. conj.'!H126</f>
        <v>319914.42</v>
      </c>
      <c r="E132" s="25">
        <f>'D) Ecrêtage'!M126</f>
        <v>0</v>
      </c>
      <c r="F132" s="73">
        <f>$F$10*'D) Ecrêtage'!N126</f>
        <v>1508833.1376651211</v>
      </c>
      <c r="G132" s="98">
        <f t="shared" si="2"/>
        <v>1828747.557665121</v>
      </c>
    </row>
    <row r="133" spans="1:7" x14ac:dyDescent="0.25">
      <c r="A133" s="82">
        <f>'A) Base RI'!A129</f>
        <v>5609</v>
      </c>
      <c r="B133" s="147" t="str">
        <f>'A) Base RI'!B129</f>
        <v>Rivaz</v>
      </c>
      <c r="C133" s="18">
        <f>'A) Base RI'!AN129</f>
        <v>345</v>
      </c>
      <c r="D133" s="61">
        <f>'C) Prél. conj.'!H127</f>
        <v>23282.2</v>
      </c>
      <c r="E133" s="25">
        <f>'D) Ecrêtage'!M127</f>
        <v>0</v>
      </c>
      <c r="F133" s="73">
        <f>$F$10*'D) Ecrêtage'!N127</f>
        <v>258122.11500341704</v>
      </c>
      <c r="G133" s="98">
        <f t="shared" si="2"/>
        <v>281404.31500341702</v>
      </c>
    </row>
    <row r="134" spans="1:7" x14ac:dyDescent="0.25">
      <c r="A134" s="82">
        <f>'A) Base RI'!A130</f>
        <v>5610</v>
      </c>
      <c r="B134" s="147" t="str">
        <f>'A) Base RI'!B130</f>
        <v>St-Saphorin (Lavaux)</v>
      </c>
      <c r="C134" s="18">
        <f>'A) Base RI'!AN130</f>
        <v>378</v>
      </c>
      <c r="D134" s="61">
        <f>'C) Prél. conj.'!H128</f>
        <v>34959.525000000001</v>
      </c>
      <c r="E134" s="25">
        <f>'D) Ecrêtage'!M128</f>
        <v>0</v>
      </c>
      <c r="F134" s="73">
        <f>$F$10*'D) Ecrêtage'!N128</f>
        <v>300973.58476486942</v>
      </c>
      <c r="G134" s="98">
        <f t="shared" si="2"/>
        <v>335933.10976486944</v>
      </c>
    </row>
    <row r="135" spans="1:7" x14ac:dyDescent="0.25">
      <c r="A135" s="82">
        <f>'A) Base RI'!A131</f>
        <v>5611</v>
      </c>
      <c r="B135" s="147" t="str">
        <f>'A) Base RI'!B131</f>
        <v>Savigny</v>
      </c>
      <c r="C135" s="18">
        <f>'A) Base RI'!AN131</f>
        <v>3304</v>
      </c>
      <c r="D135" s="61">
        <f>'C) Prél. conj.'!H129</f>
        <v>217644.58000000002</v>
      </c>
      <c r="E135" s="25">
        <f>'D) Ecrêtage'!M129</f>
        <v>0</v>
      </c>
      <c r="F135" s="73">
        <f>$F$10*'D) Ecrêtage'!N129</f>
        <v>1976090.9436905982</v>
      </c>
      <c r="G135" s="98">
        <f t="shared" si="2"/>
        <v>2193735.5236905981</v>
      </c>
    </row>
    <row r="136" spans="1:7" x14ac:dyDescent="0.25">
      <c r="A136" s="82">
        <f>'A) Base RI'!A132</f>
        <v>5613</v>
      </c>
      <c r="B136" s="147" t="str">
        <f>'A) Base RI'!B132</f>
        <v>Bourg-en-Lavaux</v>
      </c>
      <c r="C136" s="18">
        <f>'A) Base RI'!AN132</f>
        <v>5184</v>
      </c>
      <c r="D136" s="61">
        <f>'C) Prél. conj.'!H130</f>
        <v>823902.22500000009</v>
      </c>
      <c r="E136" s="25">
        <f>'D) Ecrêtage'!M130</f>
        <v>723418.09235979186</v>
      </c>
      <c r="F136" s="73">
        <f>$F$10*'D) Ecrêtage'!N130</f>
        <v>4543819.1887317728</v>
      </c>
      <c r="G136" s="98">
        <f t="shared" si="2"/>
        <v>6091139.506091564</v>
      </c>
    </row>
    <row r="137" spans="1:7" x14ac:dyDescent="0.25">
      <c r="A137" s="82">
        <f>'A) Base RI'!A133</f>
        <v>5621</v>
      </c>
      <c r="B137" s="147" t="str">
        <f>'A) Base RI'!B133</f>
        <v>Aclens</v>
      </c>
      <c r="C137" s="18">
        <f>'A) Base RI'!AN133</f>
        <v>538</v>
      </c>
      <c r="D137" s="61">
        <f>'C) Prél. conj.'!H131</f>
        <v>69849.01999999999</v>
      </c>
      <c r="E137" s="25">
        <f>'D) Ecrêtage'!M131</f>
        <v>268880.60107926122</v>
      </c>
      <c r="F137" s="73">
        <f>$F$10*'D) Ecrêtage'!N131</f>
        <v>538353.98779422464</v>
      </c>
      <c r="G137" s="98">
        <f t="shared" si="2"/>
        <v>877083.60887348582</v>
      </c>
    </row>
    <row r="138" spans="1:7" x14ac:dyDescent="0.25">
      <c r="A138" s="82">
        <f>'A) Base RI'!A134</f>
        <v>5622</v>
      </c>
      <c r="B138" s="147" t="str">
        <f>'A) Base RI'!B134</f>
        <v>Bremblens</v>
      </c>
      <c r="C138" s="18">
        <f>'A) Base RI'!AN134</f>
        <v>495</v>
      </c>
      <c r="D138" s="61">
        <f>'C) Prél. conj.'!H132</f>
        <v>55572.564999999995</v>
      </c>
      <c r="E138" s="25">
        <f>'D) Ecrêtage'!M132</f>
        <v>0</v>
      </c>
      <c r="F138" s="73">
        <f>$F$10*'D) Ecrêtage'!N132</f>
        <v>381548.79821228789</v>
      </c>
      <c r="G138" s="98">
        <f t="shared" si="2"/>
        <v>437121.36321228789</v>
      </c>
    </row>
    <row r="139" spans="1:7" x14ac:dyDescent="0.25">
      <c r="A139" s="82">
        <f>'A) Base RI'!A135</f>
        <v>5623</v>
      </c>
      <c r="B139" s="147" t="str">
        <f>'A) Base RI'!B135</f>
        <v>Buchillon</v>
      </c>
      <c r="C139" s="18">
        <f>'A) Base RI'!AN135</f>
        <v>616</v>
      </c>
      <c r="D139" s="61">
        <f>'C) Prél. conj.'!H133</f>
        <v>126948.70500000002</v>
      </c>
      <c r="E139" s="25">
        <f>'D) Ecrêtage'!M133</f>
        <v>1582846.9178865489</v>
      </c>
      <c r="F139" s="73">
        <f>$F$10*'D) Ecrêtage'!N133</f>
        <v>914503.04898557102</v>
      </c>
      <c r="G139" s="98">
        <f t="shared" si="2"/>
        <v>2624298.6718721199</v>
      </c>
    </row>
    <row r="140" spans="1:7" x14ac:dyDescent="0.25">
      <c r="A140" s="82">
        <f>'A) Base RI'!A136</f>
        <v>5624</v>
      </c>
      <c r="B140" s="147" t="str">
        <f>'A) Base RI'!B136</f>
        <v>Bussigny</v>
      </c>
      <c r="C140" s="18">
        <f>'A) Base RI'!AN136</f>
        <v>8208</v>
      </c>
      <c r="D140" s="61">
        <f>'C) Prél. conj.'!H134</f>
        <v>907691.76</v>
      </c>
      <c r="E140" s="25">
        <f>'D) Ecrêtage'!M134</f>
        <v>0</v>
      </c>
      <c r="F140" s="73">
        <f>$F$10*'D) Ecrêtage'!N134</f>
        <v>5273050.6869252929</v>
      </c>
      <c r="G140" s="98">
        <f t="shared" si="2"/>
        <v>6180742.4469252927</v>
      </c>
    </row>
    <row r="141" spans="1:7" x14ac:dyDescent="0.25">
      <c r="A141" s="82">
        <f>'A) Base RI'!A137</f>
        <v>5625</v>
      </c>
      <c r="B141" s="147" t="str">
        <f>'A) Base RI'!B137</f>
        <v>Bussy-Chardonney</v>
      </c>
      <c r="C141" s="18">
        <f>'A) Base RI'!AN137</f>
        <v>388</v>
      </c>
      <c r="D141" s="61">
        <f>'C) Prél. conj.'!H135</f>
        <v>5830</v>
      </c>
      <c r="E141" s="25">
        <f>'D) Ecrêtage'!M135</f>
        <v>0</v>
      </c>
      <c r="F141" s="73">
        <f>$F$10*'D) Ecrêtage'!N135</f>
        <v>205080.12321930091</v>
      </c>
      <c r="G141" s="98">
        <f t="shared" si="2"/>
        <v>210910.12321930091</v>
      </c>
    </row>
    <row r="142" spans="1:7" x14ac:dyDescent="0.25">
      <c r="A142" s="82">
        <f>'A) Base RI'!A138</f>
        <v>5627</v>
      </c>
      <c r="B142" s="147" t="str">
        <f>'A) Base RI'!B138</f>
        <v>Chavannes-près-Renens</v>
      </c>
      <c r="C142" s="18">
        <f>'A) Base RI'!AN138</f>
        <v>7169</v>
      </c>
      <c r="D142" s="61">
        <f>'C) Prél. conj.'!H136</f>
        <v>332300.52</v>
      </c>
      <c r="E142" s="25">
        <f>'D) Ecrêtage'!M136</f>
        <v>0</v>
      </c>
      <c r="F142" s="73">
        <f>$F$10*'D) Ecrêtage'!N136</f>
        <v>2523757.1417433005</v>
      </c>
      <c r="G142" s="98">
        <f t="shared" si="2"/>
        <v>2856057.6617433005</v>
      </c>
    </row>
    <row r="143" spans="1:7" x14ac:dyDescent="0.25">
      <c r="A143" s="82">
        <f>'A) Base RI'!A139</f>
        <v>5628</v>
      </c>
      <c r="B143" s="147" t="str">
        <f>'A) Base RI'!B139</f>
        <v>Chigny</v>
      </c>
      <c r="C143" s="18">
        <f>'A) Base RI'!AN139</f>
        <v>330</v>
      </c>
      <c r="D143" s="61">
        <f>'C) Prél. conj.'!H137</f>
        <v>10608.31</v>
      </c>
      <c r="E143" s="25">
        <f>'D) Ecrêtage'!M137</f>
        <v>21463.429280018197</v>
      </c>
      <c r="F143" s="73">
        <f>$F$10*'D) Ecrêtage'!N137</f>
        <v>278503.5241472433</v>
      </c>
      <c r="G143" s="98">
        <f t="shared" si="2"/>
        <v>310575.2634272615</v>
      </c>
    </row>
    <row r="144" spans="1:7" x14ac:dyDescent="0.25">
      <c r="A144" s="82">
        <f>'A) Base RI'!A140</f>
        <v>5629</v>
      </c>
      <c r="B144" s="147" t="str">
        <f>'A) Base RI'!B140</f>
        <v>Clarmont</v>
      </c>
      <c r="C144" s="18">
        <f>'A) Base RI'!AN140</f>
        <v>155</v>
      </c>
      <c r="D144" s="61">
        <f>'C) Prél. conj.'!H138</f>
        <v>13612.5</v>
      </c>
      <c r="E144" s="25">
        <f>'D) Ecrêtage'!M138</f>
        <v>0</v>
      </c>
      <c r="F144" s="73">
        <f>$F$10*'D) Ecrêtage'!N138</f>
        <v>115259.24521751287</v>
      </c>
      <c r="G144" s="98">
        <f t="shared" si="2"/>
        <v>128871.74521751287</v>
      </c>
    </row>
    <row r="145" spans="1:7" x14ac:dyDescent="0.25">
      <c r="A145" s="82">
        <f>'A) Base RI'!A141</f>
        <v>5631</v>
      </c>
      <c r="B145" s="147" t="str">
        <f>'A) Base RI'!B141</f>
        <v>Denens</v>
      </c>
      <c r="C145" s="18">
        <f>'A) Base RI'!AN141</f>
        <v>699</v>
      </c>
      <c r="D145" s="61">
        <f>'C) Prél. conj.'!H139</f>
        <v>70425.074999999997</v>
      </c>
      <c r="E145" s="25">
        <f>'D) Ecrêtage'!M139</f>
        <v>0</v>
      </c>
      <c r="F145" s="73">
        <f>$F$10*'D) Ecrêtage'!N139</f>
        <v>522681.78813461296</v>
      </c>
      <c r="G145" s="98">
        <f t="shared" si="2"/>
        <v>593106.86313461291</v>
      </c>
    </row>
    <row r="146" spans="1:7" x14ac:dyDescent="0.25">
      <c r="A146" s="82">
        <f>'A) Base RI'!A142</f>
        <v>5632</v>
      </c>
      <c r="B146" s="147" t="str">
        <f>'A) Base RI'!B142</f>
        <v>Denges</v>
      </c>
      <c r="C146" s="18">
        <f>'A) Base RI'!AN142</f>
        <v>1612</v>
      </c>
      <c r="D146" s="61">
        <f>'C) Prél. conj.'!H140</f>
        <v>234105.845</v>
      </c>
      <c r="E146" s="25">
        <f>'D) Ecrêtage'!M140</f>
        <v>0</v>
      </c>
      <c r="F146" s="73">
        <f>$F$10*'D) Ecrêtage'!N140</f>
        <v>910758.13610827457</v>
      </c>
      <c r="G146" s="98">
        <f t="shared" si="2"/>
        <v>1144863.9811082745</v>
      </c>
    </row>
    <row r="147" spans="1:7" x14ac:dyDescent="0.25">
      <c r="A147" s="82">
        <f>'A) Base RI'!A143</f>
        <v>5633</v>
      </c>
      <c r="B147" s="147" t="str">
        <f>'A) Base RI'!B143</f>
        <v>Echandens</v>
      </c>
      <c r="C147" s="18">
        <f>'A) Base RI'!AN143</f>
        <v>2405</v>
      </c>
      <c r="D147" s="61">
        <f>'C) Prél. conj.'!H141</f>
        <v>307513.18000000005</v>
      </c>
      <c r="E147" s="25">
        <f>'D) Ecrêtage'!M141</f>
        <v>0</v>
      </c>
      <c r="F147" s="73">
        <f>$F$10*'D) Ecrêtage'!N141</f>
        <v>1846718.2910798455</v>
      </c>
      <c r="G147" s="98">
        <f t="shared" si="2"/>
        <v>2154231.4710798454</v>
      </c>
    </row>
    <row r="148" spans="1:7" x14ac:dyDescent="0.25">
      <c r="A148" s="82">
        <f>'A) Base RI'!A144</f>
        <v>5634</v>
      </c>
      <c r="B148" s="147" t="str">
        <f>'A) Base RI'!B144</f>
        <v>Echichens</v>
      </c>
      <c r="C148" s="18">
        <f>'A) Base RI'!AN144</f>
        <v>2570</v>
      </c>
      <c r="D148" s="61">
        <f>'C) Prél. conj.'!H142</f>
        <v>293728.64000000001</v>
      </c>
      <c r="E148" s="25">
        <f>'D) Ecrêtage'!M142</f>
        <v>0</v>
      </c>
      <c r="F148" s="73">
        <f>$F$10*'D) Ecrêtage'!N142</f>
        <v>1903766.742471141</v>
      </c>
      <c r="G148" s="98">
        <f t="shared" si="2"/>
        <v>2197495.3824711409</v>
      </c>
    </row>
    <row r="149" spans="1:7" x14ac:dyDescent="0.25">
      <c r="A149" s="82">
        <f>'A) Base RI'!A145</f>
        <v>5635</v>
      </c>
      <c r="B149" s="147" t="str">
        <f>'A) Base RI'!B145</f>
        <v>Ecublens</v>
      </c>
      <c r="C149" s="18">
        <f>'A) Base RI'!AN145</f>
        <v>12181</v>
      </c>
      <c r="D149" s="61">
        <f>'C) Prél. conj.'!H143</f>
        <v>1541184.1600000001</v>
      </c>
      <c r="E149" s="25">
        <f>'D) Ecrêtage'!M143</f>
        <v>0</v>
      </c>
      <c r="F149" s="73">
        <f>$F$10*'D) Ecrêtage'!N143</f>
        <v>6756078.5068593659</v>
      </c>
      <c r="G149" s="98">
        <f t="shared" si="2"/>
        <v>8297262.666859366</v>
      </c>
    </row>
    <row r="150" spans="1:7" x14ac:dyDescent="0.25">
      <c r="A150" s="82">
        <f>'A) Base RI'!A146</f>
        <v>5636</v>
      </c>
      <c r="B150" s="147" t="str">
        <f>'A) Base RI'!B146</f>
        <v>Etoy</v>
      </c>
      <c r="C150" s="18">
        <f>'A) Base RI'!AN146</f>
        <v>2890</v>
      </c>
      <c r="D150" s="61">
        <f>'C) Prél. conj.'!H144</f>
        <v>614075.49</v>
      </c>
      <c r="E150" s="25">
        <f>'D) Ecrêtage'!M144</f>
        <v>0</v>
      </c>
      <c r="F150" s="73">
        <f>$F$10*'D) Ecrêtage'!N144</f>
        <v>2096183.8084025041</v>
      </c>
      <c r="G150" s="98">
        <f t="shared" si="2"/>
        <v>2710259.2984025041</v>
      </c>
    </row>
    <row r="151" spans="1:7" x14ac:dyDescent="0.25">
      <c r="A151" s="82">
        <f>'A) Base RI'!A147</f>
        <v>5637</v>
      </c>
      <c r="B151" s="147" t="str">
        <f>'A) Base RI'!B147</f>
        <v>Lavigny</v>
      </c>
      <c r="C151" s="18">
        <f>'A) Base RI'!AN147</f>
        <v>930</v>
      </c>
      <c r="D151" s="61">
        <f>'C) Prél. conj.'!H145</f>
        <v>137075.405</v>
      </c>
      <c r="E151" s="25">
        <f>'D) Ecrêtage'!M145</f>
        <v>0</v>
      </c>
      <c r="F151" s="73">
        <f>$F$10*'D) Ecrêtage'!N145</f>
        <v>448093.91642135201</v>
      </c>
      <c r="G151" s="98">
        <f t="shared" si="2"/>
        <v>585169.32142135198</v>
      </c>
    </row>
    <row r="152" spans="1:7" x14ac:dyDescent="0.25">
      <c r="A152" s="82">
        <f>'A) Base RI'!A148</f>
        <v>5638</v>
      </c>
      <c r="B152" s="147" t="str">
        <f>'A) Base RI'!B148</f>
        <v>Lonay</v>
      </c>
      <c r="C152" s="18">
        <f>'A) Base RI'!AN148</f>
        <v>2508</v>
      </c>
      <c r="D152" s="61">
        <f>'C) Prél. conj.'!H146</f>
        <v>1207829.9449999998</v>
      </c>
      <c r="E152" s="25">
        <f>'D) Ecrêtage'!M146</f>
        <v>0</v>
      </c>
      <c r="F152" s="73">
        <f>$F$10*'D) Ecrêtage'!N146</f>
        <v>1949583.2716221742</v>
      </c>
      <c r="G152" s="98">
        <f t="shared" si="2"/>
        <v>3157413.2166221738</v>
      </c>
    </row>
    <row r="153" spans="1:7" x14ac:dyDescent="0.25">
      <c r="A153" s="82">
        <f>'A) Base RI'!A149</f>
        <v>5639</v>
      </c>
      <c r="B153" s="147" t="str">
        <f>'A) Base RI'!B149</f>
        <v>Lully</v>
      </c>
      <c r="C153" s="18">
        <f>'A) Base RI'!AN149</f>
        <v>764</v>
      </c>
      <c r="D153" s="61">
        <f>'C) Prél. conj.'!H147</f>
        <v>59043.655000000006</v>
      </c>
      <c r="E153" s="25">
        <f>'D) Ecrêtage'!M147</f>
        <v>0</v>
      </c>
      <c r="F153" s="73">
        <f>$F$10*'D) Ecrêtage'!N147</f>
        <v>620747.52392190602</v>
      </c>
      <c r="G153" s="98">
        <f t="shared" si="2"/>
        <v>679791.17892190604</v>
      </c>
    </row>
    <row r="154" spans="1:7" x14ac:dyDescent="0.25">
      <c r="A154" s="82">
        <f>'A) Base RI'!A150</f>
        <v>5640</v>
      </c>
      <c r="B154" s="147" t="str">
        <f>'A) Base RI'!B150</f>
        <v>Lussy-sur-Morges</v>
      </c>
      <c r="C154" s="18">
        <f>'A) Base RI'!AN150</f>
        <v>653</v>
      </c>
      <c r="D154" s="61">
        <f>'C) Prél. conj.'!H148</f>
        <v>112453.51</v>
      </c>
      <c r="E154" s="25">
        <f>'D) Ecrêtage'!M148</f>
        <v>386179.89237120748</v>
      </c>
      <c r="F154" s="73">
        <f>$F$10*'D) Ecrêtage'!N148</f>
        <v>663625.54104518774</v>
      </c>
      <c r="G154" s="98">
        <f t="shared" si="2"/>
        <v>1162258.9434163952</v>
      </c>
    </row>
    <row r="155" spans="1:7" x14ac:dyDescent="0.25">
      <c r="A155" s="82">
        <f>'A) Base RI'!A151</f>
        <v>5642</v>
      </c>
      <c r="B155" s="147" t="str">
        <f>'A) Base RI'!B151</f>
        <v>Morges</v>
      </c>
      <c r="C155" s="18">
        <f>'A) Base RI'!AN151</f>
        <v>15401</v>
      </c>
      <c r="D155" s="61">
        <f>'C) Prél. conj.'!H149</f>
        <v>2717715.7949999999</v>
      </c>
      <c r="E155" s="25">
        <f>'D) Ecrêtage'!M149</f>
        <v>0</v>
      </c>
      <c r="F155" s="73">
        <f>$F$10*'D) Ecrêtage'!N149</f>
        <v>10680632.445433469</v>
      </c>
      <c r="G155" s="98">
        <f t="shared" si="2"/>
        <v>13398348.240433469</v>
      </c>
    </row>
    <row r="156" spans="1:7" x14ac:dyDescent="0.25">
      <c r="A156" s="82">
        <f>'A) Base RI'!A152</f>
        <v>5643</v>
      </c>
      <c r="B156" s="147" t="str">
        <f>'A) Base RI'!B152</f>
        <v>Préverenges</v>
      </c>
      <c r="C156" s="18">
        <f>'A) Base RI'!AN152</f>
        <v>5184</v>
      </c>
      <c r="D156" s="61">
        <f>'C) Prél. conj.'!H150</f>
        <v>1207134.3600000001</v>
      </c>
      <c r="E156" s="25">
        <f>'D) Ecrêtage'!M150</f>
        <v>0</v>
      </c>
      <c r="F156" s="73">
        <f>$F$10*'D) Ecrêtage'!N150</f>
        <v>3931653.2077413932</v>
      </c>
      <c r="G156" s="98">
        <f t="shared" si="2"/>
        <v>5138787.5677413931</v>
      </c>
    </row>
    <row r="157" spans="1:7" x14ac:dyDescent="0.25">
      <c r="A157" s="82">
        <f>'A) Base RI'!A153</f>
        <v>5644</v>
      </c>
      <c r="B157" s="147" t="str">
        <f>'A) Base RI'!B153</f>
        <v>Reverolle</v>
      </c>
      <c r="C157" s="18">
        <f>'A) Base RI'!AN153</f>
        <v>356</v>
      </c>
      <c r="D157" s="61">
        <f>'C) Prél. conj.'!H151</f>
        <v>21766.885000000002</v>
      </c>
      <c r="E157" s="25">
        <f>'D) Ecrêtage'!M151</f>
        <v>0</v>
      </c>
      <c r="F157" s="73">
        <f>$F$10*'D) Ecrêtage'!N151</f>
        <v>219989.48008658993</v>
      </c>
      <c r="G157" s="98">
        <f t="shared" si="2"/>
        <v>241756.36508658994</v>
      </c>
    </row>
    <row r="158" spans="1:7" x14ac:dyDescent="0.25">
      <c r="A158" s="82">
        <f>'A) Base RI'!A154</f>
        <v>5645</v>
      </c>
      <c r="B158" s="147" t="str">
        <f>'A) Base RI'!B154</f>
        <v>Romanel-sur-Morges</v>
      </c>
      <c r="C158" s="18">
        <f>'A) Base RI'!AN154</f>
        <v>435</v>
      </c>
      <c r="D158" s="61">
        <f>'C) Prél. conj.'!H152</f>
        <v>90771.665000000008</v>
      </c>
      <c r="E158" s="25">
        <f>'D) Ecrêtage'!M152</f>
        <v>20839.912563599653</v>
      </c>
      <c r="F158" s="73">
        <f>$F$10*'D) Ecrêtage'!N152</f>
        <v>364905.2247545484</v>
      </c>
      <c r="G158" s="98">
        <f t="shared" si="2"/>
        <v>476516.80231814808</v>
      </c>
    </row>
    <row r="159" spans="1:7" x14ac:dyDescent="0.25">
      <c r="A159" s="82">
        <f>'A) Base RI'!A155</f>
        <v>5646</v>
      </c>
      <c r="B159" s="147" t="str">
        <f>'A) Base RI'!B155</f>
        <v>Saint-Prex</v>
      </c>
      <c r="C159" s="18">
        <f>'A) Base RI'!AN155</f>
        <v>5447</v>
      </c>
      <c r="D159" s="61">
        <f>'C) Prél. conj.'!H153</f>
        <v>4980994.66</v>
      </c>
      <c r="E159" s="25">
        <f>'D) Ecrêtage'!M153</f>
        <v>1480565.9177337638</v>
      </c>
      <c r="F159" s="73">
        <f>$F$10*'D) Ecrêtage'!N153</f>
        <v>5154389.4709346537</v>
      </c>
      <c r="G159" s="98">
        <f t="shared" si="2"/>
        <v>11615950.048668418</v>
      </c>
    </row>
    <row r="160" spans="1:7" x14ac:dyDescent="0.25">
      <c r="A160" s="82">
        <f>'A) Base RI'!A156</f>
        <v>5648</v>
      </c>
      <c r="B160" s="147" t="str">
        <f>'A) Base RI'!B156</f>
        <v>Saint-Sulpice</v>
      </c>
      <c r="C160" s="18">
        <f>'A) Base RI'!AN156</f>
        <v>3463</v>
      </c>
      <c r="D160" s="61">
        <f>'C) Prél. conj.'!H154</f>
        <v>860720.60999999987</v>
      </c>
      <c r="E160" s="25">
        <f>'D) Ecrêtage'!M154</f>
        <v>2237499.4071497065</v>
      </c>
      <c r="F160" s="73">
        <f>$F$10*'D) Ecrêtage'!N154</f>
        <v>3686872.8574519106</v>
      </c>
      <c r="G160" s="98">
        <f t="shared" si="2"/>
        <v>6785092.8746016175</v>
      </c>
    </row>
    <row r="161" spans="1:7" x14ac:dyDescent="0.25">
      <c r="A161" s="82">
        <f>'A) Base RI'!A157</f>
        <v>5649</v>
      </c>
      <c r="B161" s="147" t="str">
        <f>'A) Base RI'!B157</f>
        <v>Tolochenaz</v>
      </c>
      <c r="C161" s="18">
        <f>'A) Base RI'!AN157</f>
        <v>1812</v>
      </c>
      <c r="D161" s="61">
        <f>'C) Prél. conj.'!H155</f>
        <v>374905.17</v>
      </c>
      <c r="E161" s="25">
        <f>'D) Ecrêtage'!M155</f>
        <v>73803.616364152826</v>
      </c>
      <c r="F161" s="73">
        <f>$F$10*'D) Ecrêtage'!N155</f>
        <v>1509117.803315694</v>
      </c>
      <c r="G161" s="98">
        <f t="shared" si="2"/>
        <v>1957826.5896798468</v>
      </c>
    </row>
    <row r="162" spans="1:7" x14ac:dyDescent="0.25">
      <c r="A162" s="82">
        <f>'A) Base RI'!A158</f>
        <v>5650</v>
      </c>
      <c r="B162" s="147" t="str">
        <f>'A) Base RI'!B158</f>
        <v>Vaux-sur-Morges</v>
      </c>
      <c r="C162" s="18">
        <f>'A) Base RI'!AN158</f>
        <v>196</v>
      </c>
      <c r="D162" s="61">
        <f>'C) Prél. conj.'!H156</f>
        <v>72631.45</v>
      </c>
      <c r="E162" s="25">
        <f>'D) Ecrêtage'!M156</f>
        <v>3666363.9791760105</v>
      </c>
      <c r="F162" s="73">
        <f>$F$10*'D) Ecrêtage'!N156</f>
        <v>934655.12251742533</v>
      </c>
      <c r="G162" s="98">
        <f t="shared" si="2"/>
        <v>4673650.5516934358</v>
      </c>
    </row>
    <row r="163" spans="1:7" x14ac:dyDescent="0.25">
      <c r="A163" s="82">
        <f>'A) Base RI'!A159</f>
        <v>5651</v>
      </c>
      <c r="B163" s="147" t="str">
        <f>'A) Base RI'!B159</f>
        <v>Villars-Sainte-Croix</v>
      </c>
      <c r="C163" s="18">
        <f>'A) Base RI'!AN159</f>
        <v>673</v>
      </c>
      <c r="D163" s="61">
        <f>'C) Prél. conj.'!H157</f>
        <v>92833.12</v>
      </c>
      <c r="E163" s="25">
        <f>'D) Ecrêtage'!M157</f>
        <v>231545.26038952463</v>
      </c>
      <c r="F163" s="73">
        <f>$F$10*'D) Ecrêtage'!N157</f>
        <v>647398.23991408246</v>
      </c>
      <c r="G163" s="98">
        <f t="shared" si="2"/>
        <v>971776.62030360708</v>
      </c>
    </row>
    <row r="164" spans="1:7" x14ac:dyDescent="0.25">
      <c r="A164" s="82">
        <f>'A) Base RI'!A160</f>
        <v>5652</v>
      </c>
      <c r="B164" s="147" t="str">
        <f>'A) Base RI'!B160</f>
        <v>Villars-sous-Yens</v>
      </c>
      <c r="C164" s="18">
        <f>'A) Base RI'!AN160</f>
        <v>570</v>
      </c>
      <c r="D164" s="61">
        <f>'C) Prél. conj.'!H158</f>
        <v>23048.255000000001</v>
      </c>
      <c r="E164" s="25">
        <f>'D) Ecrêtage'!M158</f>
        <v>0</v>
      </c>
      <c r="F164" s="73">
        <f>$F$10*'D) Ecrêtage'!N158</f>
        <v>361164.44099646475</v>
      </c>
      <c r="G164" s="98">
        <f t="shared" si="2"/>
        <v>384212.69599646475</v>
      </c>
    </row>
    <row r="165" spans="1:7" x14ac:dyDescent="0.25">
      <c r="A165" s="82">
        <f>'A) Base RI'!A161</f>
        <v>5653</v>
      </c>
      <c r="B165" s="147" t="str">
        <f>'A) Base RI'!B161</f>
        <v>Vufflens-le-Château</v>
      </c>
      <c r="C165" s="18">
        <f>'A) Base RI'!AN161</f>
        <v>825</v>
      </c>
      <c r="D165" s="61">
        <f>'C) Prél. conj.'!H159</f>
        <v>107040.50000000001</v>
      </c>
      <c r="E165" s="25">
        <f>'D) Ecrêtage'!M159</f>
        <v>171372.62601858907</v>
      </c>
      <c r="F165" s="73">
        <f>$F$10*'D) Ecrêtage'!N159</f>
        <v>755412.15876480972</v>
      </c>
      <c r="G165" s="98">
        <f t="shared" si="2"/>
        <v>1033825.2847833987</v>
      </c>
    </row>
    <row r="166" spans="1:7" x14ac:dyDescent="0.25">
      <c r="A166" s="82">
        <f>'A) Base RI'!A162</f>
        <v>5654</v>
      </c>
      <c r="B166" s="147" t="str">
        <f>'A) Base RI'!B162</f>
        <v>Vullierens</v>
      </c>
      <c r="C166" s="18">
        <f>'A) Base RI'!AN162</f>
        <v>457</v>
      </c>
      <c r="D166" s="61">
        <f>'C) Prél. conj.'!H160</f>
        <v>67652.079999999987</v>
      </c>
      <c r="E166" s="25">
        <f>'D) Ecrêtage'!M160</f>
        <v>0</v>
      </c>
      <c r="F166" s="73">
        <f>$F$10*'D) Ecrêtage'!N160</f>
        <v>234513.99159584378</v>
      </c>
      <c r="G166" s="98">
        <f t="shared" si="2"/>
        <v>302166.07159584376</v>
      </c>
    </row>
    <row r="167" spans="1:7" x14ac:dyDescent="0.25">
      <c r="A167" s="82">
        <f>'A) Base RI'!A163</f>
        <v>5655</v>
      </c>
      <c r="B167" s="147" t="str">
        <f>'A) Base RI'!B163</f>
        <v>Yens</v>
      </c>
      <c r="C167" s="18">
        <f>'A) Base RI'!AN163</f>
        <v>1327</v>
      </c>
      <c r="D167" s="61">
        <f>'C) Prél. conj.'!H161</f>
        <v>205397.98</v>
      </c>
      <c r="E167" s="25">
        <f>'D) Ecrêtage'!M161</f>
        <v>27.659604563254231</v>
      </c>
      <c r="F167" s="73">
        <f>$F$10*'D) Ecrêtage'!N161</f>
        <v>1083339.9684339804</v>
      </c>
      <c r="G167" s="98">
        <f t="shared" si="2"/>
        <v>1288765.6080385435</v>
      </c>
    </row>
    <row r="168" spans="1:7" x14ac:dyDescent="0.25">
      <c r="A168" s="82">
        <f>'A) Base RI'!A164</f>
        <v>5661</v>
      </c>
      <c r="B168" s="147" t="str">
        <f>'A) Base RI'!B164</f>
        <v>Boulens</v>
      </c>
      <c r="C168" s="18">
        <f>'A) Base RI'!AN164</f>
        <v>313</v>
      </c>
      <c r="D168" s="61">
        <f>'C) Prél. conj.'!H162</f>
        <v>22722.93</v>
      </c>
      <c r="E168" s="25">
        <f>'D) Ecrêtage'!M162</f>
        <v>0</v>
      </c>
      <c r="F168" s="73">
        <f>$F$10*'D) Ecrêtage'!N162</f>
        <v>102048.33659064374</v>
      </c>
      <c r="G168" s="98">
        <f t="shared" si="2"/>
        <v>124771.26659064373</v>
      </c>
    </row>
    <row r="169" spans="1:7" x14ac:dyDescent="0.25">
      <c r="A169" s="82">
        <f>'A) Base RI'!A165</f>
        <v>5662</v>
      </c>
      <c r="B169" s="147" t="str">
        <f>'A) Base RI'!B165</f>
        <v>Brenles</v>
      </c>
      <c r="C169" s="18">
        <f>'A) Base RI'!AN165</f>
        <v>144</v>
      </c>
      <c r="D169" s="61">
        <f>'C) Prél. conj.'!H163</f>
        <v>22254.5</v>
      </c>
      <c r="E169" s="25">
        <f>'D) Ecrêtage'!M163</f>
        <v>0</v>
      </c>
      <c r="F169" s="73">
        <f>$F$10*'D) Ecrêtage'!N163</f>
        <v>59604.707317510336</v>
      </c>
      <c r="G169" s="98">
        <f t="shared" si="2"/>
        <v>81859.207317510329</v>
      </c>
    </row>
    <row r="170" spans="1:7" x14ac:dyDescent="0.25">
      <c r="A170" s="82">
        <f>'A) Base RI'!A166</f>
        <v>5663</v>
      </c>
      <c r="B170" s="147" t="str">
        <f>'A) Base RI'!B166</f>
        <v>Bussy-sur-Moudon</v>
      </c>
      <c r="C170" s="18">
        <f>'A) Base RI'!AN166</f>
        <v>197</v>
      </c>
      <c r="D170" s="61">
        <f>'C) Prél. conj.'!H164</f>
        <v>8422.9249999999993</v>
      </c>
      <c r="E170" s="25">
        <f>'D) Ecrêtage'!M164</f>
        <v>0</v>
      </c>
      <c r="F170" s="73">
        <f>$F$10*'D) Ecrêtage'!N164</f>
        <v>76473.308700605907</v>
      </c>
      <c r="G170" s="98">
        <f t="shared" si="2"/>
        <v>84896.23370060591</v>
      </c>
    </row>
    <row r="171" spans="1:7" x14ac:dyDescent="0.25">
      <c r="A171" s="82">
        <f>'A) Base RI'!A167</f>
        <v>5665</v>
      </c>
      <c r="B171" s="147" t="str">
        <f>'A) Base RI'!B167</f>
        <v>Chavannes-sur-Moudon</v>
      </c>
      <c r="C171" s="18">
        <f>'A) Base RI'!AN167</f>
        <v>233</v>
      </c>
      <c r="D171" s="61">
        <f>'C) Prél. conj.'!H165</f>
        <v>1975.5</v>
      </c>
      <c r="E171" s="25">
        <f>'D) Ecrêtage'!M165</f>
        <v>0</v>
      </c>
      <c r="F171" s="73">
        <f>$F$10*'D) Ecrêtage'!N165</f>
        <v>54833.081108186147</v>
      </c>
      <c r="G171" s="98">
        <f t="shared" si="2"/>
        <v>56808.581108186147</v>
      </c>
    </row>
    <row r="172" spans="1:7" x14ac:dyDescent="0.25">
      <c r="A172" s="82">
        <f>'A) Base RI'!A168</f>
        <v>5666</v>
      </c>
      <c r="B172" s="147" t="str">
        <f>'A) Base RI'!B168</f>
        <v>Chesalles-sur-Moudon</v>
      </c>
      <c r="C172" s="18">
        <f>'A) Base RI'!AN168</f>
        <v>160</v>
      </c>
      <c r="D172" s="61">
        <f>'C) Prél. conj.'!H166</f>
        <v>5234.3249999999998</v>
      </c>
      <c r="E172" s="25">
        <f>'D) Ecrêtage'!M166</f>
        <v>0</v>
      </c>
      <c r="F172" s="73">
        <f>$F$10*'D) Ecrêtage'!N166</f>
        <v>55168.782553375451</v>
      </c>
      <c r="G172" s="98">
        <f t="shared" si="2"/>
        <v>60403.107553375448</v>
      </c>
    </row>
    <row r="173" spans="1:7" x14ac:dyDescent="0.25">
      <c r="A173" s="82">
        <f>'A) Base RI'!A169</f>
        <v>5668</v>
      </c>
      <c r="B173" s="147" t="str">
        <f>'A) Base RI'!B169</f>
        <v>Cremin</v>
      </c>
      <c r="C173" s="18">
        <f>'A) Base RI'!AN169</f>
        <v>51</v>
      </c>
      <c r="D173" s="61">
        <f>'C) Prél. conj.'!H167</f>
        <v>0</v>
      </c>
      <c r="E173" s="25">
        <f>'D) Ecrêtage'!M167</f>
        <v>0</v>
      </c>
      <c r="F173" s="73">
        <f>$F$10*'D) Ecrêtage'!N167</f>
        <v>15094.601742074405</v>
      </c>
      <c r="G173" s="98">
        <f t="shared" si="2"/>
        <v>15094.601742074405</v>
      </c>
    </row>
    <row r="174" spans="1:7" x14ac:dyDescent="0.25">
      <c r="A174" s="82">
        <f>'A) Base RI'!A170</f>
        <v>5669</v>
      </c>
      <c r="B174" s="147" t="str">
        <f>'A) Base RI'!B170</f>
        <v>Curtilles</v>
      </c>
      <c r="C174" s="18">
        <f>'A) Base RI'!AN170</f>
        <v>306</v>
      </c>
      <c r="D174" s="61">
        <f>'C) Prél. conj.'!H168</f>
        <v>32924.224999999999</v>
      </c>
      <c r="E174" s="25">
        <f>'D) Ecrêtage'!M168</f>
        <v>0</v>
      </c>
      <c r="F174" s="73">
        <f>$F$10*'D) Ecrêtage'!N168</f>
        <v>119760.48027841443</v>
      </c>
      <c r="G174" s="98">
        <f t="shared" si="2"/>
        <v>152684.70527841442</v>
      </c>
    </row>
    <row r="175" spans="1:7" x14ac:dyDescent="0.25">
      <c r="A175" s="82">
        <f>'A) Base RI'!A171</f>
        <v>5671</v>
      </c>
      <c r="B175" s="147" t="str">
        <f>'A) Base RI'!B171</f>
        <v>Dompierre</v>
      </c>
      <c r="C175" s="18">
        <f>'A) Base RI'!AN171</f>
        <v>247</v>
      </c>
      <c r="D175" s="61">
        <f>'C) Prél. conj.'!H169</f>
        <v>3119.5</v>
      </c>
      <c r="E175" s="25">
        <f>'D) Ecrêtage'!M169</f>
        <v>0</v>
      </c>
      <c r="F175" s="73">
        <f>$F$10*'D) Ecrêtage'!N169</f>
        <v>86978.185329700893</v>
      </c>
      <c r="G175" s="98">
        <f t="shared" si="2"/>
        <v>90097.685329700893</v>
      </c>
    </row>
    <row r="176" spans="1:7" x14ac:dyDescent="0.25">
      <c r="A176" s="82">
        <f>'A) Base RI'!A172</f>
        <v>5672</v>
      </c>
      <c r="B176" s="147" t="str">
        <f>'A) Base RI'!B172</f>
        <v>Forel-sur-Lucens</v>
      </c>
      <c r="C176" s="18">
        <f>'A) Base RI'!AN172</f>
        <v>153</v>
      </c>
      <c r="D176" s="61">
        <f>'C) Prél. conj.'!H170</f>
        <v>14257.95</v>
      </c>
      <c r="E176" s="25">
        <f>'D) Ecrêtage'!M170</f>
        <v>0</v>
      </c>
      <c r="F176" s="73">
        <f>$F$10*'D) Ecrêtage'!N170</f>
        <v>57062.742285076929</v>
      </c>
      <c r="G176" s="98">
        <f t="shared" si="2"/>
        <v>71320.692285076933</v>
      </c>
    </row>
    <row r="177" spans="1:7" x14ac:dyDescent="0.25">
      <c r="A177" s="82">
        <f>'A) Base RI'!A173</f>
        <v>5673</v>
      </c>
      <c r="B177" s="147" t="str">
        <f>'A) Base RI'!B173</f>
        <v>Hermenches</v>
      </c>
      <c r="C177" s="18">
        <f>'A) Base RI'!AN173</f>
        <v>376</v>
      </c>
      <c r="D177" s="61">
        <f>'C) Prél. conj.'!H171</f>
        <v>60179.109999999993</v>
      </c>
      <c r="E177" s="25">
        <f>'D) Ecrêtage'!M171</f>
        <v>0</v>
      </c>
      <c r="F177" s="73">
        <f>$F$10*'D) Ecrêtage'!N171</f>
        <v>141708.18678128411</v>
      </c>
      <c r="G177" s="98">
        <f t="shared" ref="G177:G232" si="3">D177+F177+E177</f>
        <v>201887.29678128409</v>
      </c>
    </row>
    <row r="178" spans="1:7" x14ac:dyDescent="0.25">
      <c r="A178" s="82">
        <f>'A) Base RI'!A174</f>
        <v>5674</v>
      </c>
      <c r="B178" s="147" t="str">
        <f>'A) Base RI'!B174</f>
        <v>Lovatens</v>
      </c>
      <c r="C178" s="18">
        <f>'A) Base RI'!AN174</f>
        <v>140</v>
      </c>
      <c r="D178" s="61">
        <f>'C) Prél. conj.'!H172</f>
        <v>1985.6750000000002</v>
      </c>
      <c r="E178" s="25">
        <f>'D) Ecrêtage'!M172</f>
        <v>0</v>
      </c>
      <c r="F178" s="73">
        <f>$F$10*'D) Ecrêtage'!N172</f>
        <v>85195.961149180206</v>
      </c>
      <c r="G178" s="98">
        <f t="shared" si="3"/>
        <v>87181.636149180209</v>
      </c>
    </row>
    <row r="179" spans="1:7" x14ac:dyDescent="0.25">
      <c r="A179" s="82">
        <f>'A) Base RI'!A175</f>
        <v>5675</v>
      </c>
      <c r="B179" s="147" t="str">
        <f>'A) Base RI'!B175</f>
        <v>Lucens</v>
      </c>
      <c r="C179" s="18">
        <f>'A) Base RI'!AN175</f>
        <v>3262</v>
      </c>
      <c r="D179" s="61">
        <f>'C) Prél. conj.'!H173</f>
        <v>143899.51999999999</v>
      </c>
      <c r="E179" s="25">
        <f>'D) Ecrêtage'!M173</f>
        <v>0</v>
      </c>
      <c r="F179" s="73">
        <f>$F$10*'D) Ecrêtage'!N173</f>
        <v>1164013.8970523581</v>
      </c>
      <c r="G179" s="98">
        <f t="shared" si="3"/>
        <v>1307913.4170523582</v>
      </c>
    </row>
    <row r="180" spans="1:7" x14ac:dyDescent="0.25">
      <c r="A180" s="82">
        <f>'A) Base RI'!A176</f>
        <v>5678</v>
      </c>
      <c r="B180" s="147" t="str">
        <f>'A) Base RI'!B176</f>
        <v>Moudon</v>
      </c>
      <c r="C180" s="18">
        <f>'A) Base RI'!AN176</f>
        <v>5656</v>
      </c>
      <c r="D180" s="61">
        <f>'C) Prél. conj.'!H174</f>
        <v>295942.42499999999</v>
      </c>
      <c r="E180" s="25">
        <f>'D) Ecrêtage'!M174</f>
        <v>0</v>
      </c>
      <c r="F180" s="73">
        <f>$F$10*'D) Ecrêtage'!N174</f>
        <v>1760386.1448149681</v>
      </c>
      <c r="G180" s="98">
        <f t="shared" si="3"/>
        <v>2056328.5698149682</v>
      </c>
    </row>
    <row r="181" spans="1:7" x14ac:dyDescent="0.25">
      <c r="A181" s="82">
        <f>'A) Base RI'!A177</f>
        <v>5680</v>
      </c>
      <c r="B181" s="147" t="str">
        <f>'A) Base RI'!B177</f>
        <v>Ogens</v>
      </c>
      <c r="C181" s="18">
        <f>'A) Base RI'!AN177</f>
        <v>261</v>
      </c>
      <c r="D181" s="61">
        <f>'C) Prél. conj.'!H175</f>
        <v>10896.475</v>
      </c>
      <c r="E181" s="25">
        <f>'D) Ecrêtage'!M175</f>
        <v>0</v>
      </c>
      <c r="F181" s="73">
        <f>$F$10*'D) Ecrêtage'!N175</f>
        <v>97115.084319762318</v>
      </c>
      <c r="G181" s="98">
        <f t="shared" si="3"/>
        <v>108011.55931976232</v>
      </c>
    </row>
    <row r="182" spans="1:7" x14ac:dyDescent="0.25">
      <c r="A182" s="82">
        <f>'A) Base RI'!A178</f>
        <v>5683</v>
      </c>
      <c r="B182" s="147" t="str">
        <f>'A) Base RI'!B178</f>
        <v>Prévonloup</v>
      </c>
      <c r="C182" s="18">
        <f>'A) Base RI'!AN178</f>
        <v>173</v>
      </c>
      <c r="D182" s="61">
        <f>'C) Prél. conj.'!H176</f>
        <v>4042.5</v>
      </c>
      <c r="E182" s="25">
        <f>'D) Ecrêtage'!M176</f>
        <v>0</v>
      </c>
      <c r="F182" s="73">
        <f>$F$10*'D) Ecrêtage'!N176</f>
        <v>55601.501696192754</v>
      </c>
      <c r="G182" s="98">
        <f t="shared" si="3"/>
        <v>59644.001696192754</v>
      </c>
    </row>
    <row r="183" spans="1:7" x14ac:dyDescent="0.25">
      <c r="A183" s="82">
        <f>'A) Base RI'!A179</f>
        <v>5684</v>
      </c>
      <c r="B183" s="147" t="str">
        <f>'A) Base RI'!B179</f>
        <v>Rossenges</v>
      </c>
      <c r="C183" s="18">
        <f>'A) Base RI'!AN179</f>
        <v>63</v>
      </c>
      <c r="D183" s="61">
        <f>'C) Prél. conj.'!H177</f>
        <v>0</v>
      </c>
      <c r="E183" s="25">
        <f>'D) Ecrêtage'!M177</f>
        <v>0</v>
      </c>
      <c r="F183" s="73">
        <f>$F$10*'D) Ecrêtage'!N177</f>
        <v>18590.07997261405</v>
      </c>
      <c r="G183" s="98">
        <f t="shared" si="3"/>
        <v>18590.07997261405</v>
      </c>
    </row>
    <row r="184" spans="1:7" x14ac:dyDescent="0.25">
      <c r="A184" s="82">
        <f>'A) Base RI'!A180</f>
        <v>5686</v>
      </c>
      <c r="B184" s="147" t="str">
        <f>'A) Base RI'!B180</f>
        <v>Sarzens</v>
      </c>
      <c r="C184" s="18">
        <f>'A) Base RI'!AN180</f>
        <v>87</v>
      </c>
      <c r="D184" s="61">
        <f>'C) Prél. conj.'!H178</f>
        <v>10057.075000000001</v>
      </c>
      <c r="E184" s="25">
        <f>'D) Ecrêtage'!M178</f>
        <v>0</v>
      </c>
      <c r="F184" s="73">
        <f>$F$10*'D) Ecrêtage'!N178</f>
        <v>22647.526121835475</v>
      </c>
      <c r="G184" s="98">
        <f t="shared" si="3"/>
        <v>32704.601121835476</v>
      </c>
    </row>
    <row r="185" spans="1:7" x14ac:dyDescent="0.25">
      <c r="A185" s="82">
        <f>'A) Base RI'!A181</f>
        <v>5688</v>
      </c>
      <c r="B185" s="147" t="str">
        <f>'A) Base RI'!B181</f>
        <v>Syens</v>
      </c>
      <c r="C185" s="18">
        <f>'A) Base RI'!AN181</f>
        <v>126</v>
      </c>
      <c r="D185" s="61">
        <f>'C) Prél. conj.'!H179</f>
        <v>2318.625</v>
      </c>
      <c r="E185" s="25">
        <f>'D) Ecrêtage'!M179</f>
        <v>0</v>
      </c>
      <c r="F185" s="73">
        <f>$F$10*'D) Ecrêtage'!N179</f>
        <v>68055.638898333418</v>
      </c>
      <c r="G185" s="98">
        <f t="shared" si="3"/>
        <v>70374.263898333418</v>
      </c>
    </row>
    <row r="186" spans="1:7" x14ac:dyDescent="0.25">
      <c r="A186" s="82">
        <f>'A) Base RI'!A182</f>
        <v>5690</v>
      </c>
      <c r="B186" s="147" t="str">
        <f>'A) Base RI'!B182</f>
        <v>Villars-le-Comte</v>
      </c>
      <c r="C186" s="18">
        <f>'A) Base RI'!AN182</f>
        <v>153</v>
      </c>
      <c r="D186" s="61">
        <f>'C) Prél. conj.'!H180</f>
        <v>247.25</v>
      </c>
      <c r="E186" s="25">
        <f>'D) Ecrêtage'!M180</f>
        <v>0</v>
      </c>
      <c r="F186" s="73">
        <f>$F$10*'D) Ecrêtage'!N180</f>
        <v>46472.460852775781</v>
      </c>
      <c r="G186" s="98">
        <f t="shared" si="3"/>
        <v>46719.710852775781</v>
      </c>
    </row>
    <row r="187" spans="1:7" x14ac:dyDescent="0.25">
      <c r="A187" s="82">
        <f>'A) Base RI'!A183</f>
        <v>5692</v>
      </c>
      <c r="B187" s="147" t="str">
        <f>'A) Base RI'!B183</f>
        <v>Vucherens</v>
      </c>
      <c r="C187" s="18">
        <f>'A) Base RI'!AN183</f>
        <v>532</v>
      </c>
      <c r="D187" s="61">
        <f>'C) Prél. conj.'!H181</f>
        <v>24596.93</v>
      </c>
      <c r="E187" s="25">
        <f>'D) Ecrêtage'!M181</f>
        <v>0</v>
      </c>
      <c r="F187" s="73">
        <f>$F$10*'D) Ecrêtage'!N181</f>
        <v>236457.87840338537</v>
      </c>
      <c r="G187" s="98">
        <f t="shared" si="3"/>
        <v>261054.80840338537</v>
      </c>
    </row>
    <row r="188" spans="1:7" x14ac:dyDescent="0.25">
      <c r="A188" s="82">
        <f>'A) Base RI'!A184</f>
        <v>5693</v>
      </c>
      <c r="B188" s="147" t="str">
        <f>'A) Base RI'!B184</f>
        <v>Montanaire</v>
      </c>
      <c r="C188" s="18">
        <f>'A) Base RI'!AN184</f>
        <v>2436</v>
      </c>
      <c r="D188" s="61">
        <f>'C) Prél. conj.'!H182</f>
        <v>149330.23499999999</v>
      </c>
      <c r="E188" s="25">
        <f>'D) Ecrêtage'!M182</f>
        <v>0</v>
      </c>
      <c r="F188" s="73">
        <f>$F$10*'D) Ecrêtage'!N182</f>
        <v>873442.21559028665</v>
      </c>
      <c r="G188" s="98">
        <f>D188+F188+E188</f>
        <v>1022772.4505902866</v>
      </c>
    </row>
    <row r="189" spans="1:7" x14ac:dyDescent="0.25">
      <c r="A189" s="82">
        <f>'A) Base RI'!A185</f>
        <v>5701</v>
      </c>
      <c r="B189" s="147" t="str">
        <f>'A) Base RI'!B185</f>
        <v>Arnex-sur-Nyon</v>
      </c>
      <c r="C189" s="18">
        <f>'A) Base RI'!AN185</f>
        <v>190</v>
      </c>
      <c r="D189" s="61">
        <f>'C) Prél. conj.'!H183</f>
        <v>18249.46</v>
      </c>
      <c r="E189" s="25">
        <f>'D) Ecrêtage'!M183</f>
        <v>97481.710021628562</v>
      </c>
      <c r="F189" s="73">
        <f>$F$10*'D) Ecrêtage'!N183</f>
        <v>190398.40204717621</v>
      </c>
      <c r="G189" s="98">
        <f>D189+F189+E189</f>
        <v>306129.57206880476</v>
      </c>
    </row>
    <row r="190" spans="1:7" x14ac:dyDescent="0.25">
      <c r="A190" s="82">
        <f>'A) Base RI'!A186</f>
        <v>5702</v>
      </c>
      <c r="B190" s="147" t="str">
        <f>'A) Base RI'!B186</f>
        <v>Arzier-Le Muids</v>
      </c>
      <c r="C190" s="18">
        <f>'A) Base RI'!AN186</f>
        <v>2442</v>
      </c>
      <c r="D190" s="61">
        <f>'C) Prél. conj.'!H184</f>
        <v>379474.46500000003</v>
      </c>
      <c r="E190" s="25">
        <f>'D) Ecrêtage'!M184</f>
        <v>0</v>
      </c>
      <c r="F190" s="73">
        <f>$F$10*'D) Ecrêtage'!N184</f>
        <v>1832138.9753946469</v>
      </c>
      <c r="G190" s="98">
        <f t="shared" si="3"/>
        <v>2211613.440394647</v>
      </c>
    </row>
    <row r="191" spans="1:7" x14ac:dyDescent="0.25">
      <c r="A191" s="82">
        <f>'A) Base RI'!A187</f>
        <v>5703</v>
      </c>
      <c r="B191" s="147" t="str">
        <f>'A) Base RI'!B187</f>
        <v>Bassins</v>
      </c>
      <c r="C191" s="18">
        <f>'A) Base RI'!AN187</f>
        <v>1318</v>
      </c>
      <c r="D191" s="61">
        <f>'C) Prél. conj.'!H185</f>
        <v>190015.76</v>
      </c>
      <c r="E191" s="25">
        <f>'D) Ecrêtage'!M185</f>
        <v>0</v>
      </c>
      <c r="F191" s="73">
        <f>$F$10*'D) Ecrêtage'!N185</f>
        <v>778920.58872547885</v>
      </c>
      <c r="G191" s="98">
        <f t="shared" si="3"/>
        <v>968936.34872547886</v>
      </c>
    </row>
    <row r="192" spans="1:7" x14ac:dyDescent="0.25">
      <c r="A192" s="82">
        <f>'A) Base RI'!A188</f>
        <v>5704</v>
      </c>
      <c r="B192" s="147" t="str">
        <f>'A) Base RI'!B188</f>
        <v>Begnins</v>
      </c>
      <c r="C192" s="18">
        <f>'A) Base RI'!AN188</f>
        <v>1698</v>
      </c>
      <c r="D192" s="61">
        <f>'C) Prél. conj.'!H186</f>
        <v>736568.78500000003</v>
      </c>
      <c r="E192" s="25">
        <f>'D) Ecrêtage'!M186</f>
        <v>116496.51171382084</v>
      </c>
      <c r="F192" s="73">
        <f>$F$10*'D) Ecrêtage'!N186</f>
        <v>1431909.508786157</v>
      </c>
      <c r="G192" s="98">
        <f t="shared" si="3"/>
        <v>2284974.8054999779</v>
      </c>
    </row>
    <row r="193" spans="1:7" x14ac:dyDescent="0.25">
      <c r="A193" s="82">
        <f>'A) Base RI'!A189</f>
        <v>5705</v>
      </c>
      <c r="B193" s="147" t="str">
        <f>'A) Base RI'!B189</f>
        <v>Bogis-Bossey</v>
      </c>
      <c r="C193" s="18">
        <f>'A) Base RI'!AN189</f>
        <v>830</v>
      </c>
      <c r="D193" s="61">
        <f>'C) Prél. conj.'!H187</f>
        <v>83948.315000000002</v>
      </c>
      <c r="E193" s="25">
        <f>'D) Ecrêtage'!M187</f>
        <v>0</v>
      </c>
      <c r="F193" s="73">
        <f>$F$10*'D) Ecrêtage'!N187</f>
        <v>642700.15189462237</v>
      </c>
      <c r="G193" s="98">
        <f t="shared" si="3"/>
        <v>726648.46689462243</v>
      </c>
    </row>
    <row r="194" spans="1:7" x14ac:dyDescent="0.25">
      <c r="A194" s="82">
        <f>'A) Base RI'!A190</f>
        <v>5706</v>
      </c>
      <c r="B194" s="147" t="str">
        <f>'A) Base RI'!B190</f>
        <v>Borex</v>
      </c>
      <c r="C194" s="18">
        <f>'A) Base RI'!AN190</f>
        <v>919</v>
      </c>
      <c r="D194" s="61">
        <f>'C) Prél. conj.'!H188</f>
        <v>202822.20500000002</v>
      </c>
      <c r="E194" s="25">
        <f>'D) Ecrêtage'!M188</f>
        <v>1081797.4900870624</v>
      </c>
      <c r="F194" s="73">
        <f>$F$10*'D) Ecrêtage'!N188</f>
        <v>1093541.4110429136</v>
      </c>
      <c r="G194" s="98">
        <f t="shared" si="3"/>
        <v>2378161.106129976</v>
      </c>
    </row>
    <row r="195" spans="1:7" x14ac:dyDescent="0.25">
      <c r="A195" s="82">
        <f>'A) Base RI'!A191</f>
        <v>5707</v>
      </c>
      <c r="B195" s="147" t="str">
        <f>'A) Base RI'!B191</f>
        <v>Chavannes-de-Bogis</v>
      </c>
      <c r="C195" s="18">
        <f>'A) Base RI'!AN191</f>
        <v>1125</v>
      </c>
      <c r="D195" s="61">
        <f>'C) Prél. conj.'!H189</f>
        <v>312317.94</v>
      </c>
      <c r="E195" s="25">
        <f>'D) Ecrêtage'!M189</f>
        <v>882278.41928660078</v>
      </c>
      <c r="F195" s="73">
        <f>$F$10*'D) Ecrêtage'!N189</f>
        <v>1227892.248785187</v>
      </c>
      <c r="G195" s="98">
        <f t="shared" si="3"/>
        <v>2422488.6080717877</v>
      </c>
    </row>
    <row r="196" spans="1:7" x14ac:dyDescent="0.25">
      <c r="A196" s="82">
        <f>'A) Base RI'!A192</f>
        <v>5708</v>
      </c>
      <c r="B196" s="147" t="str">
        <f>'A) Base RI'!B192</f>
        <v>Chavannes-des-Bois</v>
      </c>
      <c r="C196" s="18">
        <f>'A) Base RI'!AN192</f>
        <v>797</v>
      </c>
      <c r="D196" s="61">
        <f>'C) Prél. conj.'!H190</f>
        <v>149253.97</v>
      </c>
      <c r="E196" s="25">
        <f>'D) Ecrêtage'!M190</f>
        <v>387292.91820562375</v>
      </c>
      <c r="F196" s="73">
        <f>$F$10*'D) Ecrêtage'!N190</f>
        <v>796213.90239815426</v>
      </c>
      <c r="G196" s="98">
        <f t="shared" si="3"/>
        <v>1332760.7906037779</v>
      </c>
    </row>
    <row r="197" spans="1:7" x14ac:dyDescent="0.25">
      <c r="A197" s="82">
        <f>'A) Base RI'!A193</f>
        <v>5709</v>
      </c>
      <c r="B197" s="147" t="str">
        <f>'A) Base RI'!B193</f>
        <v>Chéserex</v>
      </c>
      <c r="C197" s="18">
        <f>'A) Base RI'!AN193</f>
        <v>1225</v>
      </c>
      <c r="D197" s="61">
        <f>'C) Prél. conj.'!H191</f>
        <v>158850.74499999997</v>
      </c>
      <c r="E197" s="25">
        <f>'D) Ecrêtage'!M191</f>
        <v>1958590.533722427</v>
      </c>
      <c r="F197" s="73">
        <f>$F$10*'D) Ecrêtage'!N191</f>
        <v>1601328.5523450237</v>
      </c>
      <c r="G197" s="98">
        <f t="shared" si="3"/>
        <v>3718769.8310674503</v>
      </c>
    </row>
    <row r="198" spans="1:7" x14ac:dyDescent="0.25">
      <c r="A198" s="82">
        <f>'A) Base RI'!A194</f>
        <v>5710</v>
      </c>
      <c r="B198" s="147" t="str">
        <f>'A) Base RI'!B194</f>
        <v>Coinsins</v>
      </c>
      <c r="C198" s="18">
        <f>'A) Base RI'!AN194</f>
        <v>427</v>
      </c>
      <c r="D198" s="61">
        <f>'C) Prél. conj.'!H192</f>
        <v>58165.035000000003</v>
      </c>
      <c r="E198" s="25">
        <f>'D) Ecrêtage'!M192</f>
        <v>1809130.8360763083</v>
      </c>
      <c r="F198" s="73">
        <f>$F$10*'D) Ecrêtage'!N192</f>
        <v>829564.16278097336</v>
      </c>
      <c r="G198" s="98">
        <f t="shared" si="3"/>
        <v>2696860.0338572818</v>
      </c>
    </row>
    <row r="199" spans="1:7" x14ac:dyDescent="0.25">
      <c r="A199" s="82">
        <f>'A) Base RI'!A195</f>
        <v>5711</v>
      </c>
      <c r="B199" s="147" t="str">
        <f>'A) Base RI'!B195</f>
        <v>Commugny</v>
      </c>
      <c r="C199" s="18">
        <f>'A) Base RI'!AN195</f>
        <v>2524</v>
      </c>
      <c r="D199" s="61">
        <f>'C) Prél. conj.'!H193</f>
        <v>523781.14000000007</v>
      </c>
      <c r="E199" s="25">
        <f>'D) Ecrêtage'!M193</f>
        <v>2396370.636451955</v>
      </c>
      <c r="F199" s="73">
        <f>$F$10*'D) Ecrêtage'!N193</f>
        <v>2877810.1463170559</v>
      </c>
      <c r="G199" s="98">
        <f t="shared" si="3"/>
        <v>5797961.922769011</v>
      </c>
    </row>
    <row r="200" spans="1:7" x14ac:dyDescent="0.25">
      <c r="A200" s="82">
        <f>'A) Base RI'!A196</f>
        <v>5712</v>
      </c>
      <c r="B200" s="147" t="str">
        <f>'A) Base RI'!B196</f>
        <v>Coppet</v>
      </c>
      <c r="C200" s="18">
        <f>'A) Base RI'!AN196</f>
        <v>2892</v>
      </c>
      <c r="D200" s="61">
        <f>'C) Prél. conj.'!H194</f>
        <v>1069717.865</v>
      </c>
      <c r="E200" s="25">
        <f>'D) Ecrêtage'!M194</f>
        <v>3170409.5303063309</v>
      </c>
      <c r="F200" s="73">
        <f>$F$10*'D) Ecrêtage'!N194</f>
        <v>3442360.3622727501</v>
      </c>
      <c r="G200" s="98">
        <f t="shared" si="3"/>
        <v>7682487.7575790808</v>
      </c>
    </row>
    <row r="201" spans="1:7" x14ac:dyDescent="0.25">
      <c r="A201" s="82">
        <f>'A) Base RI'!A197</f>
        <v>5713</v>
      </c>
      <c r="B201" s="147" t="str">
        <f>'A) Base RI'!B197</f>
        <v>Crans-près-Céligny</v>
      </c>
      <c r="C201" s="18">
        <f>'A) Base RI'!AN197</f>
        <v>2048</v>
      </c>
      <c r="D201" s="61">
        <f>'C) Prél. conj.'!H195</f>
        <v>941653.5</v>
      </c>
      <c r="E201" s="25">
        <f>'D) Ecrêtage'!M195</f>
        <v>6348733.7473500809</v>
      </c>
      <c r="F201" s="73">
        <f>$F$10*'D) Ecrêtage'!N195</f>
        <v>3196540.0335743045</v>
      </c>
      <c r="G201" s="98">
        <f t="shared" si="3"/>
        <v>10486927.280924385</v>
      </c>
    </row>
    <row r="202" spans="1:7" x14ac:dyDescent="0.25">
      <c r="A202" s="82">
        <f>'A) Base RI'!A198</f>
        <v>5714</v>
      </c>
      <c r="B202" s="147" t="str">
        <f>'A) Base RI'!B198</f>
        <v>Crassier</v>
      </c>
      <c r="C202" s="18">
        <f>'A) Base RI'!AN198</f>
        <v>1114</v>
      </c>
      <c r="D202" s="61">
        <f>'C) Prél. conj.'!H196</f>
        <v>279264.44500000001</v>
      </c>
      <c r="E202" s="25">
        <f>'D) Ecrêtage'!M196</f>
        <v>66500.353079539942</v>
      </c>
      <c r="F202" s="73">
        <f>$F$10*'D) Ecrêtage'!N196</f>
        <v>936754.64507934719</v>
      </c>
      <c r="G202" s="98">
        <f t="shared" si="3"/>
        <v>1282519.4431588871</v>
      </c>
    </row>
    <row r="203" spans="1:7" x14ac:dyDescent="0.25">
      <c r="A203" s="82">
        <f>'A) Base RI'!A199</f>
        <v>5715</v>
      </c>
      <c r="B203" s="147" t="str">
        <f>'A) Base RI'!B199</f>
        <v>Duillier</v>
      </c>
      <c r="C203" s="18">
        <f>'A) Base RI'!AN199</f>
        <v>1014</v>
      </c>
      <c r="D203" s="61">
        <f>'C) Prél. conj.'!H197</f>
        <v>32952.535000000003</v>
      </c>
      <c r="E203" s="25">
        <f>'D) Ecrêtage'!M197</f>
        <v>105579.48978625385</v>
      </c>
      <c r="F203" s="73">
        <f>$F$10*'D) Ecrêtage'!N197</f>
        <v>869853.40649188252</v>
      </c>
      <c r="G203" s="98">
        <f t="shared" si="3"/>
        <v>1008385.4312781364</v>
      </c>
    </row>
    <row r="204" spans="1:7" x14ac:dyDescent="0.25">
      <c r="A204" s="82">
        <f>'A) Base RI'!A200</f>
        <v>5716</v>
      </c>
      <c r="B204" s="147" t="str">
        <f>'A) Base RI'!B200</f>
        <v>Eysins</v>
      </c>
      <c r="C204" s="18">
        <f>'A) Base RI'!AN200</f>
        <v>1462</v>
      </c>
      <c r="D204" s="61">
        <f>'C) Prél. conj.'!H198</f>
        <v>498645.65999999992</v>
      </c>
      <c r="E204" s="25">
        <f>'D) Ecrêtage'!M198</f>
        <v>1491682.8250513263</v>
      </c>
      <c r="F204" s="73">
        <f>$F$10*'D) Ecrêtage'!N198</f>
        <v>1672999.6371893263</v>
      </c>
      <c r="G204" s="98">
        <f t="shared" si="3"/>
        <v>3663328.1222406523</v>
      </c>
    </row>
    <row r="205" spans="1:7" x14ac:dyDescent="0.25">
      <c r="A205" s="82">
        <f>'A) Base RI'!A201</f>
        <v>5717</v>
      </c>
      <c r="B205" s="147" t="str">
        <f>'A) Base RI'!B201</f>
        <v>Founex</v>
      </c>
      <c r="C205" s="18">
        <f>'A) Base RI'!AN201</f>
        <v>3276</v>
      </c>
      <c r="D205" s="61">
        <f>'C) Prél. conj.'!H199</f>
        <v>1340604.1999999997</v>
      </c>
      <c r="E205" s="25">
        <f>'D) Ecrêtage'!M199</f>
        <v>3869947.2179634571</v>
      </c>
      <c r="F205" s="73">
        <f>$F$10*'D) Ecrêtage'!N199</f>
        <v>3900970.5680595436</v>
      </c>
      <c r="G205" s="98">
        <f t="shared" si="3"/>
        <v>9111521.9860230014</v>
      </c>
    </row>
    <row r="206" spans="1:7" x14ac:dyDescent="0.25">
      <c r="A206" s="82">
        <f>'A) Base RI'!A202</f>
        <v>5718</v>
      </c>
      <c r="B206" s="147" t="str">
        <f>'A) Base RI'!B202</f>
        <v>Genolier</v>
      </c>
      <c r="C206" s="18">
        <f>'A) Base RI'!AN202</f>
        <v>1875</v>
      </c>
      <c r="D206" s="61">
        <f>'C) Prél. conj.'!H200</f>
        <v>620934.18000000005</v>
      </c>
      <c r="E206" s="25">
        <f>'D) Ecrêtage'!M200</f>
        <v>1792167.7477127991</v>
      </c>
      <c r="F206" s="73">
        <f>$F$10*'D) Ecrêtage'!N200</f>
        <v>2159813.9975417112</v>
      </c>
      <c r="G206" s="98">
        <f t="shared" si="3"/>
        <v>4572915.9252545107</v>
      </c>
    </row>
    <row r="207" spans="1:7" x14ac:dyDescent="0.25">
      <c r="A207" s="82">
        <f>'A) Base RI'!A203</f>
        <v>5719</v>
      </c>
      <c r="B207" s="147" t="str">
        <f>'A) Base RI'!B203</f>
        <v>Gingins</v>
      </c>
      <c r="C207" s="18">
        <f>'A) Base RI'!AN203</f>
        <v>1217</v>
      </c>
      <c r="D207" s="61">
        <f>'C) Prél. conj.'!H201</f>
        <v>233033.66</v>
      </c>
      <c r="E207" s="25">
        <f>'D) Ecrêtage'!M201</f>
        <v>592319.04218548257</v>
      </c>
      <c r="F207" s="73">
        <f>$F$10*'D) Ecrêtage'!N201</f>
        <v>1249111.8940578448</v>
      </c>
      <c r="G207" s="98">
        <f t="shared" si="3"/>
        <v>2074464.5962433273</v>
      </c>
    </row>
    <row r="208" spans="1:7" x14ac:dyDescent="0.25">
      <c r="A208" s="82">
        <f>'A) Base RI'!A204</f>
        <v>5720</v>
      </c>
      <c r="B208" s="147" t="str">
        <f>'A) Base RI'!B204</f>
        <v>Givrins</v>
      </c>
      <c r="C208" s="18">
        <f>'A) Base RI'!AN204</f>
        <v>948</v>
      </c>
      <c r="D208" s="61">
        <f>'C) Prél. conj.'!H202</f>
        <v>163945.79</v>
      </c>
      <c r="E208" s="25">
        <f>'D) Ecrêtage'!M202</f>
        <v>552437.32888671174</v>
      </c>
      <c r="F208" s="73">
        <f>$F$10*'D) Ecrêtage'!N202</f>
        <v>973176.78828768351</v>
      </c>
      <c r="G208" s="98">
        <f t="shared" si="3"/>
        <v>1689559.9071743952</v>
      </c>
    </row>
    <row r="209" spans="1:7" x14ac:dyDescent="0.25">
      <c r="A209" s="82">
        <f>'A) Base RI'!A205</f>
        <v>5721</v>
      </c>
      <c r="B209" s="147" t="str">
        <f>'A) Base RI'!B205</f>
        <v>Gland</v>
      </c>
      <c r="C209" s="18">
        <f>'A) Base RI'!AN205</f>
        <v>12482</v>
      </c>
      <c r="D209" s="61">
        <f>'C) Prél. conj.'!H203</f>
        <v>1813865.645</v>
      </c>
      <c r="E209" s="25">
        <f>'D) Ecrêtage'!M203</f>
        <v>0</v>
      </c>
      <c r="F209" s="73">
        <f>$F$10*'D) Ecrêtage'!N203</f>
        <v>8060863.195922235</v>
      </c>
      <c r="G209" s="98">
        <f t="shared" si="3"/>
        <v>9874728.8409222346</v>
      </c>
    </row>
    <row r="210" spans="1:7" x14ac:dyDescent="0.25">
      <c r="A210" s="82">
        <f>'A) Base RI'!A206</f>
        <v>5722</v>
      </c>
      <c r="B210" s="147" t="str">
        <f>'A) Base RI'!B206</f>
        <v>Grens</v>
      </c>
      <c r="C210" s="18">
        <f>'A) Base RI'!AN206</f>
        <v>366</v>
      </c>
      <c r="D210" s="61">
        <f>'C) Prél. conj.'!H204</f>
        <v>26505.715</v>
      </c>
      <c r="E210" s="25">
        <f>'D) Ecrêtage'!M204</f>
        <v>0</v>
      </c>
      <c r="F210" s="73">
        <f>$F$10*'D) Ecrêtage'!N204</f>
        <v>265743.43878406956</v>
      </c>
      <c r="G210" s="98">
        <f t="shared" si="3"/>
        <v>292249.15378406958</v>
      </c>
    </row>
    <row r="211" spans="1:7" x14ac:dyDescent="0.25">
      <c r="A211" s="82">
        <f>'A) Base RI'!A207</f>
        <v>5723</v>
      </c>
      <c r="B211" s="147" t="str">
        <f>'A) Base RI'!B207</f>
        <v>Mies</v>
      </c>
      <c r="C211" s="18">
        <f>'A) Base RI'!AN207</f>
        <v>1775</v>
      </c>
      <c r="D211" s="61">
        <f>'C) Prél. conj.'!H205</f>
        <v>3037808.1150000002</v>
      </c>
      <c r="E211" s="25">
        <f>'D) Ecrêtage'!M205</f>
        <v>2348143.9278998426</v>
      </c>
      <c r="F211" s="73">
        <f>$F$10*'D) Ecrêtage'!N205</f>
        <v>2210863.1300112144</v>
      </c>
      <c r="G211" s="98">
        <f t="shared" si="3"/>
        <v>7596815.1729110572</v>
      </c>
    </row>
    <row r="212" spans="1:7" x14ac:dyDescent="0.25">
      <c r="A212" s="82">
        <f>'A) Base RI'!A208</f>
        <v>5724</v>
      </c>
      <c r="B212" s="147" t="str">
        <f>'A) Base RI'!B208</f>
        <v>Nyon</v>
      </c>
      <c r="C212" s="18">
        <f>'A) Base RI'!AN208</f>
        <v>19632</v>
      </c>
      <c r="D212" s="61">
        <f>'C) Prél. conj.'!H206</f>
        <v>3867076.51</v>
      </c>
      <c r="E212" s="25">
        <f>'D) Ecrêtage'!M206</f>
        <v>4262182.945360831</v>
      </c>
      <c r="F212" s="73">
        <f>$F$10*'D) Ecrêtage'!N206</f>
        <v>17863706.352869783</v>
      </c>
      <c r="G212" s="98">
        <f t="shared" si="3"/>
        <v>25992965.808230616</v>
      </c>
    </row>
    <row r="213" spans="1:7" x14ac:dyDescent="0.25">
      <c r="A213" s="82">
        <f>'A) Base RI'!A209</f>
        <v>5725</v>
      </c>
      <c r="B213" s="147" t="str">
        <f>'A) Base RI'!B209</f>
        <v>Prangins</v>
      </c>
      <c r="C213" s="18">
        <f>'A) Base RI'!AN209</f>
        <v>3930</v>
      </c>
      <c r="D213" s="61">
        <f>'C) Prél. conj.'!H207</f>
        <v>1438705.25</v>
      </c>
      <c r="E213" s="25">
        <f>'D) Ecrêtage'!M207</f>
        <v>2630737.5662357584</v>
      </c>
      <c r="F213" s="73">
        <f>$F$10*'D) Ecrêtage'!N207</f>
        <v>4198114.2700602049</v>
      </c>
      <c r="G213" s="98">
        <f t="shared" si="3"/>
        <v>8267557.0862959633</v>
      </c>
    </row>
    <row r="214" spans="1:7" x14ac:dyDescent="0.25">
      <c r="A214" s="82">
        <f>'A) Base RI'!A210</f>
        <v>5726</v>
      </c>
      <c r="B214" s="147" t="str">
        <f>'A) Base RI'!B210</f>
        <v>La Rippe</v>
      </c>
      <c r="C214" s="18">
        <f>'A) Base RI'!AN210</f>
        <v>1057</v>
      </c>
      <c r="D214" s="61">
        <f>'C) Prél. conj.'!H208</f>
        <v>119420.745</v>
      </c>
      <c r="E214" s="25">
        <f>'D) Ecrêtage'!M208</f>
        <v>0</v>
      </c>
      <c r="F214" s="73">
        <f>$F$10*'D) Ecrêtage'!N208</f>
        <v>774879.92836751672</v>
      </c>
      <c r="G214" s="98">
        <f t="shared" si="3"/>
        <v>894300.67336751672</v>
      </c>
    </row>
    <row r="215" spans="1:7" x14ac:dyDescent="0.25">
      <c r="A215" s="82">
        <f>'A) Base RI'!A211</f>
        <v>5727</v>
      </c>
      <c r="B215" s="147" t="str">
        <f>'A) Base RI'!B211</f>
        <v>Saint-Cergue</v>
      </c>
      <c r="C215" s="18">
        <f>'A) Base RI'!AN211</f>
        <v>2340</v>
      </c>
      <c r="D215" s="61">
        <f>'C) Prél. conj.'!H209</f>
        <v>341336.72499999998</v>
      </c>
      <c r="E215" s="25">
        <f>'D) Ecrêtage'!M209</f>
        <v>0</v>
      </c>
      <c r="F215" s="73">
        <f>$F$10*'D) Ecrêtage'!N209</f>
        <v>1275747.8703328364</v>
      </c>
      <c r="G215" s="98">
        <f t="shared" si="3"/>
        <v>1617084.5953328363</v>
      </c>
    </row>
    <row r="216" spans="1:7" x14ac:dyDescent="0.25">
      <c r="A216" s="82">
        <f>'A) Base RI'!A212</f>
        <v>5728</v>
      </c>
      <c r="B216" s="147" t="str">
        <f>'A) Base RI'!B212</f>
        <v>Signy-Avenex</v>
      </c>
      <c r="C216" s="18">
        <f>'A) Base RI'!AN212</f>
        <v>457</v>
      </c>
      <c r="D216" s="61">
        <f>'C) Prél. conj.'!H210</f>
        <v>149554.41499999998</v>
      </c>
      <c r="E216" s="25">
        <f>'D) Ecrêtage'!M210</f>
        <v>321362.28939735366</v>
      </c>
      <c r="F216" s="73">
        <f>$F$10*'D) Ecrêtage'!N210</f>
        <v>492965.43526365305</v>
      </c>
      <c r="G216" s="98">
        <f t="shared" si="3"/>
        <v>963882.13966100675</v>
      </c>
    </row>
    <row r="217" spans="1:7" x14ac:dyDescent="0.25">
      <c r="A217" s="82">
        <f>'A) Base RI'!A213</f>
        <v>5729</v>
      </c>
      <c r="B217" s="147" t="str">
        <f>'A) Base RI'!B213</f>
        <v>Tannay</v>
      </c>
      <c r="C217" s="18">
        <f>'A) Base RI'!AN213</f>
        <v>1511</v>
      </c>
      <c r="D217" s="61">
        <f>'C) Prél. conj.'!H211</f>
        <v>449465.77500000002</v>
      </c>
      <c r="E217" s="25">
        <f>'D) Ecrêtage'!M211</f>
        <v>1881039.3685577903</v>
      </c>
      <c r="F217" s="73">
        <f>$F$10*'D) Ecrêtage'!N211</f>
        <v>1793702.136460589</v>
      </c>
      <c r="G217" s="98">
        <f t="shared" si="3"/>
        <v>4124207.2800183794</v>
      </c>
    </row>
    <row r="218" spans="1:7" x14ac:dyDescent="0.25">
      <c r="A218" s="82">
        <f>'A) Base RI'!A214</f>
        <v>5730</v>
      </c>
      <c r="B218" s="147" t="str">
        <f>'A) Base RI'!B214</f>
        <v>Trélex</v>
      </c>
      <c r="C218" s="18">
        <f>'A) Base RI'!AN214</f>
        <v>1397</v>
      </c>
      <c r="D218" s="61">
        <f>'C) Prél. conj.'!H212</f>
        <v>183574.14999999997</v>
      </c>
      <c r="E218" s="25">
        <f>'D) Ecrêtage'!M212</f>
        <v>1566551.7626726886</v>
      </c>
      <c r="F218" s="73">
        <f>$F$10*'D) Ecrêtage'!N212</f>
        <v>1670541.1435525499</v>
      </c>
      <c r="G218" s="98">
        <f t="shared" si="3"/>
        <v>3420667.0562252384</v>
      </c>
    </row>
    <row r="219" spans="1:7" x14ac:dyDescent="0.25">
      <c r="A219" s="82">
        <f>'A) Base RI'!A215</f>
        <v>5731</v>
      </c>
      <c r="B219" s="147" t="str">
        <f>'A) Base RI'!B215</f>
        <v>Le Vaud</v>
      </c>
      <c r="C219" s="18">
        <f>'A) Base RI'!AN215</f>
        <v>1238</v>
      </c>
      <c r="D219" s="61">
        <f>'C) Prél. conj.'!H213</f>
        <v>72516.820000000007</v>
      </c>
      <c r="E219" s="25">
        <f>'D) Ecrêtage'!M213</f>
        <v>0</v>
      </c>
      <c r="F219" s="73">
        <f>$F$10*'D) Ecrêtage'!N213</f>
        <v>652854.05447200453</v>
      </c>
      <c r="G219" s="98">
        <f t="shared" si="3"/>
        <v>725370.87447200459</v>
      </c>
    </row>
    <row r="220" spans="1:7" x14ac:dyDescent="0.25">
      <c r="A220" s="82">
        <f>'A) Base RI'!A216</f>
        <v>5732</v>
      </c>
      <c r="B220" s="147" t="str">
        <f>'A) Base RI'!B216</f>
        <v>Vich</v>
      </c>
      <c r="C220" s="18">
        <f>'A) Base RI'!AN216</f>
        <v>763</v>
      </c>
      <c r="D220" s="61">
        <f>'C) Prél. conj.'!H214</f>
        <v>282532.35499999998</v>
      </c>
      <c r="E220" s="25">
        <f>'D) Ecrêtage'!M214</f>
        <v>0</v>
      </c>
      <c r="F220" s="73">
        <f>$F$10*'D) Ecrêtage'!N214</f>
        <v>597195.81532814412</v>
      </c>
      <c r="G220" s="98">
        <f t="shared" si="3"/>
        <v>879728.1703281441</v>
      </c>
    </row>
    <row r="221" spans="1:7" x14ac:dyDescent="0.25">
      <c r="A221" s="82">
        <f>'A) Base RI'!A217</f>
        <v>5741</v>
      </c>
      <c r="B221" s="147" t="str">
        <f>'A) Base RI'!B217</f>
        <v>L'Abergement</v>
      </c>
      <c r="C221" s="18">
        <f>'A) Base RI'!AN217</f>
        <v>250</v>
      </c>
      <c r="D221" s="61">
        <f>'C) Prél. conj.'!H215</f>
        <v>24283.035</v>
      </c>
      <c r="E221" s="25">
        <f>'D) Ecrêtage'!M215</f>
        <v>0</v>
      </c>
      <c r="F221" s="73">
        <f>$F$10*'D) Ecrêtage'!N215</f>
        <v>83668.30427146508</v>
      </c>
      <c r="G221" s="98">
        <f t="shared" si="3"/>
        <v>107951.33927146508</v>
      </c>
    </row>
    <row r="222" spans="1:7" x14ac:dyDescent="0.25">
      <c r="A222" s="82">
        <f>'A) Base RI'!A218</f>
        <v>5742</v>
      </c>
      <c r="B222" s="147" t="str">
        <f>'A) Base RI'!B218</f>
        <v>Agiez</v>
      </c>
      <c r="C222" s="18">
        <f>'A) Base RI'!AN218</f>
        <v>297</v>
      </c>
      <c r="D222" s="61">
        <f>'C) Prél. conj.'!H216</f>
        <v>33108.305</v>
      </c>
      <c r="E222" s="25">
        <f>'D) Ecrêtage'!M216</f>
        <v>0</v>
      </c>
      <c r="F222" s="73">
        <f>$F$10*'D) Ecrêtage'!N216</f>
        <v>125636.82975726717</v>
      </c>
      <c r="G222" s="98">
        <f t="shared" si="3"/>
        <v>158745.13475726717</v>
      </c>
    </row>
    <row r="223" spans="1:7" x14ac:dyDescent="0.25">
      <c r="A223" s="82">
        <f>'A) Base RI'!A219</f>
        <v>5743</v>
      </c>
      <c r="B223" s="147" t="str">
        <f>'A) Base RI'!B219</f>
        <v>Arnex-sur-Orbe</v>
      </c>
      <c r="C223" s="18">
        <f>'A) Base RI'!AN219</f>
        <v>615</v>
      </c>
      <c r="D223" s="61">
        <f>'C) Prél. conj.'!H217</f>
        <v>68726.320000000007</v>
      </c>
      <c r="E223" s="25">
        <f>'D) Ecrêtage'!M217</f>
        <v>0</v>
      </c>
      <c r="F223" s="73">
        <f>$F$10*'D) Ecrêtage'!N217</f>
        <v>210477.91990124574</v>
      </c>
      <c r="G223" s="98">
        <f t="shared" si="3"/>
        <v>279204.23990124575</v>
      </c>
    </row>
    <row r="224" spans="1:7" x14ac:dyDescent="0.25">
      <c r="A224" s="82">
        <f>'A) Base RI'!A220</f>
        <v>5744</v>
      </c>
      <c r="B224" s="147" t="str">
        <f>'A) Base RI'!B220</f>
        <v>Ballaigues</v>
      </c>
      <c r="C224" s="18">
        <f>'A) Base RI'!AN220</f>
        <v>1037</v>
      </c>
      <c r="D224" s="61">
        <f>'C) Prél. conj.'!H218</f>
        <v>328286.88</v>
      </c>
      <c r="E224" s="25">
        <f>'D) Ecrêtage'!M218</f>
        <v>1225994.2185928782</v>
      </c>
      <c r="F224" s="73">
        <f>$F$10*'D) Ecrêtage'!N218</f>
        <v>1200957.883217507</v>
      </c>
      <c r="G224" s="98">
        <f t="shared" si="3"/>
        <v>2755238.9818103854</v>
      </c>
    </row>
    <row r="225" spans="1:7" x14ac:dyDescent="0.25">
      <c r="A225" s="82">
        <f>'A) Base RI'!A221</f>
        <v>5745</v>
      </c>
      <c r="B225" s="147" t="str">
        <f>'A) Base RI'!B221</f>
        <v>Baulmes</v>
      </c>
      <c r="C225" s="18">
        <f>'A) Base RI'!AN221</f>
        <v>1019</v>
      </c>
      <c r="D225" s="61">
        <f>'C) Prél. conj.'!H219</f>
        <v>85772.13</v>
      </c>
      <c r="E225" s="25">
        <f>'D) Ecrêtage'!M219</f>
        <v>0</v>
      </c>
      <c r="F225" s="73">
        <f>$F$10*'D) Ecrêtage'!N219</f>
        <v>403451.94093910808</v>
      </c>
      <c r="G225" s="98">
        <f t="shared" si="3"/>
        <v>489224.07093910809</v>
      </c>
    </row>
    <row r="226" spans="1:7" x14ac:dyDescent="0.25">
      <c r="A226" s="82">
        <f>'A) Base RI'!A222</f>
        <v>5746</v>
      </c>
      <c r="B226" s="147" t="str">
        <f>'A) Base RI'!B222</f>
        <v>Bavois</v>
      </c>
      <c r="C226" s="18">
        <f>'A) Base RI'!AN222</f>
        <v>919</v>
      </c>
      <c r="D226" s="61">
        <f>'C) Prél. conj.'!H220</f>
        <v>63994.2</v>
      </c>
      <c r="E226" s="25">
        <f>'D) Ecrêtage'!M220</f>
        <v>0</v>
      </c>
      <c r="F226" s="73">
        <f>$F$10*'D) Ecrêtage'!N220</f>
        <v>369059.92275279009</v>
      </c>
      <c r="G226" s="98">
        <f t="shared" si="3"/>
        <v>433054.12275279011</v>
      </c>
    </row>
    <row r="227" spans="1:7" x14ac:dyDescent="0.25">
      <c r="A227" s="82">
        <f>'A) Base RI'!A223</f>
        <v>5747</v>
      </c>
      <c r="B227" s="147" t="str">
        <f>'A) Base RI'!B223</f>
        <v>Bofflens</v>
      </c>
      <c r="C227" s="18">
        <f>'A) Base RI'!AN223</f>
        <v>189</v>
      </c>
      <c r="D227" s="61">
        <f>'C) Prél. conj.'!H221</f>
        <v>14466.315000000001</v>
      </c>
      <c r="E227" s="25">
        <f>'D) Ecrêtage'!M221</f>
        <v>0</v>
      </c>
      <c r="F227" s="73">
        <f>$F$10*'D) Ecrêtage'!N221</f>
        <v>80496.833034376657</v>
      </c>
      <c r="G227" s="98">
        <f t="shared" si="3"/>
        <v>94963.14803437666</v>
      </c>
    </row>
    <row r="228" spans="1:7" x14ac:dyDescent="0.25">
      <c r="A228" s="82">
        <f>'A) Base RI'!A224</f>
        <v>5748</v>
      </c>
      <c r="B228" s="147" t="str">
        <f>'A) Base RI'!B224</f>
        <v>Bretonnières</v>
      </c>
      <c r="C228" s="18">
        <f>'A) Base RI'!AN224</f>
        <v>236</v>
      </c>
      <c r="D228" s="61">
        <f>'C) Prél. conj.'!H222</f>
        <v>21764.895</v>
      </c>
      <c r="E228" s="25">
        <f>'D) Ecrêtage'!M222</f>
        <v>0</v>
      </c>
      <c r="F228" s="73">
        <f>$F$10*'D) Ecrêtage'!N222</f>
        <v>71764.116555982546</v>
      </c>
      <c r="G228" s="98">
        <f t="shared" si="3"/>
        <v>93529.01155598255</v>
      </c>
    </row>
    <row r="229" spans="1:7" x14ac:dyDescent="0.25">
      <c r="A229" s="82">
        <f>'A) Base RI'!A225</f>
        <v>5749</v>
      </c>
      <c r="B229" s="147" t="str">
        <f>'A) Base RI'!B225</f>
        <v>Chavornay</v>
      </c>
      <c r="C229" s="18">
        <f>'A) Base RI'!AN225</f>
        <v>4050</v>
      </c>
      <c r="D229" s="61">
        <f>'C) Prél. conj.'!H223</f>
        <v>514650.58499999996</v>
      </c>
      <c r="E229" s="25">
        <f>'D) Ecrêtage'!M223</f>
        <v>0</v>
      </c>
      <c r="F229" s="73">
        <f>$F$10*'D) Ecrêtage'!N223</f>
        <v>1811085.942000807</v>
      </c>
      <c r="G229" s="98">
        <f t="shared" si="3"/>
        <v>2325736.5270008072</v>
      </c>
    </row>
    <row r="230" spans="1:7" x14ac:dyDescent="0.25">
      <c r="A230" s="82">
        <f>'A) Base RI'!A226</f>
        <v>5750</v>
      </c>
      <c r="B230" s="147" t="str">
        <f>'A) Base RI'!B226</f>
        <v>Les Clées</v>
      </c>
      <c r="C230" s="18">
        <f>'A) Base RI'!AN226</f>
        <v>176</v>
      </c>
      <c r="D230" s="61">
        <f>'C) Prél. conj.'!H224</f>
        <v>2983.2049999999999</v>
      </c>
      <c r="E230" s="25">
        <f>'D) Ecrêtage'!M224</f>
        <v>0</v>
      </c>
      <c r="F230" s="73">
        <f>$F$10*'D) Ecrêtage'!N224</f>
        <v>70166.784505870048</v>
      </c>
      <c r="G230" s="98">
        <f t="shared" si="3"/>
        <v>73149.989505870049</v>
      </c>
    </row>
    <row r="231" spans="1:7" x14ac:dyDescent="0.25">
      <c r="A231" s="82">
        <f>'A) Base RI'!A227</f>
        <v>5751</v>
      </c>
      <c r="B231" s="147" t="str">
        <f>'A) Base RI'!B227</f>
        <v>Corcelles-sur-Chavornay</v>
      </c>
      <c r="C231" s="18">
        <f>'A) Base RI'!AN227</f>
        <v>330</v>
      </c>
      <c r="D231" s="61">
        <f>'C) Prél. conj.'!H225</f>
        <v>41573.699999999997</v>
      </c>
      <c r="E231" s="25">
        <f>'D) Ecrêtage'!M225</f>
        <v>0</v>
      </c>
      <c r="F231" s="73">
        <f>$F$10*'D) Ecrêtage'!N225</f>
        <v>123883.16696579076</v>
      </c>
      <c r="G231" s="98">
        <f t="shared" si="3"/>
        <v>165456.86696579074</v>
      </c>
    </row>
    <row r="232" spans="1:7" x14ac:dyDescent="0.25">
      <c r="A232" s="82">
        <f>'A) Base RI'!A228</f>
        <v>5752</v>
      </c>
      <c r="B232" s="147" t="str">
        <f>'A) Base RI'!B228</f>
        <v>Croy</v>
      </c>
      <c r="C232" s="18">
        <f>'A) Base RI'!AN228</f>
        <v>321</v>
      </c>
      <c r="D232" s="61">
        <f>'C) Prél. conj.'!H226</f>
        <v>14238.724999999999</v>
      </c>
      <c r="E232" s="25">
        <f>'D) Ecrêtage'!M226</f>
        <v>0</v>
      </c>
      <c r="F232" s="73">
        <f>$F$10*'D) Ecrêtage'!N226</f>
        <v>120168.09433073594</v>
      </c>
      <c r="G232" s="98">
        <f t="shared" si="3"/>
        <v>134406.81933073595</v>
      </c>
    </row>
    <row r="233" spans="1:7" x14ac:dyDescent="0.25">
      <c r="A233" s="82">
        <f>'A) Base RI'!A229</f>
        <v>5754</v>
      </c>
      <c r="B233" s="147" t="str">
        <f>'A) Base RI'!B229</f>
        <v>Juriens</v>
      </c>
      <c r="C233" s="18">
        <f>'A) Base RI'!AN229</f>
        <v>307</v>
      </c>
      <c r="D233" s="61">
        <f>'C) Prél. conj.'!H227</f>
        <v>3301.14</v>
      </c>
      <c r="E233" s="25">
        <f>'D) Ecrêtage'!M227</f>
        <v>0</v>
      </c>
      <c r="F233" s="73">
        <f>$F$10*'D) Ecrêtage'!N227</f>
        <v>100235.02138158643</v>
      </c>
      <c r="G233" s="98">
        <f t="shared" ref="G233:G279" si="4">D233+F233+E233</f>
        <v>103536.16138158643</v>
      </c>
    </row>
    <row r="234" spans="1:7" x14ac:dyDescent="0.25">
      <c r="A234" s="82">
        <f>'A) Base RI'!A230</f>
        <v>5755</v>
      </c>
      <c r="B234" s="147" t="str">
        <f>'A) Base RI'!B230</f>
        <v>Lignerolle</v>
      </c>
      <c r="C234" s="18">
        <f>'A) Base RI'!AN230</f>
        <v>391</v>
      </c>
      <c r="D234" s="61">
        <f>'C) Prél. conj.'!H228</f>
        <v>43787.305</v>
      </c>
      <c r="E234" s="25">
        <f>'D) Ecrêtage'!M228</f>
        <v>0</v>
      </c>
      <c r="F234" s="73">
        <f>$F$10*'D) Ecrêtage'!N228</f>
        <v>132987.16580141999</v>
      </c>
      <c r="G234" s="98">
        <f t="shared" si="4"/>
        <v>176774.47080141999</v>
      </c>
    </row>
    <row r="235" spans="1:7" x14ac:dyDescent="0.25">
      <c r="A235" s="82">
        <f>'A) Base RI'!A231</f>
        <v>5756</v>
      </c>
      <c r="B235" s="147" t="str">
        <f>'A) Base RI'!B231</f>
        <v>Montcherand</v>
      </c>
      <c r="C235" s="18">
        <f>'A) Base RI'!AN231</f>
        <v>471</v>
      </c>
      <c r="D235" s="61">
        <f>'C) Prél. conj.'!H229</f>
        <v>40471.17</v>
      </c>
      <c r="E235" s="25">
        <f>'D) Ecrêtage'!M229</f>
        <v>0</v>
      </c>
      <c r="F235" s="73">
        <f>$F$10*'D) Ecrêtage'!N229</f>
        <v>232036.42336736692</v>
      </c>
      <c r="G235" s="98">
        <f t="shared" si="4"/>
        <v>272507.59336736694</v>
      </c>
    </row>
    <row r="236" spans="1:7" x14ac:dyDescent="0.25">
      <c r="A236" s="82">
        <f>'A) Base RI'!A232</f>
        <v>5757</v>
      </c>
      <c r="B236" s="147" t="str">
        <f>'A) Base RI'!B232</f>
        <v>Orbe</v>
      </c>
      <c r="C236" s="18">
        <f>'A) Base RI'!AN232</f>
        <v>6738</v>
      </c>
      <c r="D236" s="61">
        <f>'C) Prél. conj.'!H230</f>
        <v>1130690.655</v>
      </c>
      <c r="E236" s="25">
        <f>'D) Ecrêtage'!M230</f>
        <v>0</v>
      </c>
      <c r="F236" s="73">
        <f>$F$10*'D) Ecrêtage'!N230</f>
        <v>3010617.92781816</v>
      </c>
      <c r="G236" s="98">
        <f t="shared" si="4"/>
        <v>4141308.5828181598</v>
      </c>
    </row>
    <row r="237" spans="1:7" x14ac:dyDescent="0.25">
      <c r="A237" s="82">
        <f>'A) Base RI'!A233</f>
        <v>5758</v>
      </c>
      <c r="B237" s="147" t="str">
        <f>'A) Base RI'!B233</f>
        <v>La Praz</v>
      </c>
      <c r="C237" s="18">
        <f>'A) Base RI'!AN233</f>
        <v>156</v>
      </c>
      <c r="D237" s="61">
        <f>'C) Prél. conj.'!H231</f>
        <v>12567.975</v>
      </c>
      <c r="E237" s="25">
        <f>'D) Ecrêtage'!M231</f>
        <v>0</v>
      </c>
      <c r="F237" s="73">
        <f>$F$10*'D) Ecrêtage'!N231</f>
        <v>56986.059523738229</v>
      </c>
      <c r="G237" s="98">
        <f t="shared" si="4"/>
        <v>69554.034523738228</v>
      </c>
    </row>
    <row r="238" spans="1:7" x14ac:dyDescent="0.25">
      <c r="A238" s="82">
        <f>'A) Base RI'!A234</f>
        <v>5759</v>
      </c>
      <c r="B238" s="147" t="str">
        <f>'A) Base RI'!B234</f>
        <v>Premier</v>
      </c>
      <c r="C238" s="18">
        <f>'A) Base RI'!AN234</f>
        <v>182</v>
      </c>
      <c r="D238" s="61">
        <f>'C) Prél. conj.'!H232</f>
        <v>13872.5</v>
      </c>
      <c r="E238" s="25">
        <f>'D) Ecrêtage'!M232</f>
        <v>0</v>
      </c>
      <c r="F238" s="73">
        <f>$F$10*'D) Ecrêtage'!N232</f>
        <v>57451.341938520251</v>
      </c>
      <c r="G238" s="98">
        <f t="shared" si="4"/>
        <v>71323.841938520258</v>
      </c>
    </row>
    <row r="239" spans="1:7" x14ac:dyDescent="0.25">
      <c r="A239" s="82">
        <f>'A) Base RI'!A235</f>
        <v>5760</v>
      </c>
      <c r="B239" s="147" t="str">
        <f>'A) Base RI'!B235</f>
        <v>Rances</v>
      </c>
      <c r="C239" s="18">
        <f>'A) Base RI'!AN235</f>
        <v>436</v>
      </c>
      <c r="D239" s="61">
        <f>'C) Prél. conj.'!H233</f>
        <v>30080.355</v>
      </c>
      <c r="E239" s="25">
        <f>'D) Ecrêtage'!M233</f>
        <v>0</v>
      </c>
      <c r="F239" s="73">
        <f>$F$10*'D) Ecrêtage'!N233</f>
        <v>167445.42322592443</v>
      </c>
      <c r="G239" s="98">
        <f t="shared" si="4"/>
        <v>197525.77822592444</v>
      </c>
    </row>
    <row r="240" spans="1:7" x14ac:dyDescent="0.25">
      <c r="A240" s="82">
        <f>'A) Base RI'!A236</f>
        <v>5761</v>
      </c>
      <c r="B240" s="147" t="str">
        <f>'A) Base RI'!B236</f>
        <v>Romainmôtier-Envy</v>
      </c>
      <c r="C240" s="18">
        <f>'A) Base RI'!AN236</f>
        <v>527</v>
      </c>
      <c r="D240" s="61">
        <f>'C) Prél. conj.'!H234</f>
        <v>47816.58</v>
      </c>
      <c r="E240" s="25">
        <f>'D) Ecrêtage'!M234</f>
        <v>0</v>
      </c>
      <c r="F240" s="73">
        <f>$F$10*'D) Ecrêtage'!N234</f>
        <v>178409.14484401801</v>
      </c>
      <c r="G240" s="98">
        <f t="shared" si="4"/>
        <v>226225.724844018</v>
      </c>
    </row>
    <row r="241" spans="1:7" x14ac:dyDescent="0.25">
      <c r="A241" s="82">
        <f>'A) Base RI'!A237</f>
        <v>5762</v>
      </c>
      <c r="B241" s="147" t="str">
        <f>'A) Base RI'!B237</f>
        <v>Sergey</v>
      </c>
      <c r="C241" s="18">
        <f>'A) Base RI'!AN237</f>
        <v>145</v>
      </c>
      <c r="D241" s="61">
        <f>'C) Prél. conj.'!H235</f>
        <v>5267.2999999999993</v>
      </c>
      <c r="E241" s="25">
        <f>'D) Ecrêtage'!M235</f>
        <v>0</v>
      </c>
      <c r="F241" s="73">
        <f>$F$10*'D) Ecrêtage'!N235</f>
        <v>62485.897208198716</v>
      </c>
      <c r="G241" s="98">
        <f t="shared" si="4"/>
        <v>67753.197208198719</v>
      </c>
    </row>
    <row r="242" spans="1:7" x14ac:dyDescent="0.25">
      <c r="A242" s="82">
        <f>'A) Base RI'!A238</f>
        <v>5763</v>
      </c>
      <c r="B242" s="147" t="str">
        <f>'A) Base RI'!B238</f>
        <v>Valeyres-sous-Rances</v>
      </c>
      <c r="C242" s="18">
        <f>'A) Base RI'!AN238</f>
        <v>584</v>
      </c>
      <c r="D242" s="61">
        <f>'C) Prél. conj.'!H236</f>
        <v>71333.854999999996</v>
      </c>
      <c r="E242" s="25">
        <f>'D) Ecrêtage'!M236</f>
        <v>0</v>
      </c>
      <c r="F242" s="73">
        <f>$F$10*'D) Ecrêtage'!N236</f>
        <v>232920.20944618975</v>
      </c>
      <c r="G242" s="98">
        <f t="shared" si="4"/>
        <v>304254.06444618973</v>
      </c>
    </row>
    <row r="243" spans="1:7" x14ac:dyDescent="0.25">
      <c r="A243" s="82">
        <f>'A) Base RI'!A239</f>
        <v>5764</v>
      </c>
      <c r="B243" s="147" t="str">
        <f>'A) Base RI'!B239</f>
        <v>Vallorbe</v>
      </c>
      <c r="C243" s="18">
        <f>'A) Base RI'!AN239</f>
        <v>3569</v>
      </c>
      <c r="D243" s="61">
        <f>'C) Prél. conj.'!H237</f>
        <v>811656.43</v>
      </c>
      <c r="E243" s="25">
        <f>'D) Ecrêtage'!M237</f>
        <v>0</v>
      </c>
      <c r="F243" s="73">
        <f>$F$10*'D) Ecrêtage'!N237</f>
        <v>1174860.3081812088</v>
      </c>
      <c r="G243" s="98">
        <f t="shared" si="4"/>
        <v>1986516.7381812087</v>
      </c>
    </row>
    <row r="244" spans="1:7" x14ac:dyDescent="0.25">
      <c r="A244" s="82">
        <f>'A) Base RI'!A240</f>
        <v>5765</v>
      </c>
      <c r="B244" s="147" t="str">
        <f>'A) Base RI'!B240</f>
        <v>Vaulion</v>
      </c>
      <c r="C244" s="18">
        <f>'A) Base RI'!AN240</f>
        <v>483</v>
      </c>
      <c r="D244" s="61">
        <f>'C) Prél. conj.'!H238</f>
        <v>40453.305</v>
      </c>
      <c r="E244" s="25">
        <f>'D) Ecrêtage'!M238</f>
        <v>0</v>
      </c>
      <c r="F244" s="73">
        <f>$F$10*'D) Ecrêtage'!N238</f>
        <v>151010.24101729324</v>
      </c>
      <c r="G244" s="98">
        <f t="shared" si="4"/>
        <v>191463.54601729324</v>
      </c>
    </row>
    <row r="245" spans="1:7" x14ac:dyDescent="0.25">
      <c r="A245" s="82">
        <f>'A) Base RI'!A241</f>
        <v>5766</v>
      </c>
      <c r="B245" s="147" t="str">
        <f>'A) Base RI'!B241</f>
        <v>Vuiteboeuf</v>
      </c>
      <c r="C245" s="18">
        <f>'A) Base RI'!AN241</f>
        <v>516</v>
      </c>
      <c r="D245" s="61">
        <f>'C) Prél. conj.'!H239</f>
        <v>23454.94</v>
      </c>
      <c r="E245" s="25">
        <f>'D) Ecrêtage'!M239</f>
        <v>0</v>
      </c>
      <c r="F245" s="73">
        <f>$F$10*'D) Ecrêtage'!N239</f>
        <v>194974.53692564473</v>
      </c>
      <c r="G245" s="98">
        <f t="shared" si="4"/>
        <v>218429.47692564473</v>
      </c>
    </row>
    <row r="246" spans="1:7" x14ac:dyDescent="0.25">
      <c r="A246" s="82">
        <f>'A) Base RI'!A242</f>
        <v>5782</v>
      </c>
      <c r="B246" s="147" t="str">
        <f>'A) Base RI'!B242</f>
        <v>Carrouge</v>
      </c>
      <c r="C246" s="18">
        <f>'A) Base RI'!AN242</f>
        <v>1103</v>
      </c>
      <c r="D246" s="61">
        <f>'C) Prél. conj.'!H240</f>
        <v>73399.199999999997</v>
      </c>
      <c r="E246" s="25">
        <f>'D) Ecrêtage'!M240</f>
        <v>0</v>
      </c>
      <c r="F246" s="73">
        <f>$F$10*'D) Ecrêtage'!N240</f>
        <v>451820.72450594831</v>
      </c>
      <c r="G246" s="98">
        <f t="shared" si="4"/>
        <v>525219.92450594832</v>
      </c>
    </row>
    <row r="247" spans="1:7" x14ac:dyDescent="0.25">
      <c r="A247" s="82">
        <f>'A) Base RI'!A243</f>
        <v>5785</v>
      </c>
      <c r="B247" s="147" t="str">
        <f>'A) Base RI'!B243</f>
        <v>Corcelles-le-Jorat</v>
      </c>
      <c r="C247" s="18">
        <f>'A) Base RI'!AN243</f>
        <v>443</v>
      </c>
      <c r="D247" s="61">
        <f>'C) Prél. conj.'!H241</f>
        <v>42115.125</v>
      </c>
      <c r="E247" s="25">
        <f>'D) Ecrêtage'!M241</f>
        <v>0</v>
      </c>
      <c r="F247" s="73">
        <f>$F$10*'D) Ecrêtage'!N241</f>
        <v>225051.83983211787</v>
      </c>
      <c r="G247" s="98">
        <f t="shared" si="4"/>
        <v>267166.9648321179</v>
      </c>
    </row>
    <row r="248" spans="1:7" x14ac:dyDescent="0.25">
      <c r="A248" s="82">
        <f>'A) Base RI'!A244</f>
        <v>5788</v>
      </c>
      <c r="B248" s="147" t="str">
        <f>'A) Base RI'!B244</f>
        <v>Essertes</v>
      </c>
      <c r="C248" s="18">
        <f>'A) Base RI'!AN244</f>
        <v>330</v>
      </c>
      <c r="D248" s="61">
        <f>'C) Prél. conj.'!H242</f>
        <v>4496.25</v>
      </c>
      <c r="E248" s="25">
        <f>'D) Ecrêtage'!M242</f>
        <v>0</v>
      </c>
      <c r="F248" s="73">
        <f>$F$10*'D) Ecrêtage'!N242</f>
        <v>137627.80664020067</v>
      </c>
      <c r="G248" s="98">
        <f t="shared" si="4"/>
        <v>142124.05664020067</v>
      </c>
    </row>
    <row r="249" spans="1:7" x14ac:dyDescent="0.25">
      <c r="A249" s="82">
        <f>'A) Base RI'!A245</f>
        <v>5789</v>
      </c>
      <c r="B249" s="147" t="str">
        <f>'A) Base RI'!B245</f>
        <v>Ferlens</v>
      </c>
      <c r="C249" s="18">
        <f>'A) Base RI'!AN245</f>
        <v>330</v>
      </c>
      <c r="D249" s="61">
        <f>'C) Prél. conj.'!H243</f>
        <v>8690.4750000000004</v>
      </c>
      <c r="E249" s="25">
        <f>'D) Ecrêtage'!M243</f>
        <v>0</v>
      </c>
      <c r="F249" s="73">
        <f>$F$10*'D) Ecrêtage'!N243</f>
        <v>140414.1041523912</v>
      </c>
      <c r="G249" s="98">
        <f t="shared" si="4"/>
        <v>149104.5791523912</v>
      </c>
    </row>
    <row r="250" spans="1:7" x14ac:dyDescent="0.25">
      <c r="A250" s="82">
        <f>'A) Base RI'!A246</f>
        <v>5790</v>
      </c>
      <c r="B250" s="147" t="str">
        <f>'A) Base RI'!B246</f>
        <v>Maracon</v>
      </c>
      <c r="C250" s="18">
        <f>'A) Base RI'!AN246</f>
        <v>444</v>
      </c>
      <c r="D250" s="61">
        <f>'C) Prél. conj.'!H244</f>
        <v>32100.125</v>
      </c>
      <c r="E250" s="25">
        <f>'D) Ecrêtage'!M244</f>
        <v>0</v>
      </c>
      <c r="F250" s="73">
        <f>$F$10*'D) Ecrêtage'!N244</f>
        <v>170612.33437716673</v>
      </c>
      <c r="G250" s="98">
        <f t="shared" si="4"/>
        <v>202712.45937716673</v>
      </c>
    </row>
    <row r="251" spans="1:7" x14ac:dyDescent="0.25">
      <c r="A251" s="82">
        <f>'A) Base RI'!A247</f>
        <v>5791</v>
      </c>
      <c r="B251" s="147" t="str">
        <f>'A) Base RI'!B247</f>
        <v>Mézières</v>
      </c>
      <c r="C251" s="18">
        <f>'A) Base RI'!AN247</f>
        <v>1192</v>
      </c>
      <c r="D251" s="61">
        <f>'C) Prél. conj.'!H245</f>
        <v>97015.02</v>
      </c>
      <c r="E251" s="25">
        <f>'D) Ecrêtage'!M245</f>
        <v>0</v>
      </c>
      <c r="F251" s="73">
        <f>$F$10*'D) Ecrêtage'!N245</f>
        <v>615617.57060679235</v>
      </c>
      <c r="G251" s="98">
        <f t="shared" si="4"/>
        <v>712632.59060679236</v>
      </c>
    </row>
    <row r="252" spans="1:7" x14ac:dyDescent="0.25">
      <c r="A252" s="82">
        <f>'A) Base RI'!A248</f>
        <v>5792</v>
      </c>
      <c r="B252" s="147" t="str">
        <f>'A) Base RI'!B248</f>
        <v>Montpreveyres</v>
      </c>
      <c r="C252" s="18">
        <f>'A) Base RI'!AN248</f>
        <v>597</v>
      </c>
      <c r="D252" s="61">
        <f>'C) Prél. conj.'!H246</f>
        <v>44668.135000000002</v>
      </c>
      <c r="E252" s="25">
        <f>'D) Ecrêtage'!M246</f>
        <v>0</v>
      </c>
      <c r="F252" s="73">
        <f>$F$10*'D) Ecrêtage'!N246</f>
        <v>252137.41881206539</v>
      </c>
      <c r="G252" s="98">
        <f t="shared" si="4"/>
        <v>296805.55381206539</v>
      </c>
    </row>
    <row r="253" spans="1:7" x14ac:dyDescent="0.25">
      <c r="A253" s="82">
        <f>'A) Base RI'!A249</f>
        <v>5798</v>
      </c>
      <c r="B253" s="147" t="str">
        <f>'A) Base RI'!B249</f>
        <v>Ropraz</v>
      </c>
      <c r="C253" s="18">
        <f>'A) Base RI'!AN249</f>
        <v>409</v>
      </c>
      <c r="D253" s="61">
        <f>'C) Prél. conj.'!H247</f>
        <v>48021.75</v>
      </c>
      <c r="E253" s="25">
        <f>'D) Ecrêtage'!M247</f>
        <v>0</v>
      </c>
      <c r="F253" s="73">
        <f>$F$10*'D) Ecrêtage'!N247</f>
        <v>167207.4579094181</v>
      </c>
      <c r="G253" s="98">
        <f t="shared" si="4"/>
        <v>215229.2079094181</v>
      </c>
    </row>
    <row r="254" spans="1:7" x14ac:dyDescent="0.25">
      <c r="A254" s="82">
        <f>'A) Base RI'!A250</f>
        <v>5799</v>
      </c>
      <c r="B254" s="147" t="str">
        <f>'A) Base RI'!B250</f>
        <v>Servion</v>
      </c>
      <c r="C254" s="18">
        <f>'A) Base RI'!AN250</f>
        <v>1893</v>
      </c>
      <c r="D254" s="61">
        <f>'C) Prél. conj.'!H248</f>
        <v>324191.63500000001</v>
      </c>
      <c r="E254" s="25">
        <f>'D) Ecrêtage'!M248</f>
        <v>0</v>
      </c>
      <c r="F254" s="73">
        <f>$F$10*'D) Ecrêtage'!N248</f>
        <v>1010712.2396069036</v>
      </c>
      <c r="G254" s="98">
        <f t="shared" si="4"/>
        <v>1334903.8746069036</v>
      </c>
    </row>
    <row r="255" spans="1:7" x14ac:dyDescent="0.25">
      <c r="A255" s="82">
        <f>'A) Base RI'!A251</f>
        <v>5803</v>
      </c>
      <c r="B255" s="147" t="str">
        <f>'A) Base RI'!B251</f>
        <v>Vulliens</v>
      </c>
      <c r="C255" s="18">
        <f>'A) Base RI'!AN251</f>
        <v>442</v>
      </c>
      <c r="D255" s="61">
        <f>'C) Prél. conj.'!H249</f>
        <v>100576.875</v>
      </c>
      <c r="E255" s="25">
        <f>'D) Ecrêtage'!M249</f>
        <v>0</v>
      </c>
      <c r="F255" s="73">
        <f>$F$10*'D) Ecrêtage'!N249</f>
        <v>178814.25239785181</v>
      </c>
      <c r="G255" s="98">
        <f t="shared" si="4"/>
        <v>279391.12739785179</v>
      </c>
    </row>
    <row r="256" spans="1:7" x14ac:dyDescent="0.25">
      <c r="A256" s="82">
        <f>'A) Base RI'!A252</f>
        <v>5804</v>
      </c>
      <c r="B256" s="147" t="str">
        <f>'A) Base RI'!B252</f>
        <v>Jorat-Menthue</v>
      </c>
      <c r="C256" s="18">
        <f>'A) Base RI'!AN252</f>
        <v>1469</v>
      </c>
      <c r="D256" s="61">
        <f>'C) Prél. conj.'!H250</f>
        <v>53884.030000000006</v>
      </c>
      <c r="E256" s="25">
        <f>'D) Ecrêtage'!M250</f>
        <v>0</v>
      </c>
      <c r="F256" s="73">
        <f>$F$10*'D) Ecrêtage'!N250</f>
        <v>631514.64612407878</v>
      </c>
      <c r="G256" s="98">
        <f>D256+F256+E256</f>
        <v>685398.6761240788</v>
      </c>
    </row>
    <row r="257" spans="1:7" x14ac:dyDescent="0.25">
      <c r="A257" s="82">
        <f>'A) Base RI'!A253</f>
        <v>5805</v>
      </c>
      <c r="B257" s="147" t="str">
        <f>'A) Base RI'!B253</f>
        <v>Oron</v>
      </c>
      <c r="C257" s="18">
        <f>'A) Base RI'!AN253</f>
        <v>5180</v>
      </c>
      <c r="D257" s="61">
        <f>'C) Prél. conj.'!H251</f>
        <v>306640.19500000001</v>
      </c>
      <c r="E257" s="25">
        <f>'D) Ecrêtage'!M251</f>
        <v>0</v>
      </c>
      <c r="F257" s="73">
        <f>$F$10*'D) Ecrêtage'!N251</f>
        <v>2148346.2521217642</v>
      </c>
      <c r="G257" s="98">
        <f>D257+F257+E257</f>
        <v>2454986.4471217641</v>
      </c>
    </row>
    <row r="258" spans="1:7" x14ac:dyDescent="0.25">
      <c r="A258" s="82">
        <f>'A) Base RI'!A254</f>
        <v>5812</v>
      </c>
      <c r="B258" s="147" t="str">
        <f>'A) Base RI'!B254</f>
        <v>Champtauroz</v>
      </c>
      <c r="C258" s="18">
        <f>'A) Base RI'!AN254</f>
        <v>137</v>
      </c>
      <c r="D258" s="61">
        <f>'C) Prél. conj.'!H252</f>
        <v>7085.2250000000004</v>
      </c>
      <c r="E258" s="25">
        <f>'D) Ecrêtage'!M252</f>
        <v>0</v>
      </c>
      <c r="F258" s="73">
        <f>$F$10*'D) Ecrêtage'!N252</f>
        <v>40751.434107465378</v>
      </c>
      <c r="G258" s="98">
        <f>D258+F258+E258</f>
        <v>47836.659107465377</v>
      </c>
    </row>
    <row r="259" spans="1:7" x14ac:dyDescent="0.25">
      <c r="A259" s="82">
        <f>'A) Base RI'!A255</f>
        <v>5813</v>
      </c>
      <c r="B259" s="147" t="str">
        <f>'A) Base RI'!B255</f>
        <v>Chevroux</v>
      </c>
      <c r="C259" s="18">
        <f>'A) Base RI'!AN255</f>
        <v>418</v>
      </c>
      <c r="D259" s="61">
        <f>'C) Prél. conj.'!H253</f>
        <v>34884.85</v>
      </c>
      <c r="E259" s="25">
        <f>'D) Ecrêtage'!M253</f>
        <v>0</v>
      </c>
      <c r="F259" s="73">
        <f>$F$10*'D) Ecrêtage'!N253</f>
        <v>169123.2683957316</v>
      </c>
      <c r="G259" s="98">
        <f t="shared" si="4"/>
        <v>204008.11839573161</v>
      </c>
    </row>
    <row r="260" spans="1:7" x14ac:dyDescent="0.25">
      <c r="A260" s="82">
        <f>'A) Base RI'!A256</f>
        <v>5816</v>
      </c>
      <c r="B260" s="147" t="str">
        <f>'A) Base RI'!B256</f>
        <v>Corcelles-près-Payerne</v>
      </c>
      <c r="C260" s="18">
        <f>'A) Base RI'!AN256</f>
        <v>2091</v>
      </c>
      <c r="D260" s="61">
        <f>'C) Prél. conj.'!H254</f>
        <v>217523.69500000001</v>
      </c>
      <c r="E260" s="25">
        <f>'D) Ecrêtage'!M254</f>
        <v>0</v>
      </c>
      <c r="F260" s="73">
        <f>$F$10*'D) Ecrêtage'!N254</f>
        <v>758789.04607809952</v>
      </c>
      <c r="G260" s="98">
        <f t="shared" si="4"/>
        <v>976312.74107809947</v>
      </c>
    </row>
    <row r="261" spans="1:7" x14ac:dyDescent="0.25">
      <c r="A261" s="82">
        <f>'A) Base RI'!A257</f>
        <v>5817</v>
      </c>
      <c r="B261" s="147" t="str">
        <f>'A) Base RI'!B257</f>
        <v>Grandcour</v>
      </c>
      <c r="C261" s="18">
        <f>'A) Base RI'!AN257</f>
        <v>863</v>
      </c>
      <c r="D261" s="61">
        <f>'C) Prél. conj.'!H255</f>
        <v>42409.25</v>
      </c>
      <c r="E261" s="25">
        <f>'D) Ecrêtage'!M255</f>
        <v>0</v>
      </c>
      <c r="F261" s="73">
        <f>$F$10*'D) Ecrêtage'!N255</f>
        <v>297198.17962729745</v>
      </c>
      <c r="G261" s="98">
        <f t="shared" si="4"/>
        <v>339607.42962729745</v>
      </c>
    </row>
    <row r="262" spans="1:7" x14ac:dyDescent="0.25">
      <c r="A262" s="82">
        <f>'A) Base RI'!A258</f>
        <v>5819</v>
      </c>
      <c r="B262" s="147" t="str">
        <f>'A) Base RI'!B258</f>
        <v>Henniez</v>
      </c>
      <c r="C262" s="18">
        <f>'A) Base RI'!AN258</f>
        <v>287</v>
      </c>
      <c r="D262" s="61">
        <f>'C) Prél. conj.'!H256</f>
        <v>9195.7099999999991</v>
      </c>
      <c r="E262" s="25">
        <f>'D) Ecrêtage'!M256</f>
        <v>0</v>
      </c>
      <c r="F262" s="73">
        <f>$F$10*'D) Ecrêtage'!N256</f>
        <v>146144.94838143108</v>
      </c>
      <c r="G262" s="98">
        <f t="shared" si="4"/>
        <v>155340.65838143107</v>
      </c>
    </row>
    <row r="263" spans="1:7" x14ac:dyDescent="0.25">
      <c r="A263" s="82">
        <f>'A) Base RI'!A259</f>
        <v>5821</v>
      </c>
      <c r="B263" s="147" t="str">
        <f>'A) Base RI'!B259</f>
        <v>Missy</v>
      </c>
      <c r="C263" s="18">
        <f>'A) Base RI'!AN259</f>
        <v>335</v>
      </c>
      <c r="D263" s="61">
        <f>'C) Prél. conj.'!H257</f>
        <v>35765.25</v>
      </c>
      <c r="E263" s="25">
        <f>'D) Ecrêtage'!M257</f>
        <v>0</v>
      </c>
      <c r="F263" s="73">
        <f>$F$10*'D) Ecrêtage'!N257</f>
        <v>110852.2464933447</v>
      </c>
      <c r="G263" s="98">
        <f t="shared" si="4"/>
        <v>146617.49649334472</v>
      </c>
    </row>
    <row r="264" spans="1:7" x14ac:dyDescent="0.25">
      <c r="A264" s="82">
        <f>'A) Base RI'!A260</f>
        <v>5822</v>
      </c>
      <c r="B264" s="147" t="str">
        <f>'A) Base RI'!B260</f>
        <v>Payerne</v>
      </c>
      <c r="C264" s="18">
        <f>'A) Base RI'!AN260</f>
        <v>9207</v>
      </c>
      <c r="D264" s="61">
        <f>'C) Prél. conj.'!H258</f>
        <v>850833.33499999996</v>
      </c>
      <c r="E264" s="25">
        <f>'D) Ecrêtage'!M258</f>
        <v>0</v>
      </c>
      <c r="F264" s="73">
        <f>$F$10*'D) Ecrêtage'!N258</f>
        <v>3432814.987041824</v>
      </c>
      <c r="G264" s="98">
        <f t="shared" si="4"/>
        <v>4283648.3220418245</v>
      </c>
    </row>
    <row r="265" spans="1:7" x14ac:dyDescent="0.25">
      <c r="A265" s="82">
        <f>'A) Base RI'!A261</f>
        <v>5827</v>
      </c>
      <c r="B265" s="147" t="str">
        <f>'A) Base RI'!B261</f>
        <v>Trey</v>
      </c>
      <c r="C265" s="18">
        <f>'A) Base RI'!AN261</f>
        <v>267</v>
      </c>
      <c r="D265" s="61">
        <f>'C) Prél. conj.'!H259</f>
        <v>13495.184999999999</v>
      </c>
      <c r="E265" s="25">
        <f>'D) Ecrêtage'!M259</f>
        <v>0</v>
      </c>
      <c r="F265" s="73">
        <f>$F$10*'D) Ecrêtage'!N259</f>
        <v>90909.167782975623</v>
      </c>
      <c r="G265" s="98">
        <f t="shared" si="4"/>
        <v>104404.35278297562</v>
      </c>
    </row>
    <row r="266" spans="1:7" x14ac:dyDescent="0.25">
      <c r="A266" s="82">
        <f>'A) Base RI'!A262</f>
        <v>5828</v>
      </c>
      <c r="B266" s="147" t="str">
        <f>'A) Base RI'!B262</f>
        <v>Treytorrens</v>
      </c>
      <c r="C266" s="18">
        <f>'A) Base RI'!AN262</f>
        <v>120</v>
      </c>
      <c r="D266" s="61">
        <f>'C) Prél. conj.'!H260</f>
        <v>11641.75</v>
      </c>
      <c r="E266" s="25">
        <f>'D) Ecrêtage'!M260</f>
        <v>0</v>
      </c>
      <c r="F266" s="73">
        <f>$F$10*'D) Ecrêtage'!N260</f>
        <v>36341.71464517025</v>
      </c>
      <c r="G266" s="98">
        <f t="shared" si="4"/>
        <v>47983.46464517025</v>
      </c>
    </row>
    <row r="267" spans="1:7" x14ac:dyDescent="0.25">
      <c r="A267" s="82">
        <f>'A) Base RI'!A263</f>
        <v>5830</v>
      </c>
      <c r="B267" s="147" t="str">
        <f>'A) Base RI'!B263</f>
        <v>Villarzel</v>
      </c>
      <c r="C267" s="18">
        <f>'A) Base RI'!AN263</f>
        <v>413</v>
      </c>
      <c r="D267" s="61">
        <f>'C) Prél. conj.'!H261</f>
        <v>28489.525000000001</v>
      </c>
      <c r="E267" s="25">
        <f>'D) Ecrêtage'!M261</f>
        <v>0</v>
      </c>
      <c r="F267" s="73">
        <f>$F$10*'D) Ecrêtage'!N261</f>
        <v>146205.54275935938</v>
      </c>
      <c r="G267" s="98">
        <f t="shared" si="4"/>
        <v>174695.06775935937</v>
      </c>
    </row>
    <row r="268" spans="1:7" x14ac:dyDescent="0.25">
      <c r="A268" s="82">
        <f>'A) Base RI'!A264</f>
        <v>5831</v>
      </c>
      <c r="B268" s="147" t="str">
        <f>'A) Base RI'!B264</f>
        <v>Valbroye</v>
      </c>
      <c r="C268" s="18">
        <f>'A) Base RI'!AN264</f>
        <v>2928</v>
      </c>
      <c r="D268" s="61">
        <f>'C) Prél. conj.'!H262</f>
        <v>142008.60500000001</v>
      </c>
      <c r="E268" s="25">
        <f>'D) Ecrêtage'!M262</f>
        <v>0</v>
      </c>
      <c r="F268" s="73">
        <f>$F$10*'D) Ecrêtage'!N262</f>
        <v>1067364.1066989782</v>
      </c>
      <c r="G268" s="98">
        <f>D268+F268+E268</f>
        <v>1209372.7116989782</v>
      </c>
    </row>
    <row r="269" spans="1:7" x14ac:dyDescent="0.25">
      <c r="A269" s="82">
        <f>'A) Base RI'!A265</f>
        <v>5841</v>
      </c>
      <c r="B269" s="147" t="str">
        <f>'A) Base RI'!B265</f>
        <v>Château-d'Oex</v>
      </c>
      <c r="C269" s="18">
        <f>'A) Base RI'!AN265</f>
        <v>3440</v>
      </c>
      <c r="D269" s="61">
        <f>'C) Prél. conj.'!H263</f>
        <v>481161.53500000009</v>
      </c>
      <c r="E269" s="25">
        <f>'D) Ecrêtage'!M263</f>
        <v>0</v>
      </c>
      <c r="F269" s="73">
        <f>$F$10*'D) Ecrêtage'!N263</f>
        <v>1588013.5234469322</v>
      </c>
      <c r="G269" s="98">
        <f>D269+F269+E269</f>
        <v>2069175.0584469324</v>
      </c>
    </row>
    <row r="270" spans="1:7" x14ac:dyDescent="0.25">
      <c r="A270" s="82">
        <f>'A) Base RI'!A266</f>
        <v>5842</v>
      </c>
      <c r="B270" s="147" t="str">
        <f>'A) Base RI'!B266</f>
        <v>Rossinière</v>
      </c>
      <c r="C270" s="18">
        <f>'A) Base RI'!AN266</f>
        <v>552</v>
      </c>
      <c r="D270" s="61">
        <f>'C) Prél. conj.'!H264</f>
        <v>42671.45</v>
      </c>
      <c r="E270" s="25">
        <f>'D) Ecrêtage'!M264</f>
        <v>0</v>
      </c>
      <c r="F270" s="73">
        <f>$F$10*'D) Ecrêtage'!N264</f>
        <v>215243.18075250485</v>
      </c>
      <c r="G270" s="98">
        <f t="shared" si="4"/>
        <v>257914.63075250486</v>
      </c>
    </row>
    <row r="271" spans="1:7" x14ac:dyDescent="0.25">
      <c r="A271" s="82">
        <f>'A) Base RI'!A267</f>
        <v>5843</v>
      </c>
      <c r="B271" s="147" t="str">
        <f>'A) Base RI'!B267</f>
        <v>Rougemont</v>
      </c>
      <c r="C271" s="18">
        <f>'A) Base RI'!AN267</f>
        <v>882</v>
      </c>
      <c r="D271" s="61">
        <f>'C) Prél. conj.'!H265</f>
        <v>771569.55</v>
      </c>
      <c r="E271" s="25">
        <f>'D) Ecrêtage'!M265</f>
        <v>924400.58213663194</v>
      </c>
      <c r="F271" s="73">
        <f>$F$10*'D) Ecrêtage'!N265</f>
        <v>991710.71292423399</v>
      </c>
      <c r="G271" s="98">
        <f t="shared" si="4"/>
        <v>2687680.8450608659</v>
      </c>
    </row>
    <row r="272" spans="1:7" x14ac:dyDescent="0.25">
      <c r="A272" s="82">
        <f>'A) Base RI'!A268</f>
        <v>5851</v>
      </c>
      <c r="B272" s="147" t="str">
        <f>'A) Base RI'!B268</f>
        <v>Allaman</v>
      </c>
      <c r="C272" s="18">
        <f>'A) Base RI'!AN268</f>
        <v>401</v>
      </c>
      <c r="D272" s="61">
        <f>'C) Prél. conj.'!H266</f>
        <v>377262.29000000004</v>
      </c>
      <c r="E272" s="25">
        <f>'D) Ecrêtage'!M266</f>
        <v>55565.395639405142</v>
      </c>
      <c r="F272" s="73">
        <f>$F$10*'D) Ecrêtage'!N266</f>
        <v>351310.29844887549</v>
      </c>
      <c r="G272" s="98">
        <f t="shared" si="4"/>
        <v>784137.9840882807</v>
      </c>
    </row>
    <row r="273" spans="1:7" x14ac:dyDescent="0.25">
      <c r="A273" s="82">
        <f>'A) Base RI'!A269</f>
        <v>5852</v>
      </c>
      <c r="B273" s="147" t="str">
        <f>'A) Base RI'!B269</f>
        <v>Bursinel</v>
      </c>
      <c r="C273" s="18">
        <f>'A) Base RI'!AN269</f>
        <v>471</v>
      </c>
      <c r="D273" s="61">
        <f>'C) Prél. conj.'!H267</f>
        <v>56255.06</v>
      </c>
      <c r="E273" s="25">
        <f>'D) Ecrêtage'!M267</f>
        <v>86547.698485860339</v>
      </c>
      <c r="F273" s="73">
        <f>$F$10*'D) Ecrêtage'!N267</f>
        <v>421504.01430813945</v>
      </c>
      <c r="G273" s="98">
        <f t="shared" si="4"/>
        <v>564306.77279399976</v>
      </c>
    </row>
    <row r="274" spans="1:7" x14ac:dyDescent="0.25">
      <c r="A274" s="82">
        <f>'A) Base RI'!A270</f>
        <v>5853</v>
      </c>
      <c r="B274" s="147" t="str">
        <f>'A) Base RI'!B270</f>
        <v>Bursins</v>
      </c>
      <c r="C274" s="18">
        <f>'A) Base RI'!AN270</f>
        <v>764</v>
      </c>
      <c r="D274" s="61">
        <f>'C) Prél. conj.'!H268</f>
        <v>122324.55500000001</v>
      </c>
      <c r="E274" s="25">
        <f>'D) Ecrêtage'!M268</f>
        <v>0</v>
      </c>
      <c r="F274" s="73">
        <f>$F$10*'D) Ecrêtage'!N268</f>
        <v>527409.11263403087</v>
      </c>
      <c r="G274" s="98">
        <f t="shared" si="4"/>
        <v>649733.66763403092</v>
      </c>
    </row>
    <row r="275" spans="1:7" x14ac:dyDescent="0.25">
      <c r="A275" s="82">
        <f>'A) Base RI'!A271</f>
        <v>5854</v>
      </c>
      <c r="B275" s="147" t="str">
        <f>'A) Base RI'!B271</f>
        <v>Burtigny</v>
      </c>
      <c r="C275" s="18">
        <f>'A) Base RI'!AN271</f>
        <v>371</v>
      </c>
      <c r="D275" s="61">
        <f>'C) Prél. conj.'!H269</f>
        <v>20784.595000000001</v>
      </c>
      <c r="E275" s="25">
        <f>'D) Ecrêtage'!M269</f>
        <v>0</v>
      </c>
      <c r="F275" s="73">
        <f>$F$10*'D) Ecrêtage'!N269</f>
        <v>161570.17674480809</v>
      </c>
      <c r="G275" s="98">
        <f t="shared" si="4"/>
        <v>182354.77174480809</v>
      </c>
    </row>
    <row r="276" spans="1:7" x14ac:dyDescent="0.25">
      <c r="A276" s="82">
        <f>'A) Base RI'!A272</f>
        <v>5855</v>
      </c>
      <c r="B276" s="147" t="str">
        <f>'A) Base RI'!B272</f>
        <v>Dully</v>
      </c>
      <c r="C276" s="18">
        <f>'A) Base RI'!AN272</f>
        <v>612</v>
      </c>
      <c r="D276" s="61">
        <f>'C) Prél. conj.'!H270</f>
        <v>313516.97499999998</v>
      </c>
      <c r="E276" s="25">
        <f>'D) Ecrêtage'!M270</f>
        <v>1124062.3710877888</v>
      </c>
      <c r="F276" s="73">
        <f>$F$10*'D) Ecrêtage'!N270</f>
        <v>847906.78406096261</v>
      </c>
      <c r="G276" s="98">
        <f t="shared" si="4"/>
        <v>2285486.1301487517</v>
      </c>
    </row>
    <row r="277" spans="1:7" x14ac:dyDescent="0.25">
      <c r="A277" s="82">
        <f>'A) Base RI'!A273</f>
        <v>5856</v>
      </c>
      <c r="B277" s="147" t="str">
        <f>'A) Base RI'!B273</f>
        <v>Essertines-sur-Rolle</v>
      </c>
      <c r="C277" s="18">
        <f>'A) Base RI'!AN273</f>
        <v>698</v>
      </c>
      <c r="D277" s="61">
        <f>'C) Prél. conj.'!H271</f>
        <v>49984.524999999994</v>
      </c>
      <c r="E277" s="25">
        <f>'D) Ecrêtage'!M271</f>
        <v>0</v>
      </c>
      <c r="F277" s="73">
        <f>$F$10*'D) Ecrêtage'!N271</f>
        <v>552571.48118822905</v>
      </c>
      <c r="G277" s="98">
        <f t="shared" si="4"/>
        <v>602556.00618822908</v>
      </c>
    </row>
    <row r="278" spans="1:7" x14ac:dyDescent="0.25">
      <c r="A278" s="82">
        <f>'A) Base RI'!A274</f>
        <v>5857</v>
      </c>
      <c r="B278" s="147" t="str">
        <f>'A) Base RI'!B274</f>
        <v>Gilly</v>
      </c>
      <c r="C278" s="18">
        <f>'A) Base RI'!AN274</f>
        <v>1074</v>
      </c>
      <c r="D278" s="61">
        <f>'C) Prél. conj.'!H272</f>
        <v>375627.48499999999</v>
      </c>
      <c r="E278" s="25">
        <f>'D) Ecrêtage'!M272</f>
        <v>117762.21490496669</v>
      </c>
      <c r="F278" s="73">
        <f>$F$10*'D) Ecrêtage'!N272</f>
        <v>923687.90544720774</v>
      </c>
      <c r="G278" s="98">
        <f t="shared" si="4"/>
        <v>1417077.6053521745</v>
      </c>
    </row>
    <row r="279" spans="1:7" x14ac:dyDescent="0.25">
      <c r="A279" s="82">
        <f>'A) Base RI'!A275</f>
        <v>5858</v>
      </c>
      <c r="B279" s="147" t="str">
        <f>'A) Base RI'!B275</f>
        <v>Luins</v>
      </c>
      <c r="C279" s="18">
        <f>'A) Base RI'!AN275</f>
        <v>608</v>
      </c>
      <c r="D279" s="61">
        <f>'C) Prél. conj.'!H273</f>
        <v>61239.635000000002</v>
      </c>
      <c r="E279" s="25">
        <f>'D) Ecrêtage'!M273</f>
        <v>43126.192960267654</v>
      </c>
      <c r="F279" s="73">
        <f>$F$10*'D) Ecrêtage'!N273</f>
        <v>515249.50572045194</v>
      </c>
      <c r="G279" s="98">
        <f t="shared" si="4"/>
        <v>619615.3336807196</v>
      </c>
    </row>
    <row r="280" spans="1:7" x14ac:dyDescent="0.25">
      <c r="A280" s="82">
        <f>'A) Base RI'!A276</f>
        <v>5859</v>
      </c>
      <c r="B280" s="147" t="str">
        <f>'A) Base RI'!B276</f>
        <v>Mont-sur-Rolle</v>
      </c>
      <c r="C280" s="18">
        <f>'A) Base RI'!AN276</f>
        <v>2602</v>
      </c>
      <c r="D280" s="61">
        <f>'C) Prél. conj.'!H274</f>
        <v>410269.13</v>
      </c>
      <c r="E280" s="25">
        <f>'D) Ecrêtage'!M274</f>
        <v>0</v>
      </c>
      <c r="F280" s="73">
        <f>$F$10*'D) Ecrêtage'!N274</f>
        <v>2010029.7206463206</v>
      </c>
      <c r="G280" s="98">
        <f t="shared" ref="G280:G328" si="5">D280+F280+E280</f>
        <v>2420298.8506463207</v>
      </c>
    </row>
    <row r="281" spans="1:7" x14ac:dyDescent="0.25">
      <c r="A281" s="82">
        <f>'A) Base RI'!A277</f>
        <v>5860</v>
      </c>
      <c r="B281" s="147" t="str">
        <f>'A) Base RI'!B277</f>
        <v>Perroy</v>
      </c>
      <c r="C281" s="18">
        <f>'A) Base RI'!AN277</f>
        <v>1395</v>
      </c>
      <c r="D281" s="61">
        <f>'C) Prél. conj.'!H275</f>
        <v>190047.08499999999</v>
      </c>
      <c r="E281" s="25">
        <f>'D) Ecrêtage'!M275</f>
        <v>0</v>
      </c>
      <c r="F281" s="73">
        <f>$F$10*'D) Ecrêtage'!N275</f>
        <v>1049692.1566184396</v>
      </c>
      <c r="G281" s="98">
        <f t="shared" si="5"/>
        <v>1239739.2416184396</v>
      </c>
    </row>
    <row r="282" spans="1:7" x14ac:dyDescent="0.25">
      <c r="A282" s="82">
        <f>'A) Base RI'!A278</f>
        <v>5861</v>
      </c>
      <c r="B282" s="147" t="str">
        <f>'A) Base RI'!B278</f>
        <v>Rolle</v>
      </c>
      <c r="C282" s="18">
        <f>'A) Base RI'!AN278</f>
        <v>5900</v>
      </c>
      <c r="D282" s="61">
        <f>'C) Prél. conj.'!H276</f>
        <v>1273637.21</v>
      </c>
      <c r="E282" s="25">
        <f>'D) Ecrêtage'!M276</f>
        <v>659049.62551825203</v>
      </c>
      <c r="F282" s="73">
        <f>$F$10*'D) Ecrêtage'!N276</f>
        <v>5107766.2130765375</v>
      </c>
      <c r="G282" s="98">
        <f t="shared" si="5"/>
        <v>7040453.0485947896</v>
      </c>
    </row>
    <row r="283" spans="1:7" x14ac:dyDescent="0.25">
      <c r="A283" s="82">
        <f>'A) Base RI'!A279</f>
        <v>5862</v>
      </c>
      <c r="B283" s="147" t="str">
        <f>'A) Base RI'!B279</f>
        <v>Tartegnin</v>
      </c>
      <c r="C283" s="18">
        <f>'A) Base RI'!AN279</f>
        <v>228</v>
      </c>
      <c r="D283" s="61">
        <f>'C) Prél. conj.'!H277</f>
        <v>52480.24</v>
      </c>
      <c r="E283" s="25">
        <f>'D) Ecrêtage'!M277</f>
        <v>0</v>
      </c>
      <c r="F283" s="73">
        <f>$F$10*'D) Ecrêtage'!N277</f>
        <v>114371.60419743457</v>
      </c>
      <c r="G283" s="98">
        <f t="shared" si="5"/>
        <v>166851.84419743458</v>
      </c>
    </row>
    <row r="284" spans="1:7" x14ac:dyDescent="0.25">
      <c r="A284" s="82">
        <f>'A) Base RI'!A280</f>
        <v>5863</v>
      </c>
      <c r="B284" s="147" t="str">
        <f>'A) Base RI'!B280</f>
        <v>Vinzel</v>
      </c>
      <c r="C284" s="18">
        <f>'A) Base RI'!AN280</f>
        <v>352</v>
      </c>
      <c r="D284" s="61">
        <f>'C) Prél. conj.'!H278</f>
        <v>4804.5</v>
      </c>
      <c r="E284" s="25">
        <f>'D) Ecrêtage'!M278</f>
        <v>44022.971979205882</v>
      </c>
      <c r="F284" s="73">
        <f>$F$10*'D) Ecrêtage'!N278</f>
        <v>303215.77587289608</v>
      </c>
      <c r="G284" s="98">
        <f t="shared" si="5"/>
        <v>352043.24785210198</v>
      </c>
    </row>
    <row r="285" spans="1:7" x14ac:dyDescent="0.25">
      <c r="A285" s="82">
        <f>'A) Base RI'!A281</f>
        <v>5871</v>
      </c>
      <c r="B285" s="147" t="str">
        <f>'A) Base RI'!B281</f>
        <v>L'Abbaye</v>
      </c>
      <c r="C285" s="18">
        <f>'A) Base RI'!AN281</f>
        <v>1433</v>
      </c>
      <c r="D285" s="61">
        <f>'C) Prél. conj.'!H279</f>
        <v>278166.05499999999</v>
      </c>
      <c r="E285" s="25">
        <f>'D) Ecrêtage'!M279</f>
        <v>0</v>
      </c>
      <c r="F285" s="73">
        <f>$F$10*'D) Ecrêtage'!N279</f>
        <v>900597.42529467831</v>
      </c>
      <c r="G285" s="98">
        <f t="shared" si="5"/>
        <v>1178763.4802946784</v>
      </c>
    </row>
    <row r="286" spans="1:7" x14ac:dyDescent="0.25">
      <c r="A286" s="82">
        <f>'A) Base RI'!A282</f>
        <v>5872</v>
      </c>
      <c r="B286" s="147" t="str">
        <f>'A) Base RI'!B282</f>
        <v>Le Chenit</v>
      </c>
      <c r="C286" s="18">
        <f>'A) Base RI'!AN282</f>
        <v>4496</v>
      </c>
      <c r="D286" s="61">
        <f>'C) Prél. conj.'!H280</f>
        <v>2424633.8649999998</v>
      </c>
      <c r="E286" s="25">
        <f>'D) Ecrêtage'!M280</f>
        <v>3597287.0467318487</v>
      </c>
      <c r="F286" s="73">
        <f>$F$10*'D) Ecrêtage'!N280</f>
        <v>4764308.5030850302</v>
      </c>
      <c r="G286" s="98">
        <f t="shared" si="5"/>
        <v>10786229.414816879</v>
      </c>
    </row>
    <row r="287" spans="1:7" x14ac:dyDescent="0.25">
      <c r="A287" s="82">
        <f>'A) Base RI'!A283</f>
        <v>5873</v>
      </c>
      <c r="B287" s="147" t="str">
        <f>'A) Base RI'!B283</f>
        <v>Le Lieu</v>
      </c>
      <c r="C287" s="18">
        <f>'A) Base RI'!AN283</f>
        <v>856</v>
      </c>
      <c r="D287" s="61">
        <f>'C) Prél. conj.'!H281</f>
        <v>345708.51999999996</v>
      </c>
      <c r="E287" s="25">
        <f>'D) Ecrêtage'!M281</f>
        <v>0</v>
      </c>
      <c r="F287" s="73">
        <f>$F$10*'D) Ecrêtage'!N281</f>
        <v>582112.14944664389</v>
      </c>
      <c r="G287" s="98">
        <f t="shared" si="5"/>
        <v>927820.66944664391</v>
      </c>
    </row>
    <row r="288" spans="1:7" x14ac:dyDescent="0.25">
      <c r="A288" s="82">
        <f>'A) Base RI'!A284</f>
        <v>5881</v>
      </c>
      <c r="B288" s="147" t="str">
        <f>'A) Base RI'!B284</f>
        <v>Blonay</v>
      </c>
      <c r="C288" s="18">
        <f>'A) Base RI'!AN284</f>
        <v>6110</v>
      </c>
      <c r="D288" s="61">
        <f>'C) Prél. conj.'!H282</f>
        <v>768196.85000000009</v>
      </c>
      <c r="E288" s="25">
        <f>'D) Ecrêtage'!M282</f>
        <v>0</v>
      </c>
      <c r="F288" s="73">
        <f>$F$10*'D) Ecrêtage'!N282</f>
        <v>4907181.4090688666</v>
      </c>
      <c r="G288" s="98">
        <f t="shared" si="5"/>
        <v>5675378.2590688672</v>
      </c>
    </row>
    <row r="289" spans="1:7" x14ac:dyDescent="0.25">
      <c r="A289" s="82">
        <f>'A) Base RI'!A285</f>
        <v>5882</v>
      </c>
      <c r="B289" s="147" t="str">
        <f>'A) Base RI'!B285</f>
        <v>Chardonne</v>
      </c>
      <c r="C289" s="18">
        <f>'A) Base RI'!AN285</f>
        <v>2835</v>
      </c>
      <c r="D289" s="61">
        <f>'C) Prél. conj.'!H283</f>
        <v>1523340.5249999999</v>
      </c>
      <c r="E289" s="25">
        <f>'D) Ecrêtage'!M283</f>
        <v>111525.74345920006</v>
      </c>
      <c r="F289" s="73">
        <f>$F$10*'D) Ecrêtage'!N283</f>
        <v>2358841.0068889558</v>
      </c>
      <c r="G289" s="98">
        <f t="shared" si="5"/>
        <v>3993707.2753481558</v>
      </c>
    </row>
    <row r="290" spans="1:7" x14ac:dyDescent="0.25">
      <c r="A290" s="82">
        <f>'A) Base RI'!A286</f>
        <v>5883</v>
      </c>
      <c r="B290" s="147" t="str">
        <f>'A) Base RI'!B286</f>
        <v>Corseaux</v>
      </c>
      <c r="C290" s="18">
        <f>'A) Base RI'!AN286</f>
        <v>2172</v>
      </c>
      <c r="D290" s="61">
        <f>'C) Prél. conj.'!H284</f>
        <v>445959.22</v>
      </c>
      <c r="E290" s="25">
        <f>'D) Ecrêtage'!M284</f>
        <v>964751.00287784054</v>
      </c>
      <c r="F290" s="73">
        <f>$F$10*'D) Ecrêtage'!N284</f>
        <v>2131179.8559648762</v>
      </c>
      <c r="G290" s="98">
        <f t="shared" si="5"/>
        <v>3541890.0788427172</v>
      </c>
    </row>
    <row r="291" spans="1:7" x14ac:dyDescent="0.25">
      <c r="A291" s="82">
        <f>'A) Base RI'!A287</f>
        <v>5884</v>
      </c>
      <c r="B291" s="147" t="str">
        <f>'A) Base RI'!B287</f>
        <v>Corsier-sur-Vevey</v>
      </c>
      <c r="C291" s="18">
        <f>'A) Base RI'!AN287</f>
        <v>3393</v>
      </c>
      <c r="D291" s="61">
        <f>'C) Prél. conj.'!H285</f>
        <v>276499.61</v>
      </c>
      <c r="E291" s="25">
        <f>'D) Ecrêtage'!M285</f>
        <v>0</v>
      </c>
      <c r="F291" s="73">
        <f>$F$10*'D) Ecrêtage'!N285</f>
        <v>1795059.0812202217</v>
      </c>
      <c r="G291" s="98">
        <f t="shared" si="5"/>
        <v>2071558.6912202216</v>
      </c>
    </row>
    <row r="292" spans="1:7" x14ac:dyDescent="0.25">
      <c r="A292" s="82">
        <f>'A) Base RI'!A288</f>
        <v>5885</v>
      </c>
      <c r="B292" s="147" t="str">
        <f>'A) Base RI'!B288</f>
        <v>Jongny</v>
      </c>
      <c r="C292" s="18">
        <f>'A) Base RI'!AN288</f>
        <v>1475</v>
      </c>
      <c r="D292" s="61">
        <f>'C) Prél. conj.'!H286</f>
        <v>199350.9</v>
      </c>
      <c r="E292" s="25">
        <f>'D) Ecrêtage'!M286</f>
        <v>0</v>
      </c>
      <c r="F292" s="73">
        <f>$F$10*'D) Ecrêtage'!N286</f>
        <v>1126663.1039685248</v>
      </c>
      <c r="G292" s="98">
        <f t="shared" si="5"/>
        <v>1326014.0039685247</v>
      </c>
    </row>
    <row r="293" spans="1:7" x14ac:dyDescent="0.25">
      <c r="A293" s="82">
        <f>'A) Base RI'!A289</f>
        <v>5886</v>
      </c>
      <c r="B293" s="147" t="str">
        <f>'A) Base RI'!B289</f>
        <v>Montreux</v>
      </c>
      <c r="C293" s="18">
        <f>'A) Base RI'!AN289</f>
        <v>26072</v>
      </c>
      <c r="D293" s="61">
        <f>'C) Prél. conj.'!H287</f>
        <v>5249039.3100000005</v>
      </c>
      <c r="E293" s="25">
        <f>'D) Ecrêtage'!M287</f>
        <v>0</v>
      </c>
      <c r="F293" s="73">
        <f>$F$10*'D) Ecrêtage'!N287</f>
        <v>16557812.078510564</v>
      </c>
      <c r="G293" s="98">
        <f t="shared" si="5"/>
        <v>21806851.388510562</v>
      </c>
    </row>
    <row r="294" spans="1:7" x14ac:dyDescent="0.25">
      <c r="A294" s="82">
        <f>'A) Base RI'!A290</f>
        <v>5888</v>
      </c>
      <c r="B294" s="147" t="str">
        <f>'A) Base RI'!B290</f>
        <v>St-Légier-La Chiésaz</v>
      </c>
      <c r="C294" s="18">
        <f>'A) Base RI'!AN290</f>
        <v>5084</v>
      </c>
      <c r="D294" s="61">
        <f>'C) Prél. conj.'!H288</f>
        <v>601519.41999999993</v>
      </c>
      <c r="E294" s="25">
        <f>'D) Ecrêtage'!M288</f>
        <v>1869039.2408196295</v>
      </c>
      <c r="F294" s="73">
        <f>$F$10*'D) Ecrêtage'!N288</f>
        <v>4867551.7608630881</v>
      </c>
      <c r="G294" s="98">
        <f t="shared" si="5"/>
        <v>7338110.4216827173</v>
      </c>
    </row>
    <row r="295" spans="1:7" x14ac:dyDescent="0.25">
      <c r="A295" s="82">
        <f>'A) Base RI'!A291</f>
        <v>5889</v>
      </c>
      <c r="B295" s="147" t="str">
        <f>'A) Base RI'!B291</f>
        <v>La Tour-de-Peilz</v>
      </c>
      <c r="C295" s="18">
        <f>'A) Base RI'!AN291</f>
        <v>11207</v>
      </c>
      <c r="D295" s="61">
        <f>'C) Prél. conj.'!H289</f>
        <v>1419035.32</v>
      </c>
      <c r="E295" s="25">
        <f>'D) Ecrêtage'!M289</f>
        <v>0</v>
      </c>
      <c r="F295" s="73">
        <f>$F$10*'D) Ecrêtage'!N289</f>
        <v>8768334.6255106479</v>
      </c>
      <c r="G295" s="98">
        <f t="shared" si="5"/>
        <v>10187369.945510648</v>
      </c>
    </row>
    <row r="296" spans="1:7" x14ac:dyDescent="0.25">
      <c r="A296" s="82">
        <f>'A) Base RI'!A292</f>
        <v>5890</v>
      </c>
      <c r="B296" s="147" t="str">
        <f>'A) Base RI'!B292</f>
        <v>Vevey</v>
      </c>
      <c r="C296" s="18">
        <f>'A) Base RI'!AN292</f>
        <v>18838</v>
      </c>
      <c r="D296" s="61">
        <f>'C) Prél. conj.'!H290</f>
        <v>2212821.395</v>
      </c>
      <c r="E296" s="25">
        <f>'D) Ecrêtage'!M290</f>
        <v>0</v>
      </c>
      <c r="F296" s="73">
        <f>$F$10*'D) Ecrêtage'!N290</f>
        <v>13603563.15693341</v>
      </c>
      <c r="G296" s="98">
        <f t="shared" si="5"/>
        <v>15816384.55193341</v>
      </c>
    </row>
    <row r="297" spans="1:7" x14ac:dyDescent="0.25">
      <c r="A297" s="82">
        <f>'A) Base RI'!A293</f>
        <v>5891</v>
      </c>
      <c r="B297" s="147" t="str">
        <f>'A) Base RI'!B293</f>
        <v>Veytaux</v>
      </c>
      <c r="C297" s="18">
        <f>'A) Base RI'!AN293</f>
        <v>845</v>
      </c>
      <c r="D297" s="61">
        <f>'C) Prél. conj.'!H291</f>
        <v>301895.47499999998</v>
      </c>
      <c r="E297" s="25">
        <f>'D) Ecrêtage'!M291</f>
        <v>0</v>
      </c>
      <c r="F297" s="73">
        <f>$F$10*'D) Ecrêtage'!N291</f>
        <v>556496.49754309398</v>
      </c>
      <c r="G297" s="98">
        <f t="shared" si="5"/>
        <v>858391.97254309396</v>
      </c>
    </row>
    <row r="298" spans="1:7" x14ac:dyDescent="0.25">
      <c r="A298" s="82">
        <f>'A) Base RI'!A294</f>
        <v>5902</v>
      </c>
      <c r="B298" s="147" t="str">
        <f>'A) Base RI'!B294</f>
        <v>Belmont-sur-Yverdon</v>
      </c>
      <c r="C298" s="18">
        <f>'A) Base RI'!AN294</f>
        <v>357</v>
      </c>
      <c r="D298" s="61">
        <f>'C) Prél. conj.'!H292</f>
        <v>44946.974999999999</v>
      </c>
      <c r="E298" s="25">
        <f>'D) Ecrêtage'!M292</f>
        <v>0</v>
      </c>
      <c r="F298" s="73">
        <f>$F$10*'D) Ecrêtage'!N292</f>
        <v>130248.27952828725</v>
      </c>
      <c r="G298" s="98">
        <f t="shared" si="5"/>
        <v>175195.25452828725</v>
      </c>
    </row>
    <row r="299" spans="1:7" x14ac:dyDescent="0.25">
      <c r="A299" s="82">
        <f>'A) Base RI'!A295</f>
        <v>5903</v>
      </c>
      <c r="B299" s="147" t="str">
        <f>'A) Base RI'!B295</f>
        <v>Bioley-Magnoux</v>
      </c>
      <c r="C299" s="18">
        <f>'A) Base RI'!AN295</f>
        <v>196</v>
      </c>
      <c r="D299" s="61">
        <f>'C) Prél. conj.'!H293</f>
        <v>7896</v>
      </c>
      <c r="E299" s="25">
        <f>'D) Ecrêtage'!M293</f>
        <v>0</v>
      </c>
      <c r="F299" s="73">
        <f>$F$10*'D) Ecrêtage'!N293</f>
        <v>90027.699481482254</v>
      </c>
      <c r="G299" s="98">
        <f t="shared" si="5"/>
        <v>97923.699481482254</v>
      </c>
    </row>
    <row r="300" spans="1:7" x14ac:dyDescent="0.25">
      <c r="A300" s="82">
        <f>'A) Base RI'!A296</f>
        <v>5904</v>
      </c>
      <c r="B300" s="147" t="str">
        <f>'A) Base RI'!B296</f>
        <v>Chamblon</v>
      </c>
      <c r="C300" s="18">
        <f>'A) Base RI'!AN296</f>
        <v>590</v>
      </c>
      <c r="D300" s="61">
        <f>'C) Prél. conj.'!H294</f>
        <v>28969.224999999999</v>
      </c>
      <c r="E300" s="25">
        <f>'D) Ecrêtage'!M294</f>
        <v>0</v>
      </c>
      <c r="F300" s="73">
        <f>$F$10*'D) Ecrêtage'!N294</f>
        <v>319696.10484698042</v>
      </c>
      <c r="G300" s="98">
        <f t="shared" si="5"/>
        <v>348665.3298469804</v>
      </c>
    </row>
    <row r="301" spans="1:7" x14ac:dyDescent="0.25">
      <c r="A301" s="82">
        <f>'A) Base RI'!A297</f>
        <v>5905</v>
      </c>
      <c r="B301" s="147" t="str">
        <f>'A) Base RI'!B297</f>
        <v>Champvent</v>
      </c>
      <c r="C301" s="18">
        <f>'A) Base RI'!AN297</f>
        <v>600</v>
      </c>
      <c r="D301" s="61">
        <f>'C) Prél. conj.'!H295</f>
        <v>60451.024999999994</v>
      </c>
      <c r="E301" s="25">
        <f>'D) Ecrêtage'!M295</f>
        <v>0</v>
      </c>
      <c r="F301" s="73">
        <f>$F$10*'D) Ecrêtage'!N295</f>
        <v>300381.58364840649</v>
      </c>
      <c r="G301" s="98">
        <f t="shared" si="5"/>
        <v>360832.60864840646</v>
      </c>
    </row>
    <row r="302" spans="1:7" x14ac:dyDescent="0.25">
      <c r="A302" s="82">
        <f>'A) Base RI'!A298</f>
        <v>5907</v>
      </c>
      <c r="B302" s="147" t="str">
        <f>'A) Base RI'!B298</f>
        <v>Chavannes-le-Chêne</v>
      </c>
      <c r="C302" s="18">
        <f>'A) Base RI'!AN298</f>
        <v>274</v>
      </c>
      <c r="D302" s="61">
        <f>'C) Prél. conj.'!H296</f>
        <v>10761.42</v>
      </c>
      <c r="E302" s="25">
        <f>'D) Ecrêtage'!M296</f>
        <v>0</v>
      </c>
      <c r="F302" s="73">
        <f>$F$10*'D) Ecrêtage'!N296</f>
        <v>100107.03204663411</v>
      </c>
      <c r="G302" s="98">
        <f t="shared" si="5"/>
        <v>110868.45204663411</v>
      </c>
    </row>
    <row r="303" spans="1:7" x14ac:dyDescent="0.25">
      <c r="A303" s="82">
        <f>'A) Base RI'!A299</f>
        <v>5908</v>
      </c>
      <c r="B303" s="147" t="str">
        <f>'A) Base RI'!B299</f>
        <v>Chêne-Pâquier</v>
      </c>
      <c r="C303" s="18">
        <f>'A) Base RI'!AN299</f>
        <v>132</v>
      </c>
      <c r="D303" s="61">
        <f>'C) Prél. conj.'!H297</f>
        <v>17767.575000000001</v>
      </c>
      <c r="E303" s="25">
        <f>'D) Ecrêtage'!M297</f>
        <v>0</v>
      </c>
      <c r="F303" s="73">
        <f>$F$10*'D) Ecrêtage'!N297</f>
        <v>49185.205554570144</v>
      </c>
      <c r="G303" s="98">
        <f t="shared" si="5"/>
        <v>66952.780554570141</v>
      </c>
    </row>
    <row r="304" spans="1:7" x14ac:dyDescent="0.25">
      <c r="A304" s="82">
        <f>'A) Base RI'!A300</f>
        <v>5909</v>
      </c>
      <c r="B304" s="147" t="str">
        <f>'A) Base RI'!B300</f>
        <v>Cheseaux-Noréaz</v>
      </c>
      <c r="C304" s="18">
        <f>'A) Base RI'!AN300</f>
        <v>663</v>
      </c>
      <c r="D304" s="61">
        <f>'C) Prél. conj.'!H298</f>
        <v>167124.47</v>
      </c>
      <c r="E304" s="25">
        <f>'D) Ecrêtage'!M298</f>
        <v>0</v>
      </c>
      <c r="F304" s="73">
        <f>$F$10*'D) Ecrêtage'!N298</f>
        <v>453496.19227965735</v>
      </c>
      <c r="G304" s="98">
        <f t="shared" si="5"/>
        <v>620620.66227965732</v>
      </c>
    </row>
    <row r="305" spans="1:7" x14ac:dyDescent="0.25">
      <c r="A305" s="82">
        <f>'A) Base RI'!A301</f>
        <v>5910</v>
      </c>
      <c r="B305" s="147" t="str">
        <f>'A) Base RI'!B301</f>
        <v>Cronay</v>
      </c>
      <c r="C305" s="18">
        <f>'A) Base RI'!AN301</f>
        <v>352</v>
      </c>
      <c r="D305" s="61">
        <f>'C) Prél. conj.'!H299</f>
        <v>21804.949999999997</v>
      </c>
      <c r="E305" s="25">
        <f>'D) Ecrêtage'!M299</f>
        <v>0</v>
      </c>
      <c r="F305" s="73">
        <f>$F$10*'D) Ecrêtage'!N299</f>
        <v>137398.87150357137</v>
      </c>
      <c r="G305" s="98">
        <f t="shared" si="5"/>
        <v>159203.82150357135</v>
      </c>
    </row>
    <row r="306" spans="1:7" x14ac:dyDescent="0.25">
      <c r="A306" s="82">
        <f>'A) Base RI'!A302</f>
        <v>5911</v>
      </c>
      <c r="B306" s="147" t="str">
        <f>'A) Base RI'!B302</f>
        <v>Cuarny</v>
      </c>
      <c r="C306" s="18">
        <f>'A) Base RI'!AN302</f>
        <v>204</v>
      </c>
      <c r="D306" s="61">
        <f>'C) Prél. conj.'!H300</f>
        <v>11086.75</v>
      </c>
      <c r="E306" s="25">
        <f>'D) Ecrêtage'!M300</f>
        <v>0</v>
      </c>
      <c r="F306" s="73">
        <f>$F$10*'D) Ecrêtage'!N300</f>
        <v>100769.71955094305</v>
      </c>
      <c r="G306" s="98">
        <f t="shared" si="5"/>
        <v>111856.46955094305</v>
      </c>
    </row>
    <row r="307" spans="1:7" x14ac:dyDescent="0.25">
      <c r="A307" s="82">
        <f>'A) Base RI'!A303</f>
        <v>5912</v>
      </c>
      <c r="B307" s="147" t="str">
        <f>'A) Base RI'!B303</f>
        <v>Démoret</v>
      </c>
      <c r="C307" s="18">
        <f>'A) Base RI'!AN303</f>
        <v>126</v>
      </c>
      <c r="D307" s="61">
        <f>'C) Prél. conj.'!H301</f>
        <v>-257.3</v>
      </c>
      <c r="E307" s="25">
        <f>'D) Ecrêtage'!M301</f>
        <v>0</v>
      </c>
      <c r="F307" s="73">
        <f>$F$10*'D) Ecrêtage'!N301</f>
        <v>46563.532133669338</v>
      </c>
      <c r="G307" s="98">
        <f t="shared" si="5"/>
        <v>46306.232133669335</v>
      </c>
    </row>
    <row r="308" spans="1:7" x14ac:dyDescent="0.25">
      <c r="A308" s="82">
        <f>'A) Base RI'!A304</f>
        <v>5913</v>
      </c>
      <c r="B308" s="147" t="str">
        <f>'A) Base RI'!B304</f>
        <v>Donneloye</v>
      </c>
      <c r="C308" s="18">
        <f>'A) Base RI'!AN304</f>
        <v>728</v>
      </c>
      <c r="D308" s="61">
        <f>'C) Prél. conj.'!H302</f>
        <v>43036.38</v>
      </c>
      <c r="E308" s="25">
        <f>'D) Ecrêtage'!M302</f>
        <v>0</v>
      </c>
      <c r="F308" s="73">
        <f>$F$10*'D) Ecrêtage'!N302</f>
        <v>342255.92578761559</v>
      </c>
      <c r="G308" s="98">
        <f t="shared" si="5"/>
        <v>385292.30578761559</v>
      </c>
    </row>
    <row r="309" spans="1:7" x14ac:dyDescent="0.25">
      <c r="A309" s="82">
        <f>'A) Base RI'!A305</f>
        <v>5914</v>
      </c>
      <c r="B309" s="147" t="str">
        <f>'A) Base RI'!B305</f>
        <v>Ependes</v>
      </c>
      <c r="C309" s="18">
        <f>'A) Base RI'!AN305</f>
        <v>344</v>
      </c>
      <c r="D309" s="61">
        <f>'C) Prél. conj.'!H303</f>
        <v>4803.25</v>
      </c>
      <c r="E309" s="25">
        <f>'D) Ecrêtage'!M303</f>
        <v>0</v>
      </c>
      <c r="F309" s="73">
        <f>$F$10*'D) Ecrêtage'!N303</f>
        <v>128902.9044554462</v>
      </c>
      <c r="G309" s="98">
        <f t="shared" si="5"/>
        <v>133706.1544554462</v>
      </c>
    </row>
    <row r="310" spans="1:7" x14ac:dyDescent="0.25">
      <c r="A310" s="82">
        <f>'A) Base RI'!A306</f>
        <v>5915</v>
      </c>
      <c r="B310" s="147" t="str">
        <f>'A) Base RI'!B306</f>
        <v>Essert-Pittet</v>
      </c>
      <c r="C310" s="18">
        <f>'A) Base RI'!AN306</f>
        <v>151</v>
      </c>
      <c r="D310" s="61">
        <f>'C) Prél. conj.'!H304</f>
        <v>13517.125</v>
      </c>
      <c r="E310" s="25">
        <f>'D) Ecrêtage'!M304</f>
        <v>0</v>
      </c>
      <c r="F310" s="73">
        <f>$F$10*'D) Ecrêtage'!N304</f>
        <v>51293.011188471719</v>
      </c>
      <c r="G310" s="98">
        <f t="shared" si="5"/>
        <v>64810.136188471719</v>
      </c>
    </row>
    <row r="311" spans="1:7" x14ac:dyDescent="0.25">
      <c r="A311" s="82">
        <f>'A) Base RI'!A307</f>
        <v>5919</v>
      </c>
      <c r="B311" s="147" t="str">
        <f>'A) Base RI'!B307</f>
        <v>Mathod</v>
      </c>
      <c r="C311" s="18">
        <f>'A) Base RI'!AN307</f>
        <v>552</v>
      </c>
      <c r="D311" s="61">
        <f>'C) Prél. conj.'!H305</f>
        <v>57369.204999999994</v>
      </c>
      <c r="E311" s="25">
        <f>'D) Ecrêtage'!M305</f>
        <v>0</v>
      </c>
      <c r="F311" s="73">
        <f>$F$10*'D) Ecrêtage'!N305</f>
        <v>217222.78943200246</v>
      </c>
      <c r="G311" s="98">
        <f t="shared" si="5"/>
        <v>274591.99443200248</v>
      </c>
    </row>
    <row r="312" spans="1:7" x14ac:dyDescent="0.25">
      <c r="A312" s="82">
        <f>'A) Base RI'!A308</f>
        <v>5921</v>
      </c>
      <c r="B312" s="147" t="str">
        <f>'A) Base RI'!B308</f>
        <v>Molondin</v>
      </c>
      <c r="C312" s="18">
        <f>'A) Base RI'!AN308</f>
        <v>228</v>
      </c>
      <c r="D312" s="61">
        <f>'C) Prél. conj.'!H306</f>
        <v>1031.04</v>
      </c>
      <c r="E312" s="25">
        <f>'D) Ecrêtage'!M306</f>
        <v>0</v>
      </c>
      <c r="F312" s="73">
        <f>$F$10*'D) Ecrêtage'!N306</f>
        <v>68932.811206615224</v>
      </c>
      <c r="G312" s="98">
        <f t="shared" si="5"/>
        <v>69963.851206615218</v>
      </c>
    </row>
    <row r="313" spans="1:7" x14ac:dyDescent="0.25">
      <c r="A313" s="82">
        <f>'A) Base RI'!A309</f>
        <v>5922</v>
      </c>
      <c r="B313" s="147" t="str">
        <f>'A) Base RI'!B309</f>
        <v>Montagny-près-Yverdon</v>
      </c>
      <c r="C313" s="18">
        <f>'A) Base RI'!AN309</f>
        <v>725</v>
      </c>
      <c r="D313" s="61">
        <f>'C) Prél. conj.'!H307</f>
        <v>116439.85</v>
      </c>
      <c r="E313" s="25">
        <f>'D) Ecrêtage'!M307</f>
        <v>125410.96021189219</v>
      </c>
      <c r="F313" s="73">
        <f>$F$10*'D) Ecrêtage'!N307</f>
        <v>645913.19878571015</v>
      </c>
      <c r="G313" s="98">
        <f t="shared" si="5"/>
        <v>887764.00899760227</v>
      </c>
    </row>
    <row r="314" spans="1:7" x14ac:dyDescent="0.25">
      <c r="A314" s="82">
        <f>'A) Base RI'!A310</f>
        <v>5923</v>
      </c>
      <c r="B314" s="147" t="str">
        <f>'A) Base RI'!B310</f>
        <v>Oppens</v>
      </c>
      <c r="C314" s="18">
        <f>'A) Base RI'!AN310</f>
        <v>176</v>
      </c>
      <c r="D314" s="61">
        <f>'C) Prél. conj.'!H308</f>
        <v>8683.7999999999993</v>
      </c>
      <c r="E314" s="25">
        <f>'D) Ecrêtage'!M308</f>
        <v>0</v>
      </c>
      <c r="F314" s="73">
        <f>$F$10*'D) Ecrêtage'!N308</f>
        <v>66104.693043838401</v>
      </c>
      <c r="G314" s="98">
        <f t="shared" si="5"/>
        <v>74788.493043838404</v>
      </c>
    </row>
    <row r="315" spans="1:7" x14ac:dyDescent="0.25">
      <c r="A315" s="82">
        <f>'A) Base RI'!A311</f>
        <v>5924</v>
      </c>
      <c r="B315" s="147" t="str">
        <f>'A) Base RI'!B311</f>
        <v>Orges</v>
      </c>
      <c r="C315" s="18">
        <f>'A) Base RI'!AN311</f>
        <v>274</v>
      </c>
      <c r="D315" s="61">
        <f>'C) Prél. conj.'!H309</f>
        <v>18871.61</v>
      </c>
      <c r="E315" s="25">
        <f>'D) Ecrêtage'!M309</f>
        <v>0</v>
      </c>
      <c r="F315" s="73">
        <f>$F$10*'D) Ecrêtage'!N309</f>
        <v>115127.641092636</v>
      </c>
      <c r="G315" s="98">
        <f t="shared" si="5"/>
        <v>133999.251092636</v>
      </c>
    </row>
    <row r="316" spans="1:7" x14ac:dyDescent="0.25">
      <c r="A316" s="82">
        <f>'A) Base RI'!A312</f>
        <v>5925</v>
      </c>
      <c r="B316" s="147" t="str">
        <f>'A) Base RI'!B312</f>
        <v>Orzens</v>
      </c>
      <c r="C316" s="18">
        <f>'A) Base RI'!AN312</f>
        <v>197</v>
      </c>
      <c r="D316" s="61">
        <f>'C) Prél. conj.'!H310</f>
        <v>0</v>
      </c>
      <c r="E316" s="25">
        <f>'D) Ecrêtage'!M310</f>
        <v>0</v>
      </c>
      <c r="F316" s="73">
        <f>$F$10*'D) Ecrêtage'!N310</f>
        <v>74963.334064869341</v>
      </c>
      <c r="G316" s="98">
        <f t="shared" si="5"/>
        <v>74963.334064869341</v>
      </c>
    </row>
    <row r="317" spans="1:7" x14ac:dyDescent="0.25">
      <c r="A317" s="82">
        <f>'A) Base RI'!A313</f>
        <v>5926</v>
      </c>
      <c r="B317" s="147" t="str">
        <f>'A) Base RI'!B313</f>
        <v>Pomy</v>
      </c>
      <c r="C317" s="18">
        <f>'A) Base RI'!AN313</f>
        <v>735</v>
      </c>
      <c r="D317" s="61">
        <f>'C) Prél. conj.'!H311</f>
        <v>46999.644999999997</v>
      </c>
      <c r="E317" s="25">
        <f>'D) Ecrêtage'!M311</f>
        <v>0</v>
      </c>
      <c r="F317" s="73">
        <f>$F$10*'D) Ecrêtage'!N311</f>
        <v>327013.48979355744</v>
      </c>
      <c r="G317" s="98">
        <f t="shared" si="5"/>
        <v>374013.13479355746</v>
      </c>
    </row>
    <row r="318" spans="1:7" x14ac:dyDescent="0.25">
      <c r="A318" s="82">
        <f>'A) Base RI'!A314</f>
        <v>5928</v>
      </c>
      <c r="B318" s="147" t="str">
        <f>'A) Base RI'!B314</f>
        <v>Rovray</v>
      </c>
      <c r="C318" s="18">
        <f>'A) Base RI'!AN314</f>
        <v>165</v>
      </c>
      <c r="D318" s="61">
        <f>'C) Prél. conj.'!H312</f>
        <v>9010.3250000000007</v>
      </c>
      <c r="E318" s="25">
        <f>'D) Ecrêtage'!M312</f>
        <v>0</v>
      </c>
      <c r="F318" s="73">
        <f>$F$10*'D) Ecrêtage'!N312</f>
        <v>60743.053082791703</v>
      </c>
      <c r="G318" s="98">
        <f t="shared" si="5"/>
        <v>69753.378082791707</v>
      </c>
    </row>
    <row r="319" spans="1:7" x14ac:dyDescent="0.25">
      <c r="A319" s="82">
        <f>'A) Base RI'!A315</f>
        <v>5929</v>
      </c>
      <c r="B319" s="147" t="str">
        <f>'A) Base RI'!B315</f>
        <v>Suchy</v>
      </c>
      <c r="C319" s="18">
        <f>'A) Base RI'!AN315</f>
        <v>525</v>
      </c>
      <c r="D319" s="61">
        <f>'C) Prél. conj.'!H313</f>
        <v>11330.579999999998</v>
      </c>
      <c r="E319" s="25">
        <f>'D) Ecrêtage'!M313</f>
        <v>0</v>
      </c>
      <c r="F319" s="73">
        <f>$F$10*'D) Ecrêtage'!N313</f>
        <v>239100.00706818566</v>
      </c>
      <c r="G319" s="98">
        <f t="shared" si="5"/>
        <v>250430.58706818565</v>
      </c>
    </row>
    <row r="320" spans="1:7" x14ac:dyDescent="0.25">
      <c r="A320" s="82">
        <f>'A) Base RI'!A316</f>
        <v>5930</v>
      </c>
      <c r="B320" s="147" t="str">
        <f>'A) Base RI'!B316</f>
        <v>Suscévaz</v>
      </c>
      <c r="C320" s="18">
        <f>'A) Base RI'!AN316</f>
        <v>199</v>
      </c>
      <c r="D320" s="61">
        <f>'C) Prél. conj.'!H314</f>
        <v>72574.774999999994</v>
      </c>
      <c r="E320" s="25">
        <f>'D) Ecrêtage'!M314</f>
        <v>0</v>
      </c>
      <c r="F320" s="73">
        <f>$F$10*'D) Ecrêtage'!N314</f>
        <v>73536.221911953398</v>
      </c>
      <c r="G320" s="98">
        <f t="shared" si="5"/>
        <v>146110.99691195338</v>
      </c>
    </row>
    <row r="321" spans="1:13" x14ac:dyDescent="0.25">
      <c r="A321" s="82">
        <f>'A) Base RI'!A317</f>
        <v>5931</v>
      </c>
      <c r="B321" s="147" t="str">
        <f>'A) Base RI'!B317</f>
        <v>Treycovagnes</v>
      </c>
      <c r="C321" s="18">
        <f>'A) Base RI'!AN317</f>
        <v>471</v>
      </c>
      <c r="D321" s="61">
        <f>'C) Prél. conj.'!H315</f>
        <v>10529.25</v>
      </c>
      <c r="E321" s="25">
        <f>'D) Ecrêtage'!M315</f>
        <v>0</v>
      </c>
      <c r="F321" s="73">
        <f>$F$10*'D) Ecrêtage'!N315</f>
        <v>169661.54077412389</v>
      </c>
      <c r="G321" s="98">
        <f t="shared" si="5"/>
        <v>180190.79077412389</v>
      </c>
    </row>
    <row r="322" spans="1:13" x14ac:dyDescent="0.25">
      <c r="A322" s="82">
        <f>'A) Base RI'!A318</f>
        <v>5932</v>
      </c>
      <c r="B322" s="147" t="str">
        <f>'A) Base RI'!B318</f>
        <v>Ursins</v>
      </c>
      <c r="C322" s="18">
        <f>'A) Base RI'!AN318</f>
        <v>208</v>
      </c>
      <c r="D322" s="61">
        <f>'C) Prél. conj.'!H316</f>
        <v>-1385.1000000000004</v>
      </c>
      <c r="E322" s="25">
        <f>'D) Ecrêtage'!M316</f>
        <v>0</v>
      </c>
      <c r="F322" s="73">
        <f>$F$10*'D) Ecrêtage'!N316</f>
        <v>77733.909400204691</v>
      </c>
      <c r="G322" s="98">
        <f t="shared" si="5"/>
        <v>76348.809400204686</v>
      </c>
    </row>
    <row r="323" spans="1:13" x14ac:dyDescent="0.25">
      <c r="A323" s="82">
        <f>'A) Base RI'!A319</f>
        <v>5933</v>
      </c>
      <c r="B323" s="147" t="str">
        <f>'A) Base RI'!B319</f>
        <v>Valeyres-sous-Montagny</v>
      </c>
      <c r="C323" s="18">
        <f>'A) Base RI'!AN319</f>
        <v>642</v>
      </c>
      <c r="D323" s="61">
        <f>'C) Prél. conj.'!H317</f>
        <v>10963.805</v>
      </c>
      <c r="E323" s="25">
        <f>'D) Ecrêtage'!M317</f>
        <v>0</v>
      </c>
      <c r="F323" s="73">
        <f>$F$10*'D) Ecrêtage'!N317</f>
        <v>291459.57529459964</v>
      </c>
      <c r="G323" s="98">
        <f t="shared" si="5"/>
        <v>302423.38029459963</v>
      </c>
    </row>
    <row r="324" spans="1:13" x14ac:dyDescent="0.25">
      <c r="A324" s="82">
        <f>'A) Base RI'!A320</f>
        <v>5934</v>
      </c>
      <c r="B324" s="147" t="str">
        <f>'A) Base RI'!B320</f>
        <v>Valeyres-sous-Ursins</v>
      </c>
      <c r="C324" s="18">
        <f>'A) Base RI'!AN320</f>
        <v>241</v>
      </c>
      <c r="D324" s="61">
        <f>'C) Prél. conj.'!H318</f>
        <v>2758.47</v>
      </c>
      <c r="E324" s="25">
        <f>'D) Ecrêtage'!M318</f>
        <v>0</v>
      </c>
      <c r="F324" s="73">
        <f>$F$10*'D) Ecrêtage'!N318</f>
        <v>87901.223993284468</v>
      </c>
      <c r="G324" s="98">
        <f t="shared" si="5"/>
        <v>90659.693993284469</v>
      </c>
    </row>
    <row r="325" spans="1:13" x14ac:dyDescent="0.25">
      <c r="A325" s="82">
        <f>'A) Base RI'!A321</f>
        <v>5935</v>
      </c>
      <c r="B325" s="147" t="str">
        <f>'A) Base RI'!B321</f>
        <v>Villars-Epeney</v>
      </c>
      <c r="C325" s="18">
        <f>'A) Base RI'!AN321</f>
        <v>89</v>
      </c>
      <c r="D325" s="61">
        <f>'C) Prél. conj.'!H319</f>
        <v>15308.75</v>
      </c>
      <c r="E325" s="25">
        <f>'D) Ecrêtage'!M319</f>
        <v>0</v>
      </c>
      <c r="F325" s="73">
        <f>$F$10*'D) Ecrêtage'!N319</f>
        <v>58863.798690808835</v>
      </c>
      <c r="G325" s="98">
        <f t="shared" si="5"/>
        <v>74172.548690808835</v>
      </c>
    </row>
    <row r="326" spans="1:13" x14ac:dyDescent="0.25">
      <c r="A326" s="82">
        <f>'A) Base RI'!A322</f>
        <v>5937</v>
      </c>
      <c r="B326" s="147" t="str">
        <f>'A) Base RI'!B322</f>
        <v>Vugelles-La Mothe</v>
      </c>
      <c r="C326" s="18">
        <f>'A) Base RI'!AN322</f>
        <v>137</v>
      </c>
      <c r="D326" s="61">
        <f>'C) Prél. conj.'!H320</f>
        <v>12118.375</v>
      </c>
      <c r="E326" s="25">
        <f>'D) Ecrêtage'!M320</f>
        <v>0</v>
      </c>
      <c r="F326" s="73">
        <f>$F$10*'D) Ecrêtage'!N320</f>
        <v>30733.04706290234</v>
      </c>
      <c r="G326" s="98">
        <f t="shared" si="5"/>
        <v>42851.42206290234</v>
      </c>
    </row>
    <row r="327" spans="1:13" x14ac:dyDescent="0.25">
      <c r="A327" s="82">
        <f>'A) Base RI'!A323</f>
        <v>5938</v>
      </c>
      <c r="B327" s="147" t="str">
        <f>'A) Base RI'!B323</f>
        <v>Yverdon-les-Bains</v>
      </c>
      <c r="C327" s="18">
        <f>'A) Base RI'!AN323</f>
        <v>28972</v>
      </c>
      <c r="D327" s="61">
        <f>'C) Prél. conj.'!H321</f>
        <v>3167483.27</v>
      </c>
      <c r="E327" s="25">
        <f>'D) Ecrêtage'!M321</f>
        <v>0</v>
      </c>
      <c r="F327" s="73">
        <f>$F$10*'D) Ecrêtage'!N321</f>
        <v>11191324.409324441</v>
      </c>
      <c r="G327" s="98">
        <f t="shared" si="5"/>
        <v>14358807.679324441</v>
      </c>
    </row>
    <row r="328" spans="1:13" x14ac:dyDescent="0.25">
      <c r="A328" s="84">
        <f>'A) Base RI'!A324</f>
        <v>5939</v>
      </c>
      <c r="B328" s="148" t="str">
        <f>'A) Base RI'!B324</f>
        <v>Yvonand</v>
      </c>
      <c r="C328" s="43">
        <f>'A) Base RI'!AN324</f>
        <v>3095</v>
      </c>
      <c r="D328" s="61">
        <f>'C) Prél. conj.'!H322</f>
        <v>418188.04499999998</v>
      </c>
      <c r="E328" s="127">
        <f>'D) Ecrêtage'!M322</f>
        <v>0</v>
      </c>
      <c r="F328" s="126">
        <f>$F$10*'D) Ecrêtage'!N322</f>
        <v>1202709.4213936601</v>
      </c>
      <c r="G328" s="172">
        <f t="shared" si="5"/>
        <v>1620897.4663936601</v>
      </c>
    </row>
    <row r="329" spans="1:13" x14ac:dyDescent="0.25">
      <c r="A329" s="60"/>
      <c r="B329" s="99">
        <f>COUNTA(B11:B328)</f>
        <v>318</v>
      </c>
      <c r="C329" s="126">
        <f>SUM(C11:C328)</f>
        <v>755369</v>
      </c>
      <c r="D329" s="21">
        <f>SUM(D11:D328)</f>
        <v>121553446.41499998</v>
      </c>
      <c r="E329" s="129">
        <f>SUM(E11:E328)</f>
        <v>92573132.113626584</v>
      </c>
      <c r="F329" s="128">
        <f>SUM(F11:F328)</f>
        <v>489810021.13137358</v>
      </c>
      <c r="G329" s="67">
        <f>SUM(G11:G328)</f>
        <v>703936599.65999973</v>
      </c>
    </row>
    <row r="330" spans="1:13" x14ac:dyDescent="0.25">
      <c r="C330" s="130"/>
      <c r="D330" s="130"/>
      <c r="E330" s="130"/>
      <c r="F330" s="130"/>
    </row>
    <row r="331" spans="1:13" x14ac:dyDescent="0.25">
      <c r="A331" s="131"/>
      <c r="B331" s="132"/>
      <c r="C331" s="132"/>
      <c r="D331" s="77"/>
      <c r="E331" s="133"/>
      <c r="F331" s="29"/>
      <c r="G331" s="29"/>
      <c r="H331" s="29"/>
      <c r="I331" s="29"/>
      <c r="J331" s="29"/>
      <c r="M331" s="29"/>
    </row>
    <row r="332" spans="1:13" x14ac:dyDescent="0.25">
      <c r="F332" s="131"/>
      <c r="G332" s="131"/>
      <c r="H332" s="131"/>
      <c r="I332" s="131"/>
      <c r="J332" s="131"/>
      <c r="K332" s="131"/>
      <c r="L332" s="132"/>
      <c r="M332" s="131"/>
    </row>
    <row r="333" spans="1:13" x14ac:dyDescent="0.25">
      <c r="F333" s="132"/>
      <c r="G333" s="131"/>
      <c r="H333" s="131"/>
      <c r="I333" s="131"/>
      <c r="J333" s="131"/>
      <c r="K333" s="131"/>
      <c r="L333" s="131"/>
      <c r="M333" s="131"/>
    </row>
    <row r="334" spans="1:13" x14ac:dyDescent="0.25">
      <c r="F334" s="132"/>
      <c r="G334" s="131"/>
      <c r="H334" s="131"/>
      <c r="I334" s="131"/>
      <c r="M334" s="131"/>
    </row>
    <row r="335" spans="1:13" x14ac:dyDescent="0.25">
      <c r="F335" s="132"/>
      <c r="G335" s="131"/>
      <c r="H335" s="131"/>
      <c r="I335" s="131"/>
      <c r="M335" s="131"/>
    </row>
    <row r="336" spans="1:13" x14ac:dyDescent="0.25">
      <c r="F336" s="144"/>
      <c r="G336" s="131"/>
      <c r="H336" s="131"/>
      <c r="I336" s="131"/>
      <c r="M336" s="131"/>
    </row>
    <row r="337" spans="3:13" x14ac:dyDescent="0.25">
      <c r="D337" s="39"/>
      <c r="E337" s="131"/>
      <c r="F337" s="131"/>
      <c r="G337" s="131"/>
      <c r="H337" s="131"/>
      <c r="I337" s="131"/>
      <c r="J337" s="131"/>
      <c r="K337" s="131"/>
      <c r="L337" s="131"/>
      <c r="M337" s="131"/>
    </row>
    <row r="338" spans="3:13" x14ac:dyDescent="0.25">
      <c r="C338" s="103"/>
      <c r="E338" s="131"/>
      <c r="F338" s="131"/>
      <c r="G338" s="131"/>
      <c r="H338" s="131"/>
      <c r="I338" s="131"/>
      <c r="J338" s="131"/>
      <c r="K338" s="131"/>
      <c r="L338" s="131"/>
      <c r="M338" s="131"/>
    </row>
    <row r="339" spans="3:13" x14ac:dyDescent="0.25">
      <c r="E339" s="131"/>
      <c r="F339" s="131"/>
      <c r="G339" s="131"/>
      <c r="H339" s="131"/>
      <c r="I339" s="131"/>
      <c r="J339" s="131"/>
      <c r="M339" s="131"/>
    </row>
    <row r="340" spans="3:13" x14ac:dyDescent="0.25">
      <c r="E340" s="131"/>
      <c r="F340" s="131"/>
      <c r="G340" s="131"/>
      <c r="H340" s="131"/>
      <c r="I340" s="131"/>
      <c r="J340" s="131"/>
      <c r="M340" s="131"/>
    </row>
    <row r="341" spans="3:13" x14ac:dyDescent="0.25">
      <c r="E341" s="131"/>
      <c r="F341" s="131"/>
      <c r="G341" s="131"/>
      <c r="H341" s="131"/>
      <c r="I341" s="131"/>
      <c r="J341" s="131"/>
      <c r="M341" s="131"/>
    </row>
  </sheetData>
  <sheetProtection sheet="1" objects="1" scenarios="1"/>
  <mergeCells count="7">
    <mergeCell ref="A3:C3"/>
    <mergeCell ref="A9:A10"/>
    <mergeCell ref="G9:G10"/>
    <mergeCell ref="E9:E10"/>
    <mergeCell ref="D9:D10"/>
    <mergeCell ref="C9:C10"/>
    <mergeCell ref="B9:B10"/>
  </mergeCells>
  <phoneticPr fontId="0" type="noConversion"/>
  <printOptions horizontalCentered="1"/>
  <pageMargins left="0" right="0" top="0" bottom="0" header="0.51181102362204722" footer="0.51181102362204722"/>
  <pageSetup paperSize="9" scale="73"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37"/>
  <sheetViews>
    <sheetView workbookViewId="0"/>
  </sheetViews>
  <sheetFormatPr baseColWidth="10" defaultColWidth="11" defaultRowHeight="15" x14ac:dyDescent="0.25"/>
  <cols>
    <col min="1" max="1" width="7.25" style="24" customWidth="1"/>
    <col min="2" max="2" width="17.375" style="24" bestFit="1" customWidth="1"/>
    <col min="3" max="3" width="9.25" style="24" customWidth="1"/>
    <col min="4" max="9" width="11" style="24"/>
    <col min="10" max="10" width="8.25" style="24" bestFit="1" customWidth="1"/>
    <col min="11" max="11" width="10.75" style="24" bestFit="1" customWidth="1"/>
    <col min="12" max="16384" width="11" style="24"/>
  </cols>
  <sheetData>
    <row r="1" spans="1:12" ht="21" x14ac:dyDescent="0.25">
      <c r="A1" s="86" t="s">
        <v>525</v>
      </c>
      <c r="B1" s="74"/>
      <c r="C1" s="123"/>
    </row>
    <row r="2" spans="1:12" x14ac:dyDescent="0.25">
      <c r="A2" s="57"/>
      <c r="B2" s="89"/>
    </row>
    <row r="3" spans="1:12" x14ac:dyDescent="0.25">
      <c r="A3" s="57"/>
      <c r="B3" s="89"/>
      <c r="C3" s="456" t="s">
        <v>355</v>
      </c>
      <c r="D3" s="457"/>
      <c r="E3" s="457"/>
      <c r="F3" s="457"/>
      <c r="G3" s="457"/>
      <c r="H3" s="457"/>
      <c r="I3" s="457"/>
      <c r="J3" s="458"/>
    </row>
    <row r="4" spans="1:12" x14ac:dyDescent="0.25">
      <c r="C4" s="179" t="s">
        <v>354</v>
      </c>
      <c r="D4" s="173">
        <f>Paramètres!B20</f>
        <v>0</v>
      </c>
      <c r="E4" s="173">
        <f>Paramètres!C20</f>
        <v>1000</v>
      </c>
      <c r="F4" s="173">
        <f>Paramètres!D20</f>
        <v>3000</v>
      </c>
      <c r="G4" s="173">
        <f>Paramètres!E20</f>
        <v>5000</v>
      </c>
      <c r="H4" s="173">
        <f>Paramètres!F20</f>
        <v>9000</v>
      </c>
      <c r="I4" s="173">
        <f>Paramètres!G20</f>
        <v>12000</v>
      </c>
      <c r="J4" s="173">
        <f>Paramètres!H20</f>
        <v>15000</v>
      </c>
    </row>
    <row r="5" spans="1:12" x14ac:dyDescent="0.25">
      <c r="C5" s="180" t="s">
        <v>356</v>
      </c>
      <c r="D5" s="173">
        <f>Paramètres!B21</f>
        <v>1000</v>
      </c>
      <c r="E5" s="173">
        <f>Paramètres!C21</f>
        <v>3000</v>
      </c>
      <c r="F5" s="173">
        <f>Paramètres!D21</f>
        <v>5000</v>
      </c>
      <c r="G5" s="173">
        <f>Paramètres!E21</f>
        <v>9000</v>
      </c>
      <c r="H5" s="173">
        <f>Paramètres!F21</f>
        <v>12000</v>
      </c>
      <c r="I5" s="173">
        <f>Paramètres!G21</f>
        <v>15000</v>
      </c>
      <c r="J5" s="173"/>
    </row>
    <row r="6" spans="1:12" ht="30" customHeight="1" x14ac:dyDescent="0.25">
      <c r="A6" s="435" t="s">
        <v>53</v>
      </c>
      <c r="B6" s="435" t="s">
        <v>123</v>
      </c>
      <c r="C6" s="435" t="s">
        <v>350</v>
      </c>
      <c r="D6" s="445" t="s">
        <v>357</v>
      </c>
      <c r="E6" s="446"/>
      <c r="F6" s="446"/>
      <c r="G6" s="446"/>
      <c r="H6" s="446"/>
      <c r="I6" s="446"/>
      <c r="J6" s="447"/>
      <c r="K6" s="435" t="s">
        <v>341</v>
      </c>
    </row>
    <row r="7" spans="1:12" x14ac:dyDescent="0.25">
      <c r="A7" s="437"/>
      <c r="B7" s="437"/>
      <c r="C7" s="437"/>
      <c r="D7" s="176">
        <f>Paramètres!B25</f>
        <v>100</v>
      </c>
      <c r="E7" s="176">
        <f>Paramètres!C25</f>
        <v>350</v>
      </c>
      <c r="F7" s="176">
        <f>Paramètres!D25</f>
        <v>500</v>
      </c>
      <c r="G7" s="176">
        <f>Paramètres!E25</f>
        <v>600</v>
      </c>
      <c r="H7" s="176">
        <f>Paramètres!F25</f>
        <v>850</v>
      </c>
      <c r="I7" s="176">
        <f>Paramètres!G25</f>
        <v>1000</v>
      </c>
      <c r="J7" s="181">
        <f>Paramètres!H25</f>
        <v>1050</v>
      </c>
      <c r="K7" s="436"/>
    </row>
    <row r="8" spans="1:12" x14ac:dyDescent="0.25">
      <c r="A8" s="78">
        <f>'A) Base RI'!A7</f>
        <v>5401</v>
      </c>
      <c r="B8" s="79" t="str">
        <f>'A) Base RI'!B7</f>
        <v>Aigle</v>
      </c>
      <c r="C8" s="90">
        <f>'A) Base RI'!AN7</f>
        <v>9771</v>
      </c>
      <c r="D8" s="149">
        <f>IF($C8&gt;D$4,IF($C8&lt;D$5,$C8-D$4,D$5-D$4),0)</f>
        <v>1000</v>
      </c>
      <c r="E8" s="90">
        <f t="shared" ref="E8:I23" si="0">IF($C8&gt;E$4,IF($C8&lt;E$5,$C8-E$4,E$5-E$4),0)</f>
        <v>2000</v>
      </c>
      <c r="F8" s="90">
        <f t="shared" si="0"/>
        <v>2000</v>
      </c>
      <c r="G8" s="90">
        <f t="shared" si="0"/>
        <v>4000</v>
      </c>
      <c r="H8" s="90">
        <f t="shared" si="0"/>
        <v>771</v>
      </c>
      <c r="I8" s="124">
        <f t="shared" si="0"/>
        <v>0</v>
      </c>
      <c r="J8" s="90">
        <f>IF(C8&gt;$J$4,C8-$J$4,0)</f>
        <v>0</v>
      </c>
      <c r="K8" s="171">
        <f>(D8*D$7)+(E8*E$7)+(F8*F$7)+(G8*G$7)+(H8*H$7)+(I8*I$7)+(J8*J$7)</f>
        <v>4855350</v>
      </c>
    </row>
    <row r="9" spans="1:12" x14ac:dyDescent="0.25">
      <c r="A9" s="82">
        <f>'A) Base RI'!A8</f>
        <v>5402</v>
      </c>
      <c r="B9" s="62" t="str">
        <f>'A) Base RI'!B8</f>
        <v>Bex</v>
      </c>
      <c r="C9" s="18">
        <f>'A) Base RI'!AN8</f>
        <v>7007</v>
      </c>
      <c r="D9" s="61">
        <f t="shared" ref="D9:I50" si="1">IF($C9&gt;D$4,IF($C9&lt;D$5,$C9-D$4,D$5-D$4),0)</f>
        <v>1000</v>
      </c>
      <c r="E9" s="18">
        <f t="shared" si="0"/>
        <v>2000</v>
      </c>
      <c r="F9" s="18">
        <f t="shared" si="0"/>
        <v>2000</v>
      </c>
      <c r="G9" s="18">
        <f t="shared" si="0"/>
        <v>2007</v>
      </c>
      <c r="H9" s="18">
        <f t="shared" si="0"/>
        <v>0</v>
      </c>
      <c r="I9" s="73">
        <f t="shared" si="0"/>
        <v>0</v>
      </c>
      <c r="J9" s="18">
        <f t="shared" ref="J9:J72" si="2">IF(C9&gt;$J$4,C9-$J$4,0)</f>
        <v>0</v>
      </c>
      <c r="K9" s="98">
        <f t="shared" ref="K9:K72" si="3">(D9*D$7)+(E9*E$7)+(F9*F$7)+(G9*G$7)+(H9*H$7)+(I9*I$7)+(J9*J$7)</f>
        <v>3004200</v>
      </c>
    </row>
    <row r="10" spans="1:12" x14ac:dyDescent="0.25">
      <c r="A10" s="82">
        <f>'A) Base RI'!A9</f>
        <v>5403</v>
      </c>
      <c r="B10" s="62" t="str">
        <f>'A) Base RI'!B9</f>
        <v>Chessel</v>
      </c>
      <c r="C10" s="18">
        <f>'A) Base RI'!AN9</f>
        <v>362</v>
      </c>
      <c r="D10" s="61">
        <f t="shared" si="1"/>
        <v>362</v>
      </c>
      <c r="E10" s="18">
        <f t="shared" si="0"/>
        <v>0</v>
      </c>
      <c r="F10" s="18">
        <f t="shared" si="0"/>
        <v>0</v>
      </c>
      <c r="G10" s="18">
        <f t="shared" si="0"/>
        <v>0</v>
      </c>
      <c r="H10" s="18">
        <f t="shared" si="0"/>
        <v>0</v>
      </c>
      <c r="I10" s="73">
        <f t="shared" si="0"/>
        <v>0</v>
      </c>
      <c r="J10" s="18">
        <f t="shared" si="2"/>
        <v>0</v>
      </c>
      <c r="K10" s="98">
        <f t="shared" si="3"/>
        <v>36200</v>
      </c>
    </row>
    <row r="11" spans="1:12" x14ac:dyDescent="0.25">
      <c r="A11" s="82">
        <f>'A) Base RI'!A10</f>
        <v>5404</v>
      </c>
      <c r="B11" s="62" t="str">
        <f>'A) Base RI'!B10</f>
        <v>Corbeyrier</v>
      </c>
      <c r="C11" s="18">
        <f>'A) Base RI'!AN10</f>
        <v>421</v>
      </c>
      <c r="D11" s="61">
        <f t="shared" si="1"/>
        <v>421</v>
      </c>
      <c r="E11" s="18">
        <f t="shared" si="0"/>
        <v>0</v>
      </c>
      <c r="F11" s="18">
        <f t="shared" si="0"/>
        <v>0</v>
      </c>
      <c r="G11" s="18">
        <f t="shared" si="0"/>
        <v>0</v>
      </c>
      <c r="H11" s="18">
        <f t="shared" si="0"/>
        <v>0</v>
      </c>
      <c r="I11" s="73">
        <f t="shared" si="0"/>
        <v>0</v>
      </c>
      <c r="J11" s="18">
        <f t="shared" si="2"/>
        <v>0</v>
      </c>
      <c r="K11" s="98">
        <f t="shared" si="3"/>
        <v>42100</v>
      </c>
    </row>
    <row r="12" spans="1:12" x14ac:dyDescent="0.25">
      <c r="A12" s="82">
        <f>'A) Base RI'!A11</f>
        <v>5405</v>
      </c>
      <c r="B12" s="62" t="str">
        <f>'A) Base RI'!B11</f>
        <v>Gryon</v>
      </c>
      <c r="C12" s="18">
        <f>'A) Base RI'!AN11</f>
        <v>1248</v>
      </c>
      <c r="D12" s="61">
        <f t="shared" si="1"/>
        <v>1000</v>
      </c>
      <c r="E12" s="18">
        <f t="shared" si="0"/>
        <v>248</v>
      </c>
      <c r="F12" s="18">
        <f t="shared" si="0"/>
        <v>0</v>
      </c>
      <c r="G12" s="18">
        <f t="shared" si="0"/>
        <v>0</v>
      </c>
      <c r="H12" s="18">
        <f t="shared" si="0"/>
        <v>0</v>
      </c>
      <c r="I12" s="73">
        <f t="shared" si="0"/>
        <v>0</v>
      </c>
      <c r="J12" s="18">
        <f t="shared" si="2"/>
        <v>0</v>
      </c>
      <c r="K12" s="98">
        <f t="shared" si="3"/>
        <v>186800</v>
      </c>
    </row>
    <row r="13" spans="1:12" x14ac:dyDescent="0.25">
      <c r="A13" s="82">
        <f>'A) Base RI'!A12</f>
        <v>5406</v>
      </c>
      <c r="B13" s="62" t="str">
        <f>'A) Base RI'!B12</f>
        <v>Lavey-Morcles</v>
      </c>
      <c r="C13" s="18">
        <f>'A) Base RI'!AN12</f>
        <v>885</v>
      </c>
      <c r="D13" s="61">
        <f t="shared" si="1"/>
        <v>885</v>
      </c>
      <c r="E13" s="18">
        <f t="shared" si="0"/>
        <v>0</v>
      </c>
      <c r="F13" s="18">
        <f t="shared" si="0"/>
        <v>0</v>
      </c>
      <c r="G13" s="18">
        <f t="shared" si="0"/>
        <v>0</v>
      </c>
      <c r="H13" s="18">
        <f t="shared" si="0"/>
        <v>0</v>
      </c>
      <c r="I13" s="73">
        <f t="shared" si="0"/>
        <v>0</v>
      </c>
      <c r="J13" s="18">
        <f t="shared" si="2"/>
        <v>0</v>
      </c>
      <c r="K13" s="98">
        <f t="shared" si="3"/>
        <v>88500</v>
      </c>
    </row>
    <row r="14" spans="1:12" x14ac:dyDescent="0.25">
      <c r="A14" s="82">
        <f>'A) Base RI'!A13</f>
        <v>5407</v>
      </c>
      <c r="B14" s="62" t="str">
        <f>'A) Base RI'!B13</f>
        <v>Leysin</v>
      </c>
      <c r="C14" s="18">
        <f>'A) Base RI'!AN13</f>
        <v>4050</v>
      </c>
      <c r="D14" s="61">
        <f t="shared" si="1"/>
        <v>1000</v>
      </c>
      <c r="E14" s="18">
        <f t="shared" si="0"/>
        <v>2000</v>
      </c>
      <c r="F14" s="18">
        <f t="shared" si="0"/>
        <v>1050</v>
      </c>
      <c r="G14" s="18">
        <f t="shared" si="0"/>
        <v>0</v>
      </c>
      <c r="H14" s="18">
        <f t="shared" si="0"/>
        <v>0</v>
      </c>
      <c r="I14" s="73">
        <f t="shared" si="0"/>
        <v>0</v>
      </c>
      <c r="J14" s="18">
        <f t="shared" si="2"/>
        <v>0</v>
      </c>
      <c r="K14" s="98">
        <f t="shared" si="3"/>
        <v>1325000</v>
      </c>
      <c r="L14" s="23"/>
    </row>
    <row r="15" spans="1:12" x14ac:dyDescent="0.25">
      <c r="A15" s="82">
        <f>'A) Base RI'!A14</f>
        <v>5408</v>
      </c>
      <c r="B15" s="62" t="str">
        <f>'A) Base RI'!B14</f>
        <v>Noville</v>
      </c>
      <c r="C15" s="18">
        <f>'A) Base RI'!AN14</f>
        <v>971</v>
      </c>
      <c r="D15" s="61">
        <f t="shared" si="1"/>
        <v>971</v>
      </c>
      <c r="E15" s="18">
        <f t="shared" si="0"/>
        <v>0</v>
      </c>
      <c r="F15" s="18">
        <f t="shared" si="0"/>
        <v>0</v>
      </c>
      <c r="G15" s="18">
        <f t="shared" si="0"/>
        <v>0</v>
      </c>
      <c r="H15" s="18">
        <f t="shared" si="0"/>
        <v>0</v>
      </c>
      <c r="I15" s="73">
        <f t="shared" si="0"/>
        <v>0</v>
      </c>
      <c r="J15" s="18">
        <f t="shared" si="2"/>
        <v>0</v>
      </c>
      <c r="K15" s="98">
        <f t="shared" si="3"/>
        <v>97100</v>
      </c>
    </row>
    <row r="16" spans="1:12" x14ac:dyDescent="0.25">
      <c r="A16" s="82">
        <f>'A) Base RI'!A15</f>
        <v>5409</v>
      </c>
      <c r="B16" s="62" t="str">
        <f>'A) Base RI'!B15</f>
        <v>Ollon</v>
      </c>
      <c r="C16" s="18">
        <f>'A) Base RI'!AN15</f>
        <v>7152</v>
      </c>
      <c r="D16" s="61">
        <f t="shared" si="1"/>
        <v>1000</v>
      </c>
      <c r="E16" s="18">
        <f t="shared" si="0"/>
        <v>2000</v>
      </c>
      <c r="F16" s="18">
        <f t="shared" si="0"/>
        <v>2000</v>
      </c>
      <c r="G16" s="18">
        <f t="shared" si="0"/>
        <v>2152</v>
      </c>
      <c r="H16" s="18">
        <f t="shared" si="0"/>
        <v>0</v>
      </c>
      <c r="I16" s="73">
        <f t="shared" si="0"/>
        <v>0</v>
      </c>
      <c r="J16" s="18">
        <f t="shared" si="2"/>
        <v>0</v>
      </c>
      <c r="K16" s="98">
        <f t="shared" si="3"/>
        <v>3091200</v>
      </c>
    </row>
    <row r="17" spans="1:11" x14ac:dyDescent="0.25">
      <c r="A17" s="82">
        <f>'A) Base RI'!A16</f>
        <v>5410</v>
      </c>
      <c r="B17" s="62" t="str">
        <f>'A) Base RI'!B16</f>
        <v>Ormont-Dessous</v>
      </c>
      <c r="C17" s="18">
        <f>'A) Base RI'!AN16</f>
        <v>1072</v>
      </c>
      <c r="D17" s="61">
        <f t="shared" si="1"/>
        <v>1000</v>
      </c>
      <c r="E17" s="18">
        <f t="shared" si="0"/>
        <v>72</v>
      </c>
      <c r="F17" s="18">
        <f t="shared" si="0"/>
        <v>0</v>
      </c>
      <c r="G17" s="18">
        <f t="shared" si="0"/>
        <v>0</v>
      </c>
      <c r="H17" s="18">
        <f t="shared" si="0"/>
        <v>0</v>
      </c>
      <c r="I17" s="73">
        <f t="shared" si="0"/>
        <v>0</v>
      </c>
      <c r="J17" s="18">
        <f t="shared" si="2"/>
        <v>0</v>
      </c>
      <c r="K17" s="98">
        <f t="shared" si="3"/>
        <v>125200</v>
      </c>
    </row>
    <row r="18" spans="1:11" x14ac:dyDescent="0.25">
      <c r="A18" s="82">
        <f>'A) Base RI'!A17</f>
        <v>5411</v>
      </c>
      <c r="B18" s="62" t="str">
        <f>'A) Base RI'!B17</f>
        <v>Ormont-Dessus</v>
      </c>
      <c r="C18" s="18">
        <f>'A) Base RI'!AN17</f>
        <v>1457</v>
      </c>
      <c r="D18" s="61">
        <f t="shared" si="1"/>
        <v>1000</v>
      </c>
      <c r="E18" s="18">
        <f t="shared" si="0"/>
        <v>457</v>
      </c>
      <c r="F18" s="18">
        <f t="shared" si="0"/>
        <v>0</v>
      </c>
      <c r="G18" s="18">
        <f t="shared" si="0"/>
        <v>0</v>
      </c>
      <c r="H18" s="18">
        <f t="shared" si="0"/>
        <v>0</v>
      </c>
      <c r="I18" s="73">
        <f t="shared" si="0"/>
        <v>0</v>
      </c>
      <c r="J18" s="18">
        <f t="shared" si="2"/>
        <v>0</v>
      </c>
      <c r="K18" s="98">
        <f t="shared" si="3"/>
        <v>259950</v>
      </c>
    </row>
    <row r="19" spans="1:11" x14ac:dyDescent="0.25">
      <c r="A19" s="82">
        <f>'A) Base RI'!A18</f>
        <v>5412</v>
      </c>
      <c r="B19" s="62" t="str">
        <f>'A) Base RI'!B18</f>
        <v>Rennaz</v>
      </c>
      <c r="C19" s="18">
        <f>'A) Base RI'!AN18</f>
        <v>802</v>
      </c>
      <c r="D19" s="61">
        <f t="shared" si="1"/>
        <v>802</v>
      </c>
      <c r="E19" s="18">
        <f t="shared" si="0"/>
        <v>0</v>
      </c>
      <c r="F19" s="18">
        <f t="shared" si="0"/>
        <v>0</v>
      </c>
      <c r="G19" s="18">
        <f t="shared" si="0"/>
        <v>0</v>
      </c>
      <c r="H19" s="18">
        <f t="shared" si="0"/>
        <v>0</v>
      </c>
      <c r="I19" s="73">
        <f t="shared" si="0"/>
        <v>0</v>
      </c>
      <c r="J19" s="18">
        <f t="shared" si="2"/>
        <v>0</v>
      </c>
      <c r="K19" s="98">
        <f t="shared" si="3"/>
        <v>80200</v>
      </c>
    </row>
    <row r="20" spans="1:11" x14ac:dyDescent="0.25">
      <c r="A20" s="82">
        <f>'A) Base RI'!A19</f>
        <v>5413</v>
      </c>
      <c r="B20" s="62" t="str">
        <f>'A) Base RI'!B19</f>
        <v>Roche</v>
      </c>
      <c r="C20" s="18">
        <f>'A) Base RI'!AN19</f>
        <v>1499</v>
      </c>
      <c r="D20" s="61">
        <f t="shared" si="1"/>
        <v>1000</v>
      </c>
      <c r="E20" s="18">
        <f t="shared" si="0"/>
        <v>499</v>
      </c>
      <c r="F20" s="18">
        <f t="shared" si="0"/>
        <v>0</v>
      </c>
      <c r="G20" s="18">
        <f t="shared" si="0"/>
        <v>0</v>
      </c>
      <c r="H20" s="18">
        <f t="shared" si="0"/>
        <v>0</v>
      </c>
      <c r="I20" s="73">
        <f t="shared" si="0"/>
        <v>0</v>
      </c>
      <c r="J20" s="18">
        <f t="shared" si="2"/>
        <v>0</v>
      </c>
      <c r="K20" s="98">
        <f t="shared" si="3"/>
        <v>274650</v>
      </c>
    </row>
    <row r="21" spans="1:11" x14ac:dyDescent="0.25">
      <c r="A21" s="82">
        <f>'A) Base RI'!A20</f>
        <v>5414</v>
      </c>
      <c r="B21" s="62" t="str">
        <f>'A) Base RI'!B20</f>
        <v>Villeneuve</v>
      </c>
      <c r="C21" s="18">
        <f>'A) Base RI'!AN20</f>
        <v>5188</v>
      </c>
      <c r="D21" s="61">
        <f t="shared" si="1"/>
        <v>1000</v>
      </c>
      <c r="E21" s="18">
        <f t="shared" si="0"/>
        <v>2000</v>
      </c>
      <c r="F21" s="18">
        <f t="shared" si="0"/>
        <v>2000</v>
      </c>
      <c r="G21" s="18">
        <f t="shared" si="0"/>
        <v>188</v>
      </c>
      <c r="H21" s="18">
        <f t="shared" si="0"/>
        <v>0</v>
      </c>
      <c r="I21" s="73">
        <f t="shared" si="0"/>
        <v>0</v>
      </c>
      <c r="J21" s="18">
        <f t="shared" si="2"/>
        <v>0</v>
      </c>
      <c r="K21" s="98">
        <f t="shared" si="3"/>
        <v>1912800</v>
      </c>
    </row>
    <row r="22" spans="1:11" x14ac:dyDescent="0.25">
      <c r="A22" s="82">
        <f>'A) Base RI'!A21</f>
        <v>5415</v>
      </c>
      <c r="B22" s="62" t="str">
        <f>'A) Base RI'!B21</f>
        <v>Yvorne</v>
      </c>
      <c r="C22" s="18">
        <f>'A) Base RI'!AN21</f>
        <v>1039</v>
      </c>
      <c r="D22" s="61">
        <f t="shared" si="1"/>
        <v>1000</v>
      </c>
      <c r="E22" s="18">
        <f t="shared" si="0"/>
        <v>39</v>
      </c>
      <c r="F22" s="18">
        <f t="shared" si="0"/>
        <v>0</v>
      </c>
      <c r="G22" s="18">
        <f t="shared" si="0"/>
        <v>0</v>
      </c>
      <c r="H22" s="18">
        <f t="shared" si="0"/>
        <v>0</v>
      </c>
      <c r="I22" s="73">
        <f t="shared" si="0"/>
        <v>0</v>
      </c>
      <c r="J22" s="18">
        <f t="shared" si="2"/>
        <v>0</v>
      </c>
      <c r="K22" s="98">
        <f t="shared" si="3"/>
        <v>113650</v>
      </c>
    </row>
    <row r="23" spans="1:11" x14ac:dyDescent="0.25">
      <c r="A23" s="82">
        <f>'A) Base RI'!A22</f>
        <v>5421</v>
      </c>
      <c r="B23" s="62" t="str">
        <f>'A) Base RI'!B22</f>
        <v>Apples</v>
      </c>
      <c r="C23" s="18">
        <f>'A) Base RI'!AN22</f>
        <v>1341</v>
      </c>
      <c r="D23" s="61">
        <f t="shared" si="1"/>
        <v>1000</v>
      </c>
      <c r="E23" s="18">
        <f t="shared" si="0"/>
        <v>341</v>
      </c>
      <c r="F23" s="18">
        <f t="shared" si="0"/>
        <v>0</v>
      </c>
      <c r="G23" s="18">
        <f t="shared" si="0"/>
        <v>0</v>
      </c>
      <c r="H23" s="18">
        <f t="shared" si="0"/>
        <v>0</v>
      </c>
      <c r="I23" s="73">
        <f t="shared" si="0"/>
        <v>0</v>
      </c>
      <c r="J23" s="18">
        <f t="shared" si="2"/>
        <v>0</v>
      </c>
      <c r="K23" s="98">
        <f t="shared" si="3"/>
        <v>219350</v>
      </c>
    </row>
    <row r="24" spans="1:11" x14ac:dyDescent="0.25">
      <c r="A24" s="82">
        <f>'A) Base RI'!A23</f>
        <v>5422</v>
      </c>
      <c r="B24" s="62" t="str">
        <f>'A) Base RI'!B23</f>
        <v>Aubonne</v>
      </c>
      <c r="C24" s="18">
        <f>'A) Base RI'!AN23</f>
        <v>3051</v>
      </c>
      <c r="D24" s="61">
        <f t="shared" si="1"/>
        <v>1000</v>
      </c>
      <c r="E24" s="18">
        <f t="shared" si="1"/>
        <v>2000</v>
      </c>
      <c r="F24" s="18">
        <f t="shared" si="1"/>
        <v>51</v>
      </c>
      <c r="G24" s="18">
        <f t="shared" si="1"/>
        <v>0</v>
      </c>
      <c r="H24" s="18">
        <f t="shared" si="1"/>
        <v>0</v>
      </c>
      <c r="I24" s="73">
        <f t="shared" si="1"/>
        <v>0</v>
      </c>
      <c r="J24" s="18">
        <f t="shared" si="2"/>
        <v>0</v>
      </c>
      <c r="K24" s="98">
        <f t="shared" si="3"/>
        <v>825500</v>
      </c>
    </row>
    <row r="25" spans="1:11" x14ac:dyDescent="0.25">
      <c r="A25" s="82">
        <f>'A) Base RI'!A24</f>
        <v>5423</v>
      </c>
      <c r="B25" s="62" t="str">
        <f>'A) Base RI'!B24</f>
        <v>Ballens</v>
      </c>
      <c r="C25" s="18">
        <f>'A) Base RI'!AN24</f>
        <v>507</v>
      </c>
      <c r="D25" s="61">
        <f t="shared" si="1"/>
        <v>507</v>
      </c>
      <c r="E25" s="18">
        <f t="shared" si="1"/>
        <v>0</v>
      </c>
      <c r="F25" s="18">
        <f t="shared" si="1"/>
        <v>0</v>
      </c>
      <c r="G25" s="18">
        <f t="shared" si="1"/>
        <v>0</v>
      </c>
      <c r="H25" s="18">
        <f t="shared" si="1"/>
        <v>0</v>
      </c>
      <c r="I25" s="73">
        <f t="shared" si="1"/>
        <v>0</v>
      </c>
      <c r="J25" s="18">
        <f t="shared" si="2"/>
        <v>0</v>
      </c>
      <c r="K25" s="98">
        <f t="shared" si="3"/>
        <v>50700</v>
      </c>
    </row>
    <row r="26" spans="1:11" x14ac:dyDescent="0.25">
      <c r="A26" s="82">
        <f>'A) Base RI'!A25</f>
        <v>5424</v>
      </c>
      <c r="B26" s="62" t="str">
        <f>'A) Base RI'!B25</f>
        <v>Berolle</v>
      </c>
      <c r="C26" s="18">
        <f>'A) Base RI'!AN25</f>
        <v>302</v>
      </c>
      <c r="D26" s="61">
        <f t="shared" si="1"/>
        <v>302</v>
      </c>
      <c r="E26" s="18">
        <f t="shared" si="1"/>
        <v>0</v>
      </c>
      <c r="F26" s="18">
        <f t="shared" si="1"/>
        <v>0</v>
      </c>
      <c r="G26" s="18">
        <f t="shared" si="1"/>
        <v>0</v>
      </c>
      <c r="H26" s="18">
        <f t="shared" si="1"/>
        <v>0</v>
      </c>
      <c r="I26" s="73">
        <f t="shared" si="1"/>
        <v>0</v>
      </c>
      <c r="J26" s="18">
        <f t="shared" si="2"/>
        <v>0</v>
      </c>
      <c r="K26" s="98">
        <f t="shared" si="3"/>
        <v>30200</v>
      </c>
    </row>
    <row r="27" spans="1:11" x14ac:dyDescent="0.25">
      <c r="A27" s="82">
        <f>'A) Base RI'!A26</f>
        <v>5425</v>
      </c>
      <c r="B27" s="62" t="str">
        <f>'A) Base RI'!B26</f>
        <v>Bière</v>
      </c>
      <c r="C27" s="18">
        <f>'A) Base RI'!AN26</f>
        <v>1526</v>
      </c>
      <c r="D27" s="61">
        <f t="shared" si="1"/>
        <v>1000</v>
      </c>
      <c r="E27" s="18">
        <f t="shared" si="1"/>
        <v>526</v>
      </c>
      <c r="F27" s="18">
        <f t="shared" si="1"/>
        <v>0</v>
      </c>
      <c r="G27" s="18">
        <f t="shared" si="1"/>
        <v>0</v>
      </c>
      <c r="H27" s="18">
        <f t="shared" si="1"/>
        <v>0</v>
      </c>
      <c r="I27" s="73">
        <f t="shared" si="1"/>
        <v>0</v>
      </c>
      <c r="J27" s="18">
        <f t="shared" si="2"/>
        <v>0</v>
      </c>
      <c r="K27" s="98">
        <f t="shared" si="3"/>
        <v>284100</v>
      </c>
    </row>
    <row r="28" spans="1:11" x14ac:dyDescent="0.25">
      <c r="A28" s="82">
        <f>'A) Base RI'!A27</f>
        <v>5426</v>
      </c>
      <c r="B28" s="62" t="str">
        <f>'A) Base RI'!B27</f>
        <v>Bougy-Villars</v>
      </c>
      <c r="C28" s="18">
        <f>'A) Base RI'!AN27</f>
        <v>444</v>
      </c>
      <c r="D28" s="61">
        <f t="shared" si="1"/>
        <v>444</v>
      </c>
      <c r="E28" s="18">
        <f t="shared" si="1"/>
        <v>0</v>
      </c>
      <c r="F28" s="18">
        <f t="shared" si="1"/>
        <v>0</v>
      </c>
      <c r="G28" s="18">
        <f t="shared" si="1"/>
        <v>0</v>
      </c>
      <c r="H28" s="18">
        <f t="shared" si="1"/>
        <v>0</v>
      </c>
      <c r="I28" s="73">
        <f t="shared" si="1"/>
        <v>0</v>
      </c>
      <c r="J28" s="18">
        <f t="shared" si="2"/>
        <v>0</v>
      </c>
      <c r="K28" s="98">
        <f t="shared" si="3"/>
        <v>44400</v>
      </c>
    </row>
    <row r="29" spans="1:11" x14ac:dyDescent="0.25">
      <c r="A29" s="82">
        <f>'A) Base RI'!A28</f>
        <v>5427</v>
      </c>
      <c r="B29" s="62" t="str">
        <f>'A) Base RI'!B28</f>
        <v>Féchy</v>
      </c>
      <c r="C29" s="18">
        <f>'A) Base RI'!AN28</f>
        <v>857</v>
      </c>
      <c r="D29" s="61">
        <f t="shared" si="1"/>
        <v>857</v>
      </c>
      <c r="E29" s="18">
        <f t="shared" si="1"/>
        <v>0</v>
      </c>
      <c r="F29" s="18">
        <f t="shared" si="1"/>
        <v>0</v>
      </c>
      <c r="G29" s="18">
        <f t="shared" si="1"/>
        <v>0</v>
      </c>
      <c r="H29" s="18">
        <f t="shared" si="1"/>
        <v>0</v>
      </c>
      <c r="I29" s="73">
        <f t="shared" si="1"/>
        <v>0</v>
      </c>
      <c r="J29" s="18">
        <f t="shared" si="2"/>
        <v>0</v>
      </c>
      <c r="K29" s="98">
        <f t="shared" si="3"/>
        <v>85700</v>
      </c>
    </row>
    <row r="30" spans="1:11" x14ac:dyDescent="0.25">
      <c r="A30" s="82">
        <f>'A) Base RI'!A29</f>
        <v>5428</v>
      </c>
      <c r="B30" s="62" t="str">
        <f>'A) Base RI'!B29</f>
        <v>Gimel</v>
      </c>
      <c r="C30" s="18">
        <f>'A) Base RI'!AN29</f>
        <v>1923</v>
      </c>
      <c r="D30" s="61">
        <f t="shared" si="1"/>
        <v>1000</v>
      </c>
      <c r="E30" s="18">
        <f t="shared" si="1"/>
        <v>923</v>
      </c>
      <c r="F30" s="18">
        <f t="shared" si="1"/>
        <v>0</v>
      </c>
      <c r="G30" s="18">
        <f t="shared" si="1"/>
        <v>0</v>
      </c>
      <c r="H30" s="18">
        <f t="shared" si="1"/>
        <v>0</v>
      </c>
      <c r="I30" s="73">
        <f t="shared" si="1"/>
        <v>0</v>
      </c>
      <c r="J30" s="18">
        <f t="shared" si="2"/>
        <v>0</v>
      </c>
      <c r="K30" s="98">
        <f t="shared" si="3"/>
        <v>423050</v>
      </c>
    </row>
    <row r="31" spans="1:11" x14ac:dyDescent="0.25">
      <c r="A31" s="82">
        <f>'A) Base RI'!A30</f>
        <v>5429</v>
      </c>
      <c r="B31" s="62" t="str">
        <f>'A) Base RI'!B30</f>
        <v>Longirod</v>
      </c>
      <c r="C31" s="18">
        <f>'A) Base RI'!AN30</f>
        <v>441</v>
      </c>
      <c r="D31" s="61">
        <f t="shared" si="1"/>
        <v>441</v>
      </c>
      <c r="E31" s="18">
        <f t="shared" si="1"/>
        <v>0</v>
      </c>
      <c r="F31" s="18">
        <f t="shared" si="1"/>
        <v>0</v>
      </c>
      <c r="G31" s="18">
        <f t="shared" si="1"/>
        <v>0</v>
      </c>
      <c r="H31" s="18">
        <f t="shared" si="1"/>
        <v>0</v>
      </c>
      <c r="I31" s="73">
        <f t="shared" si="1"/>
        <v>0</v>
      </c>
      <c r="J31" s="18">
        <f t="shared" si="2"/>
        <v>0</v>
      </c>
      <c r="K31" s="98">
        <f t="shared" si="3"/>
        <v>44100</v>
      </c>
    </row>
    <row r="32" spans="1:11" x14ac:dyDescent="0.25">
      <c r="A32" s="82">
        <f>'A) Base RI'!A31</f>
        <v>5430</v>
      </c>
      <c r="B32" s="62" t="str">
        <f>'A) Base RI'!B31</f>
        <v>Marchissy</v>
      </c>
      <c r="C32" s="18">
        <f>'A) Base RI'!AN31</f>
        <v>444</v>
      </c>
      <c r="D32" s="61">
        <f t="shared" si="1"/>
        <v>444</v>
      </c>
      <c r="E32" s="18">
        <f t="shared" si="1"/>
        <v>0</v>
      </c>
      <c r="F32" s="18">
        <f t="shared" si="1"/>
        <v>0</v>
      </c>
      <c r="G32" s="18">
        <f t="shared" si="1"/>
        <v>0</v>
      </c>
      <c r="H32" s="18">
        <f t="shared" si="1"/>
        <v>0</v>
      </c>
      <c r="I32" s="73">
        <f t="shared" si="1"/>
        <v>0</v>
      </c>
      <c r="J32" s="18">
        <f t="shared" si="2"/>
        <v>0</v>
      </c>
      <c r="K32" s="98">
        <f t="shared" si="3"/>
        <v>44400</v>
      </c>
    </row>
    <row r="33" spans="1:11" x14ac:dyDescent="0.25">
      <c r="A33" s="82">
        <f>'A) Base RI'!A32</f>
        <v>5431</v>
      </c>
      <c r="B33" s="62" t="str">
        <f>'A) Base RI'!B32</f>
        <v>Mollens</v>
      </c>
      <c r="C33" s="18">
        <f>'A) Base RI'!AN32</f>
        <v>288</v>
      </c>
      <c r="D33" s="61">
        <f t="shared" si="1"/>
        <v>288</v>
      </c>
      <c r="E33" s="18">
        <f t="shared" si="1"/>
        <v>0</v>
      </c>
      <c r="F33" s="18">
        <f t="shared" si="1"/>
        <v>0</v>
      </c>
      <c r="G33" s="18">
        <f t="shared" si="1"/>
        <v>0</v>
      </c>
      <c r="H33" s="18">
        <f t="shared" si="1"/>
        <v>0</v>
      </c>
      <c r="I33" s="73">
        <f t="shared" si="1"/>
        <v>0</v>
      </c>
      <c r="J33" s="18">
        <f t="shared" si="2"/>
        <v>0</v>
      </c>
      <c r="K33" s="98">
        <f t="shared" si="3"/>
        <v>28800</v>
      </c>
    </row>
    <row r="34" spans="1:11" x14ac:dyDescent="0.25">
      <c r="A34" s="82">
        <f>'A) Base RI'!A33</f>
        <v>5432</v>
      </c>
      <c r="B34" s="62" t="str">
        <f>'A) Base RI'!B33</f>
        <v>Montherod</v>
      </c>
      <c r="C34" s="18">
        <f>'A) Base RI'!AN33</f>
        <v>521</v>
      </c>
      <c r="D34" s="61">
        <f t="shared" si="1"/>
        <v>521</v>
      </c>
      <c r="E34" s="18">
        <f t="shared" si="1"/>
        <v>0</v>
      </c>
      <c r="F34" s="18">
        <f t="shared" si="1"/>
        <v>0</v>
      </c>
      <c r="G34" s="18">
        <f t="shared" si="1"/>
        <v>0</v>
      </c>
      <c r="H34" s="18">
        <f t="shared" si="1"/>
        <v>0</v>
      </c>
      <c r="I34" s="73">
        <f t="shared" si="1"/>
        <v>0</v>
      </c>
      <c r="J34" s="18">
        <f t="shared" si="2"/>
        <v>0</v>
      </c>
      <c r="K34" s="98">
        <f t="shared" si="3"/>
        <v>52100</v>
      </c>
    </row>
    <row r="35" spans="1:11" x14ac:dyDescent="0.25">
      <c r="A35" s="82">
        <f>'A) Base RI'!A34</f>
        <v>5434</v>
      </c>
      <c r="B35" s="62" t="str">
        <f>'A) Base RI'!B34</f>
        <v>Saint-George</v>
      </c>
      <c r="C35" s="18">
        <f>'A) Base RI'!AN34</f>
        <v>951</v>
      </c>
      <c r="D35" s="61">
        <f t="shared" si="1"/>
        <v>951</v>
      </c>
      <c r="E35" s="18">
        <f t="shared" si="1"/>
        <v>0</v>
      </c>
      <c r="F35" s="18">
        <f t="shared" si="1"/>
        <v>0</v>
      </c>
      <c r="G35" s="18">
        <f t="shared" si="1"/>
        <v>0</v>
      </c>
      <c r="H35" s="18">
        <f t="shared" si="1"/>
        <v>0</v>
      </c>
      <c r="I35" s="73">
        <f t="shared" si="1"/>
        <v>0</v>
      </c>
      <c r="J35" s="18">
        <f t="shared" si="2"/>
        <v>0</v>
      </c>
      <c r="K35" s="98">
        <f t="shared" si="3"/>
        <v>95100</v>
      </c>
    </row>
    <row r="36" spans="1:11" x14ac:dyDescent="0.25">
      <c r="A36" s="82">
        <f>'A) Base RI'!A35</f>
        <v>5435</v>
      </c>
      <c r="B36" s="62" t="str">
        <f>'A) Base RI'!B35</f>
        <v>Saint-Livres</v>
      </c>
      <c r="C36" s="18">
        <f>'A) Base RI'!AN35</f>
        <v>699</v>
      </c>
      <c r="D36" s="61">
        <f t="shared" si="1"/>
        <v>699</v>
      </c>
      <c r="E36" s="18">
        <f t="shared" si="1"/>
        <v>0</v>
      </c>
      <c r="F36" s="18">
        <f t="shared" si="1"/>
        <v>0</v>
      </c>
      <c r="G36" s="18">
        <f t="shared" si="1"/>
        <v>0</v>
      </c>
      <c r="H36" s="18">
        <f t="shared" si="1"/>
        <v>0</v>
      </c>
      <c r="I36" s="73">
        <f t="shared" si="1"/>
        <v>0</v>
      </c>
      <c r="J36" s="18">
        <f t="shared" si="2"/>
        <v>0</v>
      </c>
      <c r="K36" s="98">
        <f t="shared" si="3"/>
        <v>69900</v>
      </c>
    </row>
    <row r="37" spans="1:11" x14ac:dyDescent="0.25">
      <c r="A37" s="82">
        <f>'A) Base RI'!A36</f>
        <v>5436</v>
      </c>
      <c r="B37" s="62" t="str">
        <f>'A) Base RI'!B36</f>
        <v>Saint-Oyens</v>
      </c>
      <c r="C37" s="18">
        <f>'A) Base RI'!AN36</f>
        <v>326</v>
      </c>
      <c r="D37" s="61">
        <f t="shared" si="1"/>
        <v>326</v>
      </c>
      <c r="E37" s="18">
        <f t="shared" si="1"/>
        <v>0</v>
      </c>
      <c r="F37" s="18">
        <f t="shared" si="1"/>
        <v>0</v>
      </c>
      <c r="G37" s="18">
        <f t="shared" si="1"/>
        <v>0</v>
      </c>
      <c r="H37" s="18">
        <f t="shared" si="1"/>
        <v>0</v>
      </c>
      <c r="I37" s="73">
        <f t="shared" si="1"/>
        <v>0</v>
      </c>
      <c r="J37" s="18">
        <f t="shared" si="2"/>
        <v>0</v>
      </c>
      <c r="K37" s="98">
        <f t="shared" si="3"/>
        <v>32600</v>
      </c>
    </row>
    <row r="38" spans="1:11" x14ac:dyDescent="0.25">
      <c r="A38" s="82">
        <f>'A) Base RI'!A37</f>
        <v>5437</v>
      </c>
      <c r="B38" s="62" t="str">
        <f>'A) Base RI'!B37</f>
        <v>Saubraz</v>
      </c>
      <c r="C38" s="18">
        <f>'A) Base RI'!AN37</f>
        <v>385</v>
      </c>
      <c r="D38" s="61">
        <f t="shared" si="1"/>
        <v>385</v>
      </c>
      <c r="E38" s="18">
        <f t="shared" si="1"/>
        <v>0</v>
      </c>
      <c r="F38" s="18">
        <f t="shared" si="1"/>
        <v>0</v>
      </c>
      <c r="G38" s="18">
        <f t="shared" si="1"/>
        <v>0</v>
      </c>
      <c r="H38" s="18">
        <f t="shared" si="1"/>
        <v>0</v>
      </c>
      <c r="I38" s="73">
        <f t="shared" si="1"/>
        <v>0</v>
      </c>
      <c r="J38" s="18">
        <f t="shared" si="2"/>
        <v>0</v>
      </c>
      <c r="K38" s="98">
        <f t="shared" si="3"/>
        <v>38500</v>
      </c>
    </row>
    <row r="39" spans="1:11" x14ac:dyDescent="0.25">
      <c r="A39" s="82">
        <f>'A) Base RI'!A38</f>
        <v>5451</v>
      </c>
      <c r="B39" s="62" t="str">
        <f>'A) Base RI'!B38</f>
        <v>Avenches</v>
      </c>
      <c r="C39" s="18">
        <f>'A) Base RI'!AN38</f>
        <v>4030</v>
      </c>
      <c r="D39" s="61">
        <f t="shared" si="1"/>
        <v>1000</v>
      </c>
      <c r="E39" s="18">
        <f t="shared" si="1"/>
        <v>2000</v>
      </c>
      <c r="F39" s="18">
        <f t="shared" si="1"/>
        <v>1030</v>
      </c>
      <c r="G39" s="18">
        <f t="shared" si="1"/>
        <v>0</v>
      </c>
      <c r="H39" s="18">
        <f t="shared" si="1"/>
        <v>0</v>
      </c>
      <c r="I39" s="73">
        <f t="shared" si="1"/>
        <v>0</v>
      </c>
      <c r="J39" s="18">
        <f t="shared" si="2"/>
        <v>0</v>
      </c>
      <c r="K39" s="98">
        <f t="shared" si="3"/>
        <v>1315000</v>
      </c>
    </row>
    <row r="40" spans="1:11" x14ac:dyDescent="0.25">
      <c r="A40" s="82">
        <f>'A) Base RI'!A39</f>
        <v>5456</v>
      </c>
      <c r="B40" s="62" t="str">
        <f>'A) Base RI'!B39</f>
        <v>Cudrefin</v>
      </c>
      <c r="C40" s="18">
        <f>'A) Base RI'!AN39</f>
        <v>1464</v>
      </c>
      <c r="D40" s="61">
        <f t="shared" si="1"/>
        <v>1000</v>
      </c>
      <c r="E40" s="18">
        <f t="shared" si="1"/>
        <v>464</v>
      </c>
      <c r="F40" s="18">
        <f t="shared" si="1"/>
        <v>0</v>
      </c>
      <c r="G40" s="18">
        <f t="shared" si="1"/>
        <v>0</v>
      </c>
      <c r="H40" s="18">
        <f t="shared" si="1"/>
        <v>0</v>
      </c>
      <c r="I40" s="73">
        <f t="shared" si="1"/>
        <v>0</v>
      </c>
      <c r="J40" s="18">
        <f t="shared" si="2"/>
        <v>0</v>
      </c>
      <c r="K40" s="98">
        <f t="shared" si="3"/>
        <v>262400</v>
      </c>
    </row>
    <row r="41" spans="1:11" x14ac:dyDescent="0.25">
      <c r="A41" s="82">
        <f>'A) Base RI'!A40</f>
        <v>5458</v>
      </c>
      <c r="B41" s="62" t="str">
        <f>'A) Base RI'!B40</f>
        <v>Faoug</v>
      </c>
      <c r="C41" s="18">
        <f>'A) Base RI'!AN40</f>
        <v>825</v>
      </c>
      <c r="D41" s="61">
        <f t="shared" si="1"/>
        <v>825</v>
      </c>
      <c r="E41" s="18">
        <f t="shared" si="1"/>
        <v>0</v>
      </c>
      <c r="F41" s="18">
        <f t="shared" si="1"/>
        <v>0</v>
      </c>
      <c r="G41" s="18">
        <f t="shared" si="1"/>
        <v>0</v>
      </c>
      <c r="H41" s="18">
        <f t="shared" si="1"/>
        <v>0</v>
      </c>
      <c r="I41" s="73">
        <f t="shared" si="1"/>
        <v>0</v>
      </c>
      <c r="J41" s="18">
        <f t="shared" si="2"/>
        <v>0</v>
      </c>
      <c r="K41" s="98">
        <f t="shared" si="3"/>
        <v>82500</v>
      </c>
    </row>
    <row r="42" spans="1:11" x14ac:dyDescent="0.25">
      <c r="A42" s="82">
        <f>'A) Base RI'!A41</f>
        <v>5464</v>
      </c>
      <c r="B42" s="62" t="str">
        <f>'A) Base RI'!B41</f>
        <v>Vully-les-Lacs</v>
      </c>
      <c r="C42" s="18">
        <f>'A) Base RI'!AN41</f>
        <v>2798</v>
      </c>
      <c r="D42" s="61">
        <f t="shared" si="1"/>
        <v>1000</v>
      </c>
      <c r="E42" s="18">
        <f t="shared" si="1"/>
        <v>1798</v>
      </c>
      <c r="F42" s="18">
        <f t="shared" si="1"/>
        <v>0</v>
      </c>
      <c r="G42" s="18">
        <f t="shared" si="1"/>
        <v>0</v>
      </c>
      <c r="H42" s="18">
        <f t="shared" si="1"/>
        <v>0</v>
      </c>
      <c r="I42" s="73">
        <f t="shared" si="1"/>
        <v>0</v>
      </c>
      <c r="J42" s="18">
        <f t="shared" si="2"/>
        <v>0</v>
      </c>
      <c r="K42" s="98">
        <f t="shared" si="3"/>
        <v>729300</v>
      </c>
    </row>
    <row r="43" spans="1:11" x14ac:dyDescent="0.25">
      <c r="A43" s="82">
        <f>'A) Base RI'!A42</f>
        <v>5471</v>
      </c>
      <c r="B43" s="62" t="str">
        <f>'A) Base RI'!B42</f>
        <v>Bettens</v>
      </c>
      <c r="C43" s="18">
        <f>'A) Base RI'!AN42</f>
        <v>531</v>
      </c>
      <c r="D43" s="61">
        <f t="shared" si="1"/>
        <v>531</v>
      </c>
      <c r="E43" s="18">
        <f t="shared" si="1"/>
        <v>0</v>
      </c>
      <c r="F43" s="18">
        <f t="shared" si="1"/>
        <v>0</v>
      </c>
      <c r="G43" s="18">
        <f t="shared" si="1"/>
        <v>0</v>
      </c>
      <c r="H43" s="18">
        <f t="shared" si="1"/>
        <v>0</v>
      </c>
      <c r="I43" s="73">
        <f t="shared" si="1"/>
        <v>0</v>
      </c>
      <c r="J43" s="18">
        <f t="shared" si="2"/>
        <v>0</v>
      </c>
      <c r="K43" s="98">
        <f t="shared" si="3"/>
        <v>53100</v>
      </c>
    </row>
    <row r="44" spans="1:11" x14ac:dyDescent="0.25">
      <c r="A44" s="82">
        <f>'A) Base RI'!A43</f>
        <v>5472</v>
      </c>
      <c r="B44" s="62" t="str">
        <f>'A) Base RI'!B43</f>
        <v>Bournens</v>
      </c>
      <c r="C44" s="18">
        <f>'A) Base RI'!AN43</f>
        <v>362</v>
      </c>
      <c r="D44" s="61">
        <f t="shared" si="1"/>
        <v>362</v>
      </c>
      <c r="E44" s="18">
        <f t="shared" si="1"/>
        <v>0</v>
      </c>
      <c r="F44" s="18">
        <f t="shared" si="1"/>
        <v>0</v>
      </c>
      <c r="G44" s="18">
        <f t="shared" si="1"/>
        <v>0</v>
      </c>
      <c r="H44" s="18">
        <f t="shared" si="1"/>
        <v>0</v>
      </c>
      <c r="I44" s="73">
        <f t="shared" si="1"/>
        <v>0</v>
      </c>
      <c r="J44" s="18">
        <f t="shared" si="2"/>
        <v>0</v>
      </c>
      <c r="K44" s="98">
        <f t="shared" si="3"/>
        <v>36200</v>
      </c>
    </row>
    <row r="45" spans="1:11" x14ac:dyDescent="0.25">
      <c r="A45" s="82">
        <f>'A) Base RI'!A44</f>
        <v>5473</v>
      </c>
      <c r="B45" s="62" t="str">
        <f>'A) Base RI'!B44</f>
        <v>Boussens</v>
      </c>
      <c r="C45" s="18">
        <f>'A) Base RI'!AN44</f>
        <v>944</v>
      </c>
      <c r="D45" s="61">
        <f t="shared" si="1"/>
        <v>944</v>
      </c>
      <c r="E45" s="18">
        <f t="shared" si="1"/>
        <v>0</v>
      </c>
      <c r="F45" s="18">
        <f t="shared" si="1"/>
        <v>0</v>
      </c>
      <c r="G45" s="18">
        <f t="shared" si="1"/>
        <v>0</v>
      </c>
      <c r="H45" s="18">
        <f t="shared" si="1"/>
        <v>0</v>
      </c>
      <c r="I45" s="73">
        <f t="shared" si="1"/>
        <v>0</v>
      </c>
      <c r="J45" s="18">
        <f t="shared" si="2"/>
        <v>0</v>
      </c>
      <c r="K45" s="98">
        <f t="shared" si="3"/>
        <v>94400</v>
      </c>
    </row>
    <row r="46" spans="1:11" x14ac:dyDescent="0.25">
      <c r="A46" s="82">
        <f>'A) Base RI'!A45</f>
        <v>5474</v>
      </c>
      <c r="B46" s="62" t="str">
        <f>'A) Base RI'!B45</f>
        <v>La Chaux (Cossonay)</v>
      </c>
      <c r="C46" s="18">
        <f>'A) Base RI'!AN45</f>
        <v>422</v>
      </c>
      <c r="D46" s="61">
        <f t="shared" si="1"/>
        <v>422</v>
      </c>
      <c r="E46" s="18">
        <f t="shared" si="1"/>
        <v>0</v>
      </c>
      <c r="F46" s="18">
        <f t="shared" si="1"/>
        <v>0</v>
      </c>
      <c r="G46" s="18">
        <f t="shared" si="1"/>
        <v>0</v>
      </c>
      <c r="H46" s="18">
        <f t="shared" si="1"/>
        <v>0</v>
      </c>
      <c r="I46" s="73">
        <f t="shared" si="1"/>
        <v>0</v>
      </c>
      <c r="J46" s="18">
        <f t="shared" si="2"/>
        <v>0</v>
      </c>
      <c r="K46" s="98">
        <f t="shared" si="3"/>
        <v>42200</v>
      </c>
    </row>
    <row r="47" spans="1:11" x14ac:dyDescent="0.25">
      <c r="A47" s="82">
        <f>'A) Base RI'!A46</f>
        <v>5475</v>
      </c>
      <c r="B47" s="62" t="str">
        <f>'A) Base RI'!B46</f>
        <v>Chavannes-le-Veyron</v>
      </c>
      <c r="C47" s="18">
        <f>'A) Base RI'!AN46</f>
        <v>127</v>
      </c>
      <c r="D47" s="61">
        <f t="shared" si="1"/>
        <v>127</v>
      </c>
      <c r="E47" s="18">
        <f t="shared" si="1"/>
        <v>0</v>
      </c>
      <c r="F47" s="18">
        <f t="shared" si="1"/>
        <v>0</v>
      </c>
      <c r="G47" s="18">
        <f t="shared" si="1"/>
        <v>0</v>
      </c>
      <c r="H47" s="18">
        <f t="shared" si="1"/>
        <v>0</v>
      </c>
      <c r="I47" s="73">
        <f t="shared" si="1"/>
        <v>0</v>
      </c>
      <c r="J47" s="18">
        <f t="shared" si="2"/>
        <v>0</v>
      </c>
      <c r="K47" s="98">
        <f t="shared" si="3"/>
        <v>12700</v>
      </c>
    </row>
    <row r="48" spans="1:11" x14ac:dyDescent="0.25">
      <c r="A48" s="82">
        <f>'A) Base RI'!A47</f>
        <v>5476</v>
      </c>
      <c r="B48" s="62" t="str">
        <f>'A) Base RI'!B47</f>
        <v>Chevilly</v>
      </c>
      <c r="C48" s="18">
        <f>'A) Base RI'!AN47</f>
        <v>249</v>
      </c>
      <c r="D48" s="61">
        <f t="shared" si="1"/>
        <v>249</v>
      </c>
      <c r="E48" s="18">
        <f t="shared" si="1"/>
        <v>0</v>
      </c>
      <c r="F48" s="18">
        <f t="shared" si="1"/>
        <v>0</v>
      </c>
      <c r="G48" s="18">
        <f t="shared" si="1"/>
        <v>0</v>
      </c>
      <c r="H48" s="18">
        <f t="shared" si="1"/>
        <v>0</v>
      </c>
      <c r="I48" s="73">
        <f t="shared" si="1"/>
        <v>0</v>
      </c>
      <c r="J48" s="18">
        <f t="shared" si="2"/>
        <v>0</v>
      </c>
      <c r="K48" s="98">
        <f t="shared" si="3"/>
        <v>24900</v>
      </c>
    </row>
    <row r="49" spans="1:11" x14ac:dyDescent="0.25">
      <c r="A49" s="82">
        <f>'A) Base RI'!A48</f>
        <v>5477</v>
      </c>
      <c r="B49" s="62" t="str">
        <f>'A) Base RI'!B48</f>
        <v>Cossonay</v>
      </c>
      <c r="C49" s="18">
        <f>'A) Base RI'!AN48</f>
        <v>3608</v>
      </c>
      <c r="D49" s="61">
        <f t="shared" si="1"/>
        <v>1000</v>
      </c>
      <c r="E49" s="18">
        <f t="shared" si="1"/>
        <v>2000</v>
      </c>
      <c r="F49" s="18">
        <f t="shared" si="1"/>
        <v>608</v>
      </c>
      <c r="G49" s="18">
        <f t="shared" si="1"/>
        <v>0</v>
      </c>
      <c r="H49" s="18">
        <f t="shared" si="1"/>
        <v>0</v>
      </c>
      <c r="I49" s="73">
        <f t="shared" si="1"/>
        <v>0</v>
      </c>
      <c r="J49" s="18">
        <f t="shared" si="2"/>
        <v>0</v>
      </c>
      <c r="K49" s="98">
        <f t="shared" si="3"/>
        <v>1104000</v>
      </c>
    </row>
    <row r="50" spans="1:11" x14ac:dyDescent="0.25">
      <c r="A50" s="82">
        <f>'A) Base RI'!A49</f>
        <v>5478</v>
      </c>
      <c r="B50" s="62" t="str">
        <f>'A) Base RI'!B49</f>
        <v>Cottens</v>
      </c>
      <c r="C50" s="18">
        <f>'A) Base RI'!AN49</f>
        <v>472</v>
      </c>
      <c r="D50" s="61">
        <f t="shared" si="1"/>
        <v>472</v>
      </c>
      <c r="E50" s="18">
        <f t="shared" si="1"/>
        <v>0</v>
      </c>
      <c r="F50" s="18">
        <f t="shared" ref="E50:I87" si="4">IF($C50&gt;F$4,IF($C50&lt;F$5,$C50-F$4,F$5-F$4),0)</f>
        <v>0</v>
      </c>
      <c r="G50" s="18">
        <f t="shared" si="4"/>
        <v>0</v>
      </c>
      <c r="H50" s="18">
        <f t="shared" si="4"/>
        <v>0</v>
      </c>
      <c r="I50" s="73">
        <f t="shared" si="4"/>
        <v>0</v>
      </c>
      <c r="J50" s="18">
        <f t="shared" si="2"/>
        <v>0</v>
      </c>
      <c r="K50" s="98">
        <f t="shared" si="3"/>
        <v>47200</v>
      </c>
    </row>
    <row r="51" spans="1:11" x14ac:dyDescent="0.25">
      <c r="A51" s="82">
        <f>'A) Base RI'!A50</f>
        <v>5479</v>
      </c>
      <c r="B51" s="62" t="str">
        <f>'A) Base RI'!B50</f>
        <v>Cuarnens</v>
      </c>
      <c r="C51" s="18">
        <f>'A) Base RI'!AN50</f>
        <v>435</v>
      </c>
      <c r="D51" s="61">
        <f t="shared" ref="D51:D107" si="5">IF($C51&gt;D$4,IF($C51&lt;D$5,$C51-D$4,D$5-D$4),0)</f>
        <v>435</v>
      </c>
      <c r="E51" s="18">
        <f t="shared" si="4"/>
        <v>0</v>
      </c>
      <c r="F51" s="18">
        <f t="shared" si="4"/>
        <v>0</v>
      </c>
      <c r="G51" s="18">
        <f t="shared" si="4"/>
        <v>0</v>
      </c>
      <c r="H51" s="18">
        <f t="shared" si="4"/>
        <v>0</v>
      </c>
      <c r="I51" s="73">
        <f t="shared" si="4"/>
        <v>0</v>
      </c>
      <c r="J51" s="18">
        <f t="shared" si="2"/>
        <v>0</v>
      </c>
      <c r="K51" s="98">
        <f t="shared" si="3"/>
        <v>43500</v>
      </c>
    </row>
    <row r="52" spans="1:11" x14ac:dyDescent="0.25">
      <c r="A52" s="82">
        <f>'A) Base RI'!A51</f>
        <v>5480</v>
      </c>
      <c r="B52" s="62" t="str">
        <f>'A) Base RI'!B51</f>
        <v>Daillens</v>
      </c>
      <c r="C52" s="18">
        <f>'A) Base RI'!AN51</f>
        <v>940</v>
      </c>
      <c r="D52" s="61">
        <f t="shared" si="5"/>
        <v>940</v>
      </c>
      <c r="E52" s="18">
        <f t="shared" si="4"/>
        <v>0</v>
      </c>
      <c r="F52" s="18">
        <f t="shared" si="4"/>
        <v>0</v>
      </c>
      <c r="G52" s="18">
        <f t="shared" si="4"/>
        <v>0</v>
      </c>
      <c r="H52" s="18">
        <f t="shared" si="4"/>
        <v>0</v>
      </c>
      <c r="I52" s="73">
        <f t="shared" si="4"/>
        <v>0</v>
      </c>
      <c r="J52" s="18">
        <f t="shared" si="2"/>
        <v>0</v>
      </c>
      <c r="K52" s="98">
        <f t="shared" si="3"/>
        <v>94000</v>
      </c>
    </row>
    <row r="53" spans="1:11" x14ac:dyDescent="0.25">
      <c r="A53" s="82">
        <f>'A) Base RI'!A52</f>
        <v>5481</v>
      </c>
      <c r="B53" s="62" t="str">
        <f>'A) Base RI'!B52</f>
        <v>Dizy</v>
      </c>
      <c r="C53" s="18">
        <f>'A) Base RI'!AN52</f>
        <v>224</v>
      </c>
      <c r="D53" s="61">
        <f t="shared" si="5"/>
        <v>224</v>
      </c>
      <c r="E53" s="18">
        <f t="shared" si="4"/>
        <v>0</v>
      </c>
      <c r="F53" s="18">
        <f t="shared" si="4"/>
        <v>0</v>
      </c>
      <c r="G53" s="18">
        <f t="shared" si="4"/>
        <v>0</v>
      </c>
      <c r="H53" s="18">
        <f t="shared" si="4"/>
        <v>0</v>
      </c>
      <c r="I53" s="73">
        <f t="shared" si="4"/>
        <v>0</v>
      </c>
      <c r="J53" s="18">
        <f t="shared" si="2"/>
        <v>0</v>
      </c>
      <c r="K53" s="98">
        <f t="shared" si="3"/>
        <v>22400</v>
      </c>
    </row>
    <row r="54" spans="1:11" x14ac:dyDescent="0.25">
      <c r="A54" s="82">
        <f>'A) Base RI'!A53</f>
        <v>5482</v>
      </c>
      <c r="B54" s="62" t="str">
        <f>'A) Base RI'!B53</f>
        <v>Eclépens</v>
      </c>
      <c r="C54" s="18">
        <f>'A) Base RI'!AN53</f>
        <v>1010</v>
      </c>
      <c r="D54" s="61">
        <f t="shared" si="5"/>
        <v>1000</v>
      </c>
      <c r="E54" s="18">
        <f t="shared" si="4"/>
        <v>10</v>
      </c>
      <c r="F54" s="18">
        <f t="shared" si="4"/>
        <v>0</v>
      </c>
      <c r="G54" s="18">
        <f t="shared" si="4"/>
        <v>0</v>
      </c>
      <c r="H54" s="18">
        <f t="shared" si="4"/>
        <v>0</v>
      </c>
      <c r="I54" s="73">
        <f t="shared" si="4"/>
        <v>0</v>
      </c>
      <c r="J54" s="18">
        <f t="shared" si="2"/>
        <v>0</v>
      </c>
      <c r="K54" s="98">
        <f t="shared" si="3"/>
        <v>103500</v>
      </c>
    </row>
    <row r="55" spans="1:11" x14ac:dyDescent="0.25">
      <c r="A55" s="82">
        <f>'A) Base RI'!A54</f>
        <v>5483</v>
      </c>
      <c r="B55" s="62" t="str">
        <f>'A) Base RI'!B54</f>
        <v>Ferreyres</v>
      </c>
      <c r="C55" s="18">
        <f>'A) Base RI'!AN54</f>
        <v>302</v>
      </c>
      <c r="D55" s="61">
        <f t="shared" si="5"/>
        <v>302</v>
      </c>
      <c r="E55" s="18">
        <f t="shared" si="4"/>
        <v>0</v>
      </c>
      <c r="F55" s="18">
        <f t="shared" si="4"/>
        <v>0</v>
      </c>
      <c r="G55" s="18">
        <f t="shared" si="4"/>
        <v>0</v>
      </c>
      <c r="H55" s="18">
        <f t="shared" si="4"/>
        <v>0</v>
      </c>
      <c r="I55" s="73">
        <f t="shared" si="4"/>
        <v>0</v>
      </c>
      <c r="J55" s="18">
        <f t="shared" si="2"/>
        <v>0</v>
      </c>
      <c r="K55" s="98">
        <f t="shared" si="3"/>
        <v>30200</v>
      </c>
    </row>
    <row r="56" spans="1:11" x14ac:dyDescent="0.25">
      <c r="A56" s="82">
        <f>'A) Base RI'!A55</f>
        <v>5484</v>
      </c>
      <c r="B56" s="62" t="str">
        <f>'A) Base RI'!B55</f>
        <v>Gollion</v>
      </c>
      <c r="C56" s="18">
        <f>'A) Base RI'!AN55</f>
        <v>813</v>
      </c>
      <c r="D56" s="61">
        <f t="shared" si="5"/>
        <v>813</v>
      </c>
      <c r="E56" s="18">
        <f t="shared" si="4"/>
        <v>0</v>
      </c>
      <c r="F56" s="18">
        <f t="shared" si="4"/>
        <v>0</v>
      </c>
      <c r="G56" s="18">
        <f t="shared" si="4"/>
        <v>0</v>
      </c>
      <c r="H56" s="18">
        <f t="shared" si="4"/>
        <v>0</v>
      </c>
      <c r="I56" s="73">
        <f t="shared" si="4"/>
        <v>0</v>
      </c>
      <c r="J56" s="18">
        <f t="shared" si="2"/>
        <v>0</v>
      </c>
      <c r="K56" s="98">
        <f t="shared" si="3"/>
        <v>81300</v>
      </c>
    </row>
    <row r="57" spans="1:11" x14ac:dyDescent="0.25">
      <c r="A57" s="82">
        <f>'A) Base RI'!A56</f>
        <v>5485</v>
      </c>
      <c r="B57" s="62" t="str">
        <f>'A) Base RI'!B56</f>
        <v>Grancy</v>
      </c>
      <c r="C57" s="18">
        <f>'A) Base RI'!AN56</f>
        <v>388</v>
      </c>
      <c r="D57" s="61">
        <f t="shared" si="5"/>
        <v>388</v>
      </c>
      <c r="E57" s="18">
        <f t="shared" si="4"/>
        <v>0</v>
      </c>
      <c r="F57" s="18">
        <f t="shared" si="4"/>
        <v>0</v>
      </c>
      <c r="G57" s="18">
        <f t="shared" si="4"/>
        <v>0</v>
      </c>
      <c r="H57" s="18">
        <f t="shared" si="4"/>
        <v>0</v>
      </c>
      <c r="I57" s="73">
        <f t="shared" si="4"/>
        <v>0</v>
      </c>
      <c r="J57" s="18">
        <f t="shared" si="2"/>
        <v>0</v>
      </c>
      <c r="K57" s="98">
        <f t="shared" si="3"/>
        <v>38800</v>
      </c>
    </row>
    <row r="58" spans="1:11" x14ac:dyDescent="0.25">
      <c r="A58" s="82">
        <f>'A) Base RI'!A57</f>
        <v>5486</v>
      </c>
      <c r="B58" s="62" t="str">
        <f>'A) Base RI'!B57</f>
        <v>L'Isle</v>
      </c>
      <c r="C58" s="18">
        <f>'A) Base RI'!AN57</f>
        <v>1004</v>
      </c>
      <c r="D58" s="61">
        <f t="shared" si="5"/>
        <v>1000</v>
      </c>
      <c r="E58" s="18">
        <f t="shared" si="4"/>
        <v>4</v>
      </c>
      <c r="F58" s="18">
        <f t="shared" si="4"/>
        <v>0</v>
      </c>
      <c r="G58" s="18">
        <f t="shared" si="4"/>
        <v>0</v>
      </c>
      <c r="H58" s="18">
        <f t="shared" si="4"/>
        <v>0</v>
      </c>
      <c r="I58" s="73">
        <f t="shared" si="4"/>
        <v>0</v>
      </c>
      <c r="J58" s="18">
        <f t="shared" si="2"/>
        <v>0</v>
      </c>
      <c r="K58" s="98">
        <f t="shared" si="3"/>
        <v>101400</v>
      </c>
    </row>
    <row r="59" spans="1:11" x14ac:dyDescent="0.25">
      <c r="A59" s="82">
        <f>'A) Base RI'!A58</f>
        <v>5487</v>
      </c>
      <c r="B59" s="62" t="str">
        <f>'A) Base RI'!B58</f>
        <v>Lussery-Villars</v>
      </c>
      <c r="C59" s="18">
        <f>'A) Base RI'!AN58</f>
        <v>404</v>
      </c>
      <c r="D59" s="61">
        <f t="shared" si="5"/>
        <v>404</v>
      </c>
      <c r="E59" s="18">
        <f t="shared" si="4"/>
        <v>0</v>
      </c>
      <c r="F59" s="18">
        <f t="shared" si="4"/>
        <v>0</v>
      </c>
      <c r="G59" s="18">
        <f t="shared" si="4"/>
        <v>0</v>
      </c>
      <c r="H59" s="18">
        <f t="shared" si="4"/>
        <v>0</v>
      </c>
      <c r="I59" s="73">
        <f t="shared" si="4"/>
        <v>0</v>
      </c>
      <c r="J59" s="18">
        <f t="shared" si="2"/>
        <v>0</v>
      </c>
      <c r="K59" s="98">
        <f t="shared" si="3"/>
        <v>40400</v>
      </c>
    </row>
    <row r="60" spans="1:11" x14ac:dyDescent="0.25">
      <c r="A60" s="82">
        <f>'A) Base RI'!A59</f>
        <v>5488</v>
      </c>
      <c r="B60" s="62" t="str">
        <f>'A) Base RI'!B59</f>
        <v>Mauraz</v>
      </c>
      <c r="C60" s="18">
        <f>'A) Base RI'!AN59</f>
        <v>49</v>
      </c>
      <c r="D60" s="61">
        <f t="shared" si="5"/>
        <v>49</v>
      </c>
      <c r="E60" s="18">
        <f t="shared" si="4"/>
        <v>0</v>
      </c>
      <c r="F60" s="18">
        <f t="shared" si="4"/>
        <v>0</v>
      </c>
      <c r="G60" s="18">
        <f t="shared" si="4"/>
        <v>0</v>
      </c>
      <c r="H60" s="18">
        <f t="shared" si="4"/>
        <v>0</v>
      </c>
      <c r="I60" s="73">
        <f t="shared" si="4"/>
        <v>0</v>
      </c>
      <c r="J60" s="18">
        <f t="shared" si="2"/>
        <v>0</v>
      </c>
      <c r="K60" s="98">
        <f t="shared" si="3"/>
        <v>4900</v>
      </c>
    </row>
    <row r="61" spans="1:11" x14ac:dyDescent="0.25">
      <c r="A61" s="82">
        <f>'A) Base RI'!A60</f>
        <v>5489</v>
      </c>
      <c r="B61" s="62" t="str">
        <f>'A) Base RI'!B60</f>
        <v>Mex</v>
      </c>
      <c r="C61" s="18">
        <f>'A) Base RI'!AN60</f>
        <v>670</v>
      </c>
      <c r="D61" s="61">
        <f t="shared" si="5"/>
        <v>670</v>
      </c>
      <c r="E61" s="18">
        <f t="shared" si="4"/>
        <v>0</v>
      </c>
      <c r="F61" s="18">
        <f t="shared" si="4"/>
        <v>0</v>
      </c>
      <c r="G61" s="18">
        <f t="shared" si="4"/>
        <v>0</v>
      </c>
      <c r="H61" s="18">
        <f t="shared" si="4"/>
        <v>0</v>
      </c>
      <c r="I61" s="73">
        <f t="shared" si="4"/>
        <v>0</v>
      </c>
      <c r="J61" s="18">
        <f t="shared" si="2"/>
        <v>0</v>
      </c>
      <c r="K61" s="98">
        <f t="shared" si="3"/>
        <v>67000</v>
      </c>
    </row>
    <row r="62" spans="1:11" x14ac:dyDescent="0.25">
      <c r="A62" s="82">
        <f>'A) Base RI'!A61</f>
        <v>5490</v>
      </c>
      <c r="B62" s="62" t="str">
        <f>'A) Base RI'!B61</f>
        <v>Moiry</v>
      </c>
      <c r="C62" s="18">
        <f>'A) Base RI'!AN61</f>
        <v>263</v>
      </c>
      <c r="D62" s="61">
        <f t="shared" si="5"/>
        <v>263</v>
      </c>
      <c r="E62" s="18">
        <f t="shared" si="4"/>
        <v>0</v>
      </c>
      <c r="F62" s="18">
        <f t="shared" si="4"/>
        <v>0</v>
      </c>
      <c r="G62" s="18">
        <f t="shared" si="4"/>
        <v>0</v>
      </c>
      <c r="H62" s="18">
        <f t="shared" si="4"/>
        <v>0</v>
      </c>
      <c r="I62" s="73">
        <f t="shared" si="4"/>
        <v>0</v>
      </c>
      <c r="J62" s="18">
        <f t="shared" si="2"/>
        <v>0</v>
      </c>
      <c r="K62" s="98">
        <f t="shared" si="3"/>
        <v>26300</v>
      </c>
    </row>
    <row r="63" spans="1:11" x14ac:dyDescent="0.25">
      <c r="A63" s="82">
        <f>'A) Base RI'!A62</f>
        <v>5491</v>
      </c>
      <c r="B63" s="62" t="str">
        <f>'A) Base RI'!B62</f>
        <v>Mont-la-Ville</v>
      </c>
      <c r="C63" s="18">
        <f>'A) Base RI'!AN62</f>
        <v>372</v>
      </c>
      <c r="D63" s="61">
        <f t="shared" si="5"/>
        <v>372</v>
      </c>
      <c r="E63" s="18">
        <f t="shared" si="4"/>
        <v>0</v>
      </c>
      <c r="F63" s="18">
        <f t="shared" si="4"/>
        <v>0</v>
      </c>
      <c r="G63" s="18">
        <f t="shared" si="4"/>
        <v>0</v>
      </c>
      <c r="H63" s="18">
        <f t="shared" si="4"/>
        <v>0</v>
      </c>
      <c r="I63" s="73">
        <f t="shared" si="4"/>
        <v>0</v>
      </c>
      <c r="J63" s="18">
        <f t="shared" si="2"/>
        <v>0</v>
      </c>
      <c r="K63" s="98">
        <f t="shared" si="3"/>
        <v>37200</v>
      </c>
    </row>
    <row r="64" spans="1:11" x14ac:dyDescent="0.25">
      <c r="A64" s="82">
        <f>'A) Base RI'!A63</f>
        <v>5492</v>
      </c>
      <c r="B64" s="62" t="str">
        <f>'A) Base RI'!B63</f>
        <v>Montricher</v>
      </c>
      <c r="C64" s="18">
        <f>'A) Base RI'!AN63</f>
        <v>930</v>
      </c>
      <c r="D64" s="61">
        <f t="shared" si="5"/>
        <v>930</v>
      </c>
      <c r="E64" s="18">
        <f t="shared" si="4"/>
        <v>0</v>
      </c>
      <c r="F64" s="18">
        <f t="shared" si="4"/>
        <v>0</v>
      </c>
      <c r="G64" s="18">
        <f t="shared" si="4"/>
        <v>0</v>
      </c>
      <c r="H64" s="18">
        <f t="shared" si="4"/>
        <v>0</v>
      </c>
      <c r="I64" s="73">
        <f t="shared" si="4"/>
        <v>0</v>
      </c>
      <c r="J64" s="18">
        <f t="shared" si="2"/>
        <v>0</v>
      </c>
      <c r="K64" s="98">
        <f t="shared" si="3"/>
        <v>93000</v>
      </c>
    </row>
    <row r="65" spans="1:11" x14ac:dyDescent="0.25">
      <c r="A65" s="82">
        <f>'A) Base RI'!A64</f>
        <v>5493</v>
      </c>
      <c r="B65" s="62" t="str">
        <f>'A) Base RI'!B64</f>
        <v>Orny</v>
      </c>
      <c r="C65" s="18">
        <f>'A) Base RI'!AN64</f>
        <v>364</v>
      </c>
      <c r="D65" s="61">
        <f t="shared" si="5"/>
        <v>364</v>
      </c>
      <c r="E65" s="18">
        <f t="shared" si="4"/>
        <v>0</v>
      </c>
      <c r="F65" s="18">
        <f t="shared" si="4"/>
        <v>0</v>
      </c>
      <c r="G65" s="18">
        <f t="shared" si="4"/>
        <v>0</v>
      </c>
      <c r="H65" s="18">
        <f t="shared" si="4"/>
        <v>0</v>
      </c>
      <c r="I65" s="73">
        <f t="shared" si="4"/>
        <v>0</v>
      </c>
      <c r="J65" s="18">
        <f t="shared" si="2"/>
        <v>0</v>
      </c>
      <c r="K65" s="98">
        <f t="shared" si="3"/>
        <v>36400</v>
      </c>
    </row>
    <row r="66" spans="1:11" x14ac:dyDescent="0.25">
      <c r="A66" s="82">
        <f>'A) Base RI'!A65</f>
        <v>5494</v>
      </c>
      <c r="B66" s="62" t="str">
        <f>'A) Base RI'!B65</f>
        <v>Pampigny</v>
      </c>
      <c r="C66" s="18">
        <f>'A) Base RI'!AN65</f>
        <v>1104</v>
      </c>
      <c r="D66" s="61">
        <f t="shared" si="5"/>
        <v>1000</v>
      </c>
      <c r="E66" s="18">
        <f t="shared" si="4"/>
        <v>104</v>
      </c>
      <c r="F66" s="18">
        <f t="shared" si="4"/>
        <v>0</v>
      </c>
      <c r="G66" s="18">
        <f t="shared" si="4"/>
        <v>0</v>
      </c>
      <c r="H66" s="18">
        <f t="shared" si="4"/>
        <v>0</v>
      </c>
      <c r="I66" s="73">
        <f t="shared" si="4"/>
        <v>0</v>
      </c>
      <c r="J66" s="18">
        <f t="shared" si="2"/>
        <v>0</v>
      </c>
      <c r="K66" s="98">
        <f t="shared" si="3"/>
        <v>136400</v>
      </c>
    </row>
    <row r="67" spans="1:11" x14ac:dyDescent="0.25">
      <c r="A67" s="82">
        <f>'A) Base RI'!A66</f>
        <v>5495</v>
      </c>
      <c r="B67" s="62" t="str">
        <f>'A) Base RI'!B66</f>
        <v>Penthalaz</v>
      </c>
      <c r="C67" s="18">
        <f>'A) Base RI'!AN66</f>
        <v>3150</v>
      </c>
      <c r="D67" s="61">
        <f t="shared" si="5"/>
        <v>1000</v>
      </c>
      <c r="E67" s="18">
        <f t="shared" si="4"/>
        <v>2000</v>
      </c>
      <c r="F67" s="18">
        <f t="shared" si="4"/>
        <v>150</v>
      </c>
      <c r="G67" s="18">
        <f t="shared" si="4"/>
        <v>0</v>
      </c>
      <c r="H67" s="18">
        <f t="shared" si="4"/>
        <v>0</v>
      </c>
      <c r="I67" s="73">
        <f t="shared" si="4"/>
        <v>0</v>
      </c>
      <c r="J67" s="18">
        <f t="shared" si="2"/>
        <v>0</v>
      </c>
      <c r="K67" s="98">
        <f t="shared" si="3"/>
        <v>875000</v>
      </c>
    </row>
    <row r="68" spans="1:11" x14ac:dyDescent="0.25">
      <c r="A68" s="82">
        <f>'A) Base RI'!A67</f>
        <v>5496</v>
      </c>
      <c r="B68" s="62" t="str">
        <f>'A) Base RI'!B67</f>
        <v>Penthaz</v>
      </c>
      <c r="C68" s="18">
        <f>'A) Base RI'!AN67</f>
        <v>1666</v>
      </c>
      <c r="D68" s="61">
        <f t="shared" si="5"/>
        <v>1000</v>
      </c>
      <c r="E68" s="18">
        <f t="shared" si="4"/>
        <v>666</v>
      </c>
      <c r="F68" s="18">
        <f t="shared" si="4"/>
        <v>0</v>
      </c>
      <c r="G68" s="18">
        <f t="shared" si="4"/>
        <v>0</v>
      </c>
      <c r="H68" s="18">
        <f t="shared" si="4"/>
        <v>0</v>
      </c>
      <c r="I68" s="73">
        <f t="shared" si="4"/>
        <v>0</v>
      </c>
      <c r="J68" s="18">
        <f t="shared" si="2"/>
        <v>0</v>
      </c>
      <c r="K68" s="98">
        <f t="shared" si="3"/>
        <v>333100</v>
      </c>
    </row>
    <row r="69" spans="1:11" x14ac:dyDescent="0.25">
      <c r="A69" s="82">
        <f>'A) Base RI'!A68</f>
        <v>5497</v>
      </c>
      <c r="B69" s="62" t="str">
        <f>'A) Base RI'!B68</f>
        <v>Pompaples</v>
      </c>
      <c r="C69" s="18">
        <f>'A) Base RI'!AN68</f>
        <v>839</v>
      </c>
      <c r="D69" s="61">
        <f t="shared" si="5"/>
        <v>839</v>
      </c>
      <c r="E69" s="18">
        <f t="shared" si="4"/>
        <v>0</v>
      </c>
      <c r="F69" s="18">
        <f t="shared" si="4"/>
        <v>0</v>
      </c>
      <c r="G69" s="18">
        <f t="shared" si="4"/>
        <v>0</v>
      </c>
      <c r="H69" s="18">
        <f t="shared" si="4"/>
        <v>0</v>
      </c>
      <c r="I69" s="73">
        <f t="shared" si="4"/>
        <v>0</v>
      </c>
      <c r="J69" s="18">
        <f t="shared" si="2"/>
        <v>0</v>
      </c>
      <c r="K69" s="98">
        <f t="shared" si="3"/>
        <v>83900</v>
      </c>
    </row>
    <row r="70" spans="1:11" x14ac:dyDescent="0.25">
      <c r="A70" s="82">
        <f>'A) Base RI'!A69</f>
        <v>5498</v>
      </c>
      <c r="B70" s="62" t="str">
        <f>'A) Base RI'!B69</f>
        <v>La Sarraz</v>
      </c>
      <c r="C70" s="18">
        <f>'A) Base RI'!AN69</f>
        <v>2510</v>
      </c>
      <c r="D70" s="61">
        <f t="shared" si="5"/>
        <v>1000</v>
      </c>
      <c r="E70" s="18">
        <f t="shared" si="4"/>
        <v>1510</v>
      </c>
      <c r="F70" s="18">
        <f t="shared" si="4"/>
        <v>0</v>
      </c>
      <c r="G70" s="18">
        <f t="shared" si="4"/>
        <v>0</v>
      </c>
      <c r="H70" s="18">
        <f t="shared" si="4"/>
        <v>0</v>
      </c>
      <c r="I70" s="73">
        <f t="shared" si="4"/>
        <v>0</v>
      </c>
      <c r="J70" s="18">
        <f t="shared" si="2"/>
        <v>0</v>
      </c>
      <c r="K70" s="98">
        <f t="shared" si="3"/>
        <v>628500</v>
      </c>
    </row>
    <row r="71" spans="1:11" x14ac:dyDescent="0.25">
      <c r="A71" s="82">
        <f>'A) Base RI'!A70</f>
        <v>5499</v>
      </c>
      <c r="B71" s="62" t="str">
        <f>'A) Base RI'!B70</f>
        <v>Senarclens</v>
      </c>
      <c r="C71" s="18">
        <f>'A) Base RI'!AN70</f>
        <v>435</v>
      </c>
      <c r="D71" s="61">
        <f t="shared" si="5"/>
        <v>435</v>
      </c>
      <c r="E71" s="18">
        <f t="shared" si="4"/>
        <v>0</v>
      </c>
      <c r="F71" s="18">
        <f t="shared" si="4"/>
        <v>0</v>
      </c>
      <c r="G71" s="18">
        <f t="shared" si="4"/>
        <v>0</v>
      </c>
      <c r="H71" s="18">
        <f t="shared" si="4"/>
        <v>0</v>
      </c>
      <c r="I71" s="73">
        <f t="shared" si="4"/>
        <v>0</v>
      </c>
      <c r="J71" s="18">
        <f t="shared" si="2"/>
        <v>0</v>
      </c>
      <c r="K71" s="98">
        <f t="shared" si="3"/>
        <v>43500</v>
      </c>
    </row>
    <row r="72" spans="1:11" x14ac:dyDescent="0.25">
      <c r="A72" s="82">
        <f>'A) Base RI'!A71</f>
        <v>5500</v>
      </c>
      <c r="B72" s="62" t="str">
        <f>'A) Base RI'!B71</f>
        <v>Sévery</v>
      </c>
      <c r="C72" s="18">
        <f>'A) Base RI'!AN71</f>
        <v>223</v>
      </c>
      <c r="D72" s="61">
        <f t="shared" si="5"/>
        <v>223</v>
      </c>
      <c r="E72" s="18">
        <f t="shared" si="4"/>
        <v>0</v>
      </c>
      <c r="F72" s="18">
        <f t="shared" si="4"/>
        <v>0</v>
      </c>
      <c r="G72" s="18">
        <f t="shared" si="4"/>
        <v>0</v>
      </c>
      <c r="H72" s="18">
        <f t="shared" si="4"/>
        <v>0</v>
      </c>
      <c r="I72" s="73">
        <f t="shared" si="4"/>
        <v>0</v>
      </c>
      <c r="J72" s="18">
        <f t="shared" si="2"/>
        <v>0</v>
      </c>
      <c r="K72" s="98">
        <f t="shared" si="3"/>
        <v>22300</v>
      </c>
    </row>
    <row r="73" spans="1:11" x14ac:dyDescent="0.25">
      <c r="A73" s="82">
        <f>'A) Base RI'!A72</f>
        <v>5501</v>
      </c>
      <c r="B73" s="62" t="str">
        <f>'A) Base RI'!B72</f>
        <v>Sullens</v>
      </c>
      <c r="C73" s="18">
        <f>'A) Base RI'!AN72</f>
        <v>902</v>
      </c>
      <c r="D73" s="61">
        <f t="shared" si="5"/>
        <v>902</v>
      </c>
      <c r="E73" s="18">
        <f t="shared" si="4"/>
        <v>0</v>
      </c>
      <c r="F73" s="18">
        <f t="shared" si="4"/>
        <v>0</v>
      </c>
      <c r="G73" s="18">
        <f t="shared" si="4"/>
        <v>0</v>
      </c>
      <c r="H73" s="18">
        <f t="shared" si="4"/>
        <v>0</v>
      </c>
      <c r="I73" s="73">
        <f t="shared" si="4"/>
        <v>0</v>
      </c>
      <c r="J73" s="18">
        <f t="shared" ref="J73:J119" si="6">IF(C73&gt;$J$4,C73-$J$4,0)</f>
        <v>0</v>
      </c>
      <c r="K73" s="98">
        <f t="shared" ref="K73:K136" si="7">(D73*D$7)+(E73*E$7)+(F73*F$7)+(G73*G$7)+(H73*H$7)+(I73*I$7)+(J73*J$7)</f>
        <v>90200</v>
      </c>
    </row>
    <row r="74" spans="1:11" x14ac:dyDescent="0.25">
      <c r="A74" s="82">
        <f>'A) Base RI'!A73</f>
        <v>5503</v>
      </c>
      <c r="B74" s="62" t="str">
        <f>'A) Base RI'!B73</f>
        <v>Vufflens-la-Ville</v>
      </c>
      <c r="C74" s="18">
        <f>'A) Base RI'!AN73</f>
        <v>1226</v>
      </c>
      <c r="D74" s="61">
        <f t="shared" si="5"/>
        <v>1000</v>
      </c>
      <c r="E74" s="18">
        <f t="shared" si="4"/>
        <v>226</v>
      </c>
      <c r="F74" s="18">
        <f t="shared" si="4"/>
        <v>0</v>
      </c>
      <c r="G74" s="18">
        <f t="shared" si="4"/>
        <v>0</v>
      </c>
      <c r="H74" s="18">
        <f t="shared" si="4"/>
        <v>0</v>
      </c>
      <c r="I74" s="73">
        <f t="shared" si="4"/>
        <v>0</v>
      </c>
      <c r="J74" s="18">
        <f t="shared" si="6"/>
        <v>0</v>
      </c>
      <c r="K74" s="98">
        <f t="shared" si="7"/>
        <v>179100</v>
      </c>
    </row>
    <row r="75" spans="1:11" x14ac:dyDescent="0.25">
      <c r="A75" s="82">
        <f>'A) Base RI'!A74</f>
        <v>5511</v>
      </c>
      <c r="B75" s="62" t="str">
        <f>'A) Base RI'!B74</f>
        <v>Assens</v>
      </c>
      <c r="C75" s="18">
        <f>'A) Base RI'!AN74</f>
        <v>1024</v>
      </c>
      <c r="D75" s="61">
        <f t="shared" si="5"/>
        <v>1000</v>
      </c>
      <c r="E75" s="18">
        <f t="shared" si="4"/>
        <v>24</v>
      </c>
      <c r="F75" s="18">
        <f t="shared" si="4"/>
        <v>0</v>
      </c>
      <c r="G75" s="18">
        <f t="shared" si="4"/>
        <v>0</v>
      </c>
      <c r="H75" s="18">
        <f t="shared" si="4"/>
        <v>0</v>
      </c>
      <c r="I75" s="73">
        <f t="shared" si="4"/>
        <v>0</v>
      </c>
      <c r="J75" s="18">
        <f t="shared" si="6"/>
        <v>0</v>
      </c>
      <c r="K75" s="98">
        <f t="shared" si="7"/>
        <v>108400</v>
      </c>
    </row>
    <row r="76" spans="1:11" x14ac:dyDescent="0.25">
      <c r="A76" s="82">
        <f>'A) Base RI'!A75</f>
        <v>5512</v>
      </c>
      <c r="B76" s="62" t="str">
        <f>'A) Base RI'!B75</f>
        <v>Bercher</v>
      </c>
      <c r="C76" s="18">
        <f>'A) Base RI'!AN75</f>
        <v>1143</v>
      </c>
      <c r="D76" s="61">
        <f t="shared" si="5"/>
        <v>1000</v>
      </c>
      <c r="E76" s="18">
        <f t="shared" si="4"/>
        <v>143</v>
      </c>
      <c r="F76" s="18">
        <f t="shared" si="4"/>
        <v>0</v>
      </c>
      <c r="G76" s="18">
        <f t="shared" si="4"/>
        <v>0</v>
      </c>
      <c r="H76" s="18">
        <f t="shared" si="4"/>
        <v>0</v>
      </c>
      <c r="I76" s="73">
        <f t="shared" si="4"/>
        <v>0</v>
      </c>
      <c r="J76" s="18">
        <f t="shared" si="6"/>
        <v>0</v>
      </c>
      <c r="K76" s="98">
        <f t="shared" si="7"/>
        <v>150050</v>
      </c>
    </row>
    <row r="77" spans="1:11" x14ac:dyDescent="0.25">
      <c r="A77" s="82">
        <f>'A) Base RI'!A76</f>
        <v>5513</v>
      </c>
      <c r="B77" s="62" t="str">
        <f>'A) Base RI'!B76</f>
        <v>Bioley-Orjulaz</v>
      </c>
      <c r="C77" s="18">
        <f>'A) Base RI'!AN76</f>
        <v>460</v>
      </c>
      <c r="D77" s="61">
        <f t="shared" si="5"/>
        <v>460</v>
      </c>
      <c r="E77" s="18">
        <f t="shared" si="4"/>
        <v>0</v>
      </c>
      <c r="F77" s="18">
        <f t="shared" si="4"/>
        <v>0</v>
      </c>
      <c r="G77" s="18">
        <f t="shared" si="4"/>
        <v>0</v>
      </c>
      <c r="H77" s="18">
        <f t="shared" si="4"/>
        <v>0</v>
      </c>
      <c r="I77" s="73">
        <f t="shared" si="4"/>
        <v>0</v>
      </c>
      <c r="J77" s="18">
        <f t="shared" si="6"/>
        <v>0</v>
      </c>
      <c r="K77" s="98">
        <f t="shared" si="7"/>
        <v>46000</v>
      </c>
    </row>
    <row r="78" spans="1:11" x14ac:dyDescent="0.25">
      <c r="A78" s="82">
        <f>'A) Base RI'!A77</f>
        <v>5514</v>
      </c>
      <c r="B78" s="62" t="str">
        <f>'A) Base RI'!B77</f>
        <v>Bottens</v>
      </c>
      <c r="C78" s="18">
        <f>'A) Base RI'!AN77</f>
        <v>1281</v>
      </c>
      <c r="D78" s="61">
        <f t="shared" si="5"/>
        <v>1000</v>
      </c>
      <c r="E78" s="18">
        <f t="shared" si="4"/>
        <v>281</v>
      </c>
      <c r="F78" s="18">
        <f t="shared" si="4"/>
        <v>0</v>
      </c>
      <c r="G78" s="18">
        <f t="shared" si="4"/>
        <v>0</v>
      </c>
      <c r="H78" s="18">
        <f t="shared" si="4"/>
        <v>0</v>
      </c>
      <c r="I78" s="73">
        <f t="shared" si="4"/>
        <v>0</v>
      </c>
      <c r="J78" s="18">
        <f t="shared" si="6"/>
        <v>0</v>
      </c>
      <c r="K78" s="98">
        <f t="shared" si="7"/>
        <v>198350</v>
      </c>
    </row>
    <row r="79" spans="1:11" x14ac:dyDescent="0.25">
      <c r="A79" s="82">
        <f>'A) Base RI'!A78</f>
        <v>5515</v>
      </c>
      <c r="B79" s="62" t="str">
        <f>'A) Base RI'!B78</f>
        <v>Bretigny-sur-Morrens</v>
      </c>
      <c r="C79" s="18">
        <f>'A) Base RI'!AN78</f>
        <v>785</v>
      </c>
      <c r="D79" s="61">
        <f t="shared" si="5"/>
        <v>785</v>
      </c>
      <c r="E79" s="18">
        <f t="shared" si="4"/>
        <v>0</v>
      </c>
      <c r="F79" s="18">
        <f t="shared" si="4"/>
        <v>0</v>
      </c>
      <c r="G79" s="18">
        <f t="shared" si="4"/>
        <v>0</v>
      </c>
      <c r="H79" s="18">
        <f t="shared" si="4"/>
        <v>0</v>
      </c>
      <c r="I79" s="73">
        <f t="shared" si="4"/>
        <v>0</v>
      </c>
      <c r="J79" s="18">
        <f t="shared" si="6"/>
        <v>0</v>
      </c>
      <c r="K79" s="98">
        <f t="shared" si="7"/>
        <v>78500</v>
      </c>
    </row>
    <row r="80" spans="1:11" x14ac:dyDescent="0.25">
      <c r="A80" s="82">
        <f>'A) Base RI'!A79</f>
        <v>5516</v>
      </c>
      <c r="B80" s="62" t="str">
        <f>'A) Base RI'!B79</f>
        <v>Cugy</v>
      </c>
      <c r="C80" s="18">
        <f>'A) Base RI'!AN79</f>
        <v>2738</v>
      </c>
      <c r="D80" s="61">
        <f t="shared" si="5"/>
        <v>1000</v>
      </c>
      <c r="E80" s="18">
        <f t="shared" si="4"/>
        <v>1738</v>
      </c>
      <c r="F80" s="18">
        <f t="shared" si="4"/>
        <v>0</v>
      </c>
      <c r="G80" s="18">
        <f t="shared" si="4"/>
        <v>0</v>
      </c>
      <c r="H80" s="18">
        <f t="shared" si="4"/>
        <v>0</v>
      </c>
      <c r="I80" s="73">
        <f t="shared" si="4"/>
        <v>0</v>
      </c>
      <c r="J80" s="18">
        <f t="shared" si="6"/>
        <v>0</v>
      </c>
      <c r="K80" s="98">
        <f t="shared" si="7"/>
        <v>708300</v>
      </c>
    </row>
    <row r="81" spans="1:11" x14ac:dyDescent="0.25">
      <c r="A81" s="82">
        <f>'A) Base RI'!A80</f>
        <v>5518</v>
      </c>
      <c r="B81" s="62" t="str">
        <f>'A) Base RI'!B80</f>
        <v>Echallens</v>
      </c>
      <c r="C81" s="18">
        <f>'A) Base RI'!AN80</f>
        <v>5485</v>
      </c>
      <c r="D81" s="61">
        <f t="shared" si="5"/>
        <v>1000</v>
      </c>
      <c r="E81" s="18">
        <f t="shared" si="4"/>
        <v>2000</v>
      </c>
      <c r="F81" s="18">
        <f t="shared" si="4"/>
        <v>2000</v>
      </c>
      <c r="G81" s="18">
        <f t="shared" si="4"/>
        <v>485</v>
      </c>
      <c r="H81" s="18">
        <f t="shared" si="4"/>
        <v>0</v>
      </c>
      <c r="I81" s="73">
        <f t="shared" si="4"/>
        <v>0</v>
      </c>
      <c r="J81" s="18">
        <f t="shared" si="6"/>
        <v>0</v>
      </c>
      <c r="K81" s="98">
        <f t="shared" si="7"/>
        <v>2091000</v>
      </c>
    </row>
    <row r="82" spans="1:11" x14ac:dyDescent="0.25">
      <c r="A82" s="82">
        <f>'A) Base RI'!A81</f>
        <v>5520</v>
      </c>
      <c r="B82" s="62" t="str">
        <f>'A) Base RI'!B81</f>
        <v>Essertines-sur-Yverdon</v>
      </c>
      <c r="C82" s="18">
        <f>'A) Base RI'!AN81</f>
        <v>908</v>
      </c>
      <c r="D82" s="61">
        <f t="shared" si="5"/>
        <v>908</v>
      </c>
      <c r="E82" s="18">
        <f t="shared" si="4"/>
        <v>0</v>
      </c>
      <c r="F82" s="18">
        <f t="shared" si="4"/>
        <v>0</v>
      </c>
      <c r="G82" s="18">
        <f t="shared" si="4"/>
        <v>0</v>
      </c>
      <c r="H82" s="18">
        <f t="shared" si="4"/>
        <v>0</v>
      </c>
      <c r="I82" s="73">
        <f t="shared" si="4"/>
        <v>0</v>
      </c>
      <c r="J82" s="18">
        <f t="shared" si="6"/>
        <v>0</v>
      </c>
      <c r="K82" s="98">
        <f t="shared" si="7"/>
        <v>90800</v>
      </c>
    </row>
    <row r="83" spans="1:11" x14ac:dyDescent="0.25">
      <c r="A83" s="82">
        <f>'A) Base RI'!A82</f>
        <v>5521</v>
      </c>
      <c r="B83" s="62" t="str">
        <f>'A) Base RI'!B82</f>
        <v>Etagnières</v>
      </c>
      <c r="C83" s="18">
        <f>'A) Base RI'!AN82</f>
        <v>1106</v>
      </c>
      <c r="D83" s="61">
        <f t="shared" si="5"/>
        <v>1000</v>
      </c>
      <c r="E83" s="18">
        <f t="shared" si="4"/>
        <v>106</v>
      </c>
      <c r="F83" s="18">
        <f t="shared" si="4"/>
        <v>0</v>
      </c>
      <c r="G83" s="18">
        <f t="shared" si="4"/>
        <v>0</v>
      </c>
      <c r="H83" s="18">
        <f t="shared" si="4"/>
        <v>0</v>
      </c>
      <c r="I83" s="73">
        <f t="shared" si="4"/>
        <v>0</v>
      </c>
      <c r="J83" s="18">
        <f t="shared" si="6"/>
        <v>0</v>
      </c>
      <c r="K83" s="98">
        <f t="shared" si="7"/>
        <v>137100</v>
      </c>
    </row>
    <row r="84" spans="1:11" x14ac:dyDescent="0.25">
      <c r="A84" s="82">
        <f>'A) Base RI'!A83</f>
        <v>5522</v>
      </c>
      <c r="B84" s="62" t="str">
        <f>'A) Base RI'!B83</f>
        <v>Fey</v>
      </c>
      <c r="C84" s="18">
        <f>'A) Base RI'!AN83</f>
        <v>620</v>
      </c>
      <c r="D84" s="61">
        <f t="shared" si="5"/>
        <v>620</v>
      </c>
      <c r="E84" s="18">
        <f t="shared" si="4"/>
        <v>0</v>
      </c>
      <c r="F84" s="18">
        <f t="shared" si="4"/>
        <v>0</v>
      </c>
      <c r="G84" s="18">
        <f t="shared" si="4"/>
        <v>0</v>
      </c>
      <c r="H84" s="18">
        <f t="shared" si="4"/>
        <v>0</v>
      </c>
      <c r="I84" s="73">
        <f t="shared" si="4"/>
        <v>0</v>
      </c>
      <c r="J84" s="18">
        <f t="shared" si="6"/>
        <v>0</v>
      </c>
      <c r="K84" s="98">
        <f t="shared" si="7"/>
        <v>62000</v>
      </c>
    </row>
    <row r="85" spans="1:11" x14ac:dyDescent="0.25">
      <c r="A85" s="82">
        <f>'A) Base RI'!A84</f>
        <v>5523</v>
      </c>
      <c r="B85" s="62" t="str">
        <f>'A) Base RI'!B84</f>
        <v>Froideville</v>
      </c>
      <c r="C85" s="18">
        <f>'A) Base RI'!AN84</f>
        <v>2305</v>
      </c>
      <c r="D85" s="61">
        <f t="shared" si="5"/>
        <v>1000</v>
      </c>
      <c r="E85" s="18">
        <f t="shared" si="4"/>
        <v>1305</v>
      </c>
      <c r="F85" s="18">
        <f t="shared" si="4"/>
        <v>0</v>
      </c>
      <c r="G85" s="18">
        <f t="shared" si="4"/>
        <v>0</v>
      </c>
      <c r="H85" s="18">
        <f t="shared" si="4"/>
        <v>0</v>
      </c>
      <c r="I85" s="73">
        <f t="shared" si="4"/>
        <v>0</v>
      </c>
      <c r="J85" s="18">
        <f t="shared" si="6"/>
        <v>0</v>
      </c>
      <c r="K85" s="98">
        <f t="shared" si="7"/>
        <v>556750</v>
      </c>
    </row>
    <row r="86" spans="1:11" x14ac:dyDescent="0.25">
      <c r="A86" s="82">
        <f>'A) Base RI'!A85</f>
        <v>5527</v>
      </c>
      <c r="B86" s="62" t="str">
        <f>'A) Base RI'!B85</f>
        <v>Morrens</v>
      </c>
      <c r="C86" s="18">
        <f>'A) Base RI'!AN85</f>
        <v>1048</v>
      </c>
      <c r="D86" s="61">
        <f t="shared" si="5"/>
        <v>1000</v>
      </c>
      <c r="E86" s="18">
        <f t="shared" si="4"/>
        <v>48</v>
      </c>
      <c r="F86" s="18">
        <f t="shared" si="4"/>
        <v>0</v>
      </c>
      <c r="G86" s="18">
        <f t="shared" si="4"/>
        <v>0</v>
      </c>
      <c r="H86" s="18">
        <f t="shared" si="4"/>
        <v>0</v>
      </c>
      <c r="I86" s="73">
        <f t="shared" si="4"/>
        <v>0</v>
      </c>
      <c r="J86" s="18">
        <f t="shared" si="6"/>
        <v>0</v>
      </c>
      <c r="K86" s="98">
        <f t="shared" si="7"/>
        <v>116800</v>
      </c>
    </row>
    <row r="87" spans="1:11" x14ac:dyDescent="0.25">
      <c r="A87" s="82">
        <f>'A) Base RI'!A86</f>
        <v>5529</v>
      </c>
      <c r="B87" s="62" t="str">
        <f>'A) Base RI'!B86</f>
        <v>Oulens-sous-Echallens</v>
      </c>
      <c r="C87" s="18">
        <f>'A) Base RI'!AN86</f>
        <v>529</v>
      </c>
      <c r="D87" s="61">
        <f t="shared" si="5"/>
        <v>529</v>
      </c>
      <c r="E87" s="18">
        <f t="shared" si="4"/>
        <v>0</v>
      </c>
      <c r="F87" s="18">
        <f t="shared" si="4"/>
        <v>0</v>
      </c>
      <c r="G87" s="18">
        <f t="shared" si="4"/>
        <v>0</v>
      </c>
      <c r="H87" s="18">
        <f t="shared" si="4"/>
        <v>0</v>
      </c>
      <c r="I87" s="73">
        <f t="shared" ref="E87:I126" si="8">IF($C87&gt;I$4,IF($C87&lt;I$5,$C87-I$4,I$5-I$4),0)</f>
        <v>0</v>
      </c>
      <c r="J87" s="18">
        <f t="shared" si="6"/>
        <v>0</v>
      </c>
      <c r="K87" s="98">
        <f t="shared" si="7"/>
        <v>52900</v>
      </c>
    </row>
    <row r="88" spans="1:11" x14ac:dyDescent="0.25">
      <c r="A88" s="82">
        <f>'A) Base RI'!A87</f>
        <v>5530</v>
      </c>
      <c r="B88" s="62" t="str">
        <f>'A) Base RI'!B87</f>
        <v>Pailly</v>
      </c>
      <c r="C88" s="18">
        <f>'A) Base RI'!AN87</f>
        <v>524</v>
      </c>
      <c r="D88" s="61">
        <f t="shared" si="5"/>
        <v>524</v>
      </c>
      <c r="E88" s="18">
        <f t="shared" si="8"/>
        <v>0</v>
      </c>
      <c r="F88" s="18">
        <f t="shared" si="8"/>
        <v>0</v>
      </c>
      <c r="G88" s="18">
        <f t="shared" si="8"/>
        <v>0</v>
      </c>
      <c r="H88" s="18">
        <f t="shared" si="8"/>
        <v>0</v>
      </c>
      <c r="I88" s="73">
        <f t="shared" si="8"/>
        <v>0</v>
      </c>
      <c r="J88" s="18">
        <f t="shared" si="6"/>
        <v>0</v>
      </c>
      <c r="K88" s="98">
        <f t="shared" si="7"/>
        <v>52400</v>
      </c>
    </row>
    <row r="89" spans="1:11" x14ac:dyDescent="0.25">
      <c r="A89" s="82">
        <f>'A) Base RI'!A88</f>
        <v>5531</v>
      </c>
      <c r="B89" s="62" t="str">
        <f>'A) Base RI'!B88</f>
        <v>Penthéréaz</v>
      </c>
      <c r="C89" s="18">
        <f>'A) Base RI'!AN88</f>
        <v>387</v>
      </c>
      <c r="D89" s="61">
        <f t="shared" si="5"/>
        <v>387</v>
      </c>
      <c r="E89" s="18">
        <f t="shared" si="8"/>
        <v>0</v>
      </c>
      <c r="F89" s="18">
        <f t="shared" si="8"/>
        <v>0</v>
      </c>
      <c r="G89" s="18">
        <f t="shared" si="8"/>
        <v>0</v>
      </c>
      <c r="H89" s="18">
        <f t="shared" si="8"/>
        <v>0</v>
      </c>
      <c r="I89" s="73">
        <f t="shared" si="8"/>
        <v>0</v>
      </c>
      <c r="J89" s="18">
        <f t="shared" si="6"/>
        <v>0</v>
      </c>
      <c r="K89" s="98">
        <f t="shared" si="7"/>
        <v>38700</v>
      </c>
    </row>
    <row r="90" spans="1:11" x14ac:dyDescent="0.25">
      <c r="A90" s="82">
        <f>'A) Base RI'!A89</f>
        <v>5533</v>
      </c>
      <c r="B90" s="62" t="str">
        <f>'A) Base RI'!B89</f>
        <v>Poliez-Pittet</v>
      </c>
      <c r="C90" s="18">
        <f>'A) Base RI'!AN89</f>
        <v>802</v>
      </c>
      <c r="D90" s="61">
        <f t="shared" si="5"/>
        <v>802</v>
      </c>
      <c r="E90" s="18">
        <f t="shared" si="8"/>
        <v>0</v>
      </c>
      <c r="F90" s="18">
        <f t="shared" si="8"/>
        <v>0</v>
      </c>
      <c r="G90" s="18">
        <f t="shared" si="8"/>
        <v>0</v>
      </c>
      <c r="H90" s="18">
        <f t="shared" si="8"/>
        <v>0</v>
      </c>
      <c r="I90" s="73">
        <f t="shared" si="8"/>
        <v>0</v>
      </c>
      <c r="J90" s="18">
        <f t="shared" si="6"/>
        <v>0</v>
      </c>
      <c r="K90" s="98">
        <f t="shared" si="7"/>
        <v>80200</v>
      </c>
    </row>
    <row r="91" spans="1:11" x14ac:dyDescent="0.25">
      <c r="A91" s="82">
        <f>'A) Base RI'!A90</f>
        <v>5534</v>
      </c>
      <c r="B91" s="62" t="str">
        <f>'A) Base RI'!B90</f>
        <v>Rueyres</v>
      </c>
      <c r="C91" s="18">
        <f>'A) Base RI'!AN90</f>
        <v>261</v>
      </c>
      <c r="D91" s="61">
        <f t="shared" si="5"/>
        <v>261</v>
      </c>
      <c r="E91" s="18">
        <f t="shared" si="8"/>
        <v>0</v>
      </c>
      <c r="F91" s="18">
        <f t="shared" si="8"/>
        <v>0</v>
      </c>
      <c r="G91" s="18">
        <f t="shared" si="8"/>
        <v>0</v>
      </c>
      <c r="H91" s="18">
        <f t="shared" si="8"/>
        <v>0</v>
      </c>
      <c r="I91" s="73">
        <f t="shared" si="8"/>
        <v>0</v>
      </c>
      <c r="J91" s="18">
        <f t="shared" si="6"/>
        <v>0</v>
      </c>
      <c r="K91" s="98">
        <f t="shared" si="7"/>
        <v>26100</v>
      </c>
    </row>
    <row r="92" spans="1:11" x14ac:dyDescent="0.25">
      <c r="A92" s="82">
        <f>'A) Base RI'!A91</f>
        <v>5535</v>
      </c>
      <c r="B92" s="62" t="str">
        <f>'A) Base RI'!B91</f>
        <v>Saint-Barthélemy</v>
      </c>
      <c r="C92" s="18">
        <f>'A) Base RI'!AN91</f>
        <v>776</v>
      </c>
      <c r="D92" s="61">
        <f t="shared" si="5"/>
        <v>776</v>
      </c>
      <c r="E92" s="18">
        <f t="shared" si="8"/>
        <v>0</v>
      </c>
      <c r="F92" s="18">
        <f t="shared" si="8"/>
        <v>0</v>
      </c>
      <c r="G92" s="18">
        <f t="shared" si="8"/>
        <v>0</v>
      </c>
      <c r="H92" s="18">
        <f t="shared" si="8"/>
        <v>0</v>
      </c>
      <c r="I92" s="73">
        <f t="shared" si="8"/>
        <v>0</v>
      </c>
      <c r="J92" s="18">
        <f t="shared" si="6"/>
        <v>0</v>
      </c>
      <c r="K92" s="98">
        <f t="shared" si="7"/>
        <v>77600</v>
      </c>
    </row>
    <row r="93" spans="1:11" x14ac:dyDescent="0.25">
      <c r="A93" s="82">
        <f>'A) Base RI'!A92</f>
        <v>5537</v>
      </c>
      <c r="B93" s="62" t="str">
        <f>'A) Base RI'!B92</f>
        <v>Villars-le-Terroir</v>
      </c>
      <c r="C93" s="18">
        <f>'A) Base RI'!AN92</f>
        <v>944</v>
      </c>
      <c r="D93" s="61">
        <f t="shared" si="5"/>
        <v>944</v>
      </c>
      <c r="E93" s="18">
        <f t="shared" si="8"/>
        <v>0</v>
      </c>
      <c r="F93" s="18">
        <f t="shared" si="8"/>
        <v>0</v>
      </c>
      <c r="G93" s="18">
        <f t="shared" si="8"/>
        <v>0</v>
      </c>
      <c r="H93" s="18">
        <f t="shared" si="8"/>
        <v>0</v>
      </c>
      <c r="I93" s="73">
        <f t="shared" si="8"/>
        <v>0</v>
      </c>
      <c r="J93" s="18">
        <f t="shared" si="6"/>
        <v>0</v>
      </c>
      <c r="K93" s="98">
        <f t="shared" si="7"/>
        <v>94400</v>
      </c>
    </row>
    <row r="94" spans="1:11" x14ac:dyDescent="0.25">
      <c r="A94" s="82">
        <f>'A) Base RI'!A93</f>
        <v>5539</v>
      </c>
      <c r="B94" s="62" t="str">
        <f>'A) Base RI'!B93</f>
        <v>Vuarrens</v>
      </c>
      <c r="C94" s="18">
        <f>'A) Base RI'!AN93</f>
        <v>930</v>
      </c>
      <c r="D94" s="61">
        <f t="shared" si="5"/>
        <v>930</v>
      </c>
      <c r="E94" s="18">
        <f t="shared" si="8"/>
        <v>0</v>
      </c>
      <c r="F94" s="18">
        <f t="shared" si="8"/>
        <v>0</v>
      </c>
      <c r="G94" s="18">
        <f t="shared" si="8"/>
        <v>0</v>
      </c>
      <c r="H94" s="18">
        <f t="shared" si="8"/>
        <v>0</v>
      </c>
      <c r="I94" s="73">
        <f t="shared" si="8"/>
        <v>0</v>
      </c>
      <c r="J94" s="18">
        <f t="shared" si="6"/>
        <v>0</v>
      </c>
      <c r="K94" s="98">
        <f t="shared" si="7"/>
        <v>93000</v>
      </c>
    </row>
    <row r="95" spans="1:11" x14ac:dyDescent="0.25">
      <c r="A95" s="82">
        <f>'A) Base RI'!A94</f>
        <v>5540</v>
      </c>
      <c r="B95" s="62" t="str">
        <f>'A) Base RI'!B94</f>
        <v>Montilliez</v>
      </c>
      <c r="C95" s="18">
        <f>'A) Base RI'!AN94</f>
        <v>1635</v>
      </c>
      <c r="D95" s="61">
        <f t="shared" si="5"/>
        <v>1000</v>
      </c>
      <c r="E95" s="18">
        <f t="shared" si="8"/>
        <v>635</v>
      </c>
      <c r="F95" s="18">
        <f t="shared" si="8"/>
        <v>0</v>
      </c>
      <c r="G95" s="18">
        <f t="shared" si="8"/>
        <v>0</v>
      </c>
      <c r="H95" s="18">
        <f t="shared" si="8"/>
        <v>0</v>
      </c>
      <c r="I95" s="73">
        <f t="shared" si="8"/>
        <v>0</v>
      </c>
      <c r="J95" s="18">
        <f t="shared" si="6"/>
        <v>0</v>
      </c>
      <c r="K95" s="98">
        <f t="shared" si="7"/>
        <v>322250</v>
      </c>
    </row>
    <row r="96" spans="1:11" x14ac:dyDescent="0.25">
      <c r="A96" s="82">
        <f>'A) Base RI'!A95</f>
        <v>5541</v>
      </c>
      <c r="B96" s="62" t="str">
        <f>'A) Base RI'!B95</f>
        <v>Goumoëns</v>
      </c>
      <c r="C96" s="18">
        <f>'A) Base RI'!AN95</f>
        <v>962</v>
      </c>
      <c r="D96" s="61">
        <f t="shared" si="5"/>
        <v>962</v>
      </c>
      <c r="E96" s="18">
        <f t="shared" si="8"/>
        <v>0</v>
      </c>
      <c r="F96" s="18">
        <f t="shared" si="8"/>
        <v>0</v>
      </c>
      <c r="G96" s="18">
        <f t="shared" si="8"/>
        <v>0</v>
      </c>
      <c r="H96" s="18">
        <f t="shared" si="8"/>
        <v>0</v>
      </c>
      <c r="I96" s="73">
        <f t="shared" si="8"/>
        <v>0</v>
      </c>
      <c r="J96" s="18">
        <f t="shared" si="6"/>
        <v>0</v>
      </c>
      <c r="K96" s="98">
        <f t="shared" si="7"/>
        <v>96200</v>
      </c>
    </row>
    <row r="97" spans="1:11" x14ac:dyDescent="0.25">
      <c r="A97" s="82">
        <f>'A) Base RI'!A96</f>
        <v>5551</v>
      </c>
      <c r="B97" s="62" t="str">
        <f>'A) Base RI'!B96</f>
        <v>Bonvillars</v>
      </c>
      <c r="C97" s="18">
        <f>'A) Base RI'!AN96</f>
        <v>514</v>
      </c>
      <c r="D97" s="61">
        <f t="shared" si="5"/>
        <v>514</v>
      </c>
      <c r="E97" s="18">
        <f t="shared" si="8"/>
        <v>0</v>
      </c>
      <c r="F97" s="18">
        <f t="shared" si="8"/>
        <v>0</v>
      </c>
      <c r="G97" s="18">
        <f t="shared" si="8"/>
        <v>0</v>
      </c>
      <c r="H97" s="18">
        <f t="shared" si="8"/>
        <v>0</v>
      </c>
      <c r="I97" s="73">
        <f t="shared" si="8"/>
        <v>0</v>
      </c>
      <c r="J97" s="18">
        <f t="shared" si="6"/>
        <v>0</v>
      </c>
      <c r="K97" s="98">
        <f t="shared" si="7"/>
        <v>51400</v>
      </c>
    </row>
    <row r="98" spans="1:11" x14ac:dyDescent="0.25">
      <c r="A98" s="82">
        <f>'A) Base RI'!A97</f>
        <v>5552</v>
      </c>
      <c r="B98" s="62" t="str">
        <f>'A) Base RI'!B97</f>
        <v>Bullet</v>
      </c>
      <c r="C98" s="18">
        <f>'A) Base RI'!AN97</f>
        <v>596</v>
      </c>
      <c r="D98" s="61">
        <f t="shared" si="5"/>
        <v>596</v>
      </c>
      <c r="E98" s="18">
        <f t="shared" si="8"/>
        <v>0</v>
      </c>
      <c r="F98" s="18">
        <f t="shared" si="8"/>
        <v>0</v>
      </c>
      <c r="G98" s="18">
        <f t="shared" si="8"/>
        <v>0</v>
      </c>
      <c r="H98" s="18">
        <f t="shared" si="8"/>
        <v>0</v>
      </c>
      <c r="I98" s="73">
        <f t="shared" si="8"/>
        <v>0</v>
      </c>
      <c r="J98" s="18">
        <f t="shared" si="6"/>
        <v>0</v>
      </c>
      <c r="K98" s="98">
        <f t="shared" si="7"/>
        <v>59600</v>
      </c>
    </row>
    <row r="99" spans="1:11" x14ac:dyDescent="0.25">
      <c r="A99" s="82">
        <f>'A) Base RI'!A98</f>
        <v>5553</v>
      </c>
      <c r="B99" s="62" t="str">
        <f>'A) Base RI'!B98</f>
        <v>Champagne</v>
      </c>
      <c r="C99" s="18">
        <f>'A) Base RI'!AN98</f>
        <v>1005</v>
      </c>
      <c r="D99" s="61">
        <f t="shared" si="5"/>
        <v>1000</v>
      </c>
      <c r="E99" s="18">
        <f t="shared" si="8"/>
        <v>5</v>
      </c>
      <c r="F99" s="18">
        <f t="shared" si="8"/>
        <v>0</v>
      </c>
      <c r="G99" s="18">
        <f t="shared" si="8"/>
        <v>0</v>
      </c>
      <c r="H99" s="18">
        <f t="shared" si="8"/>
        <v>0</v>
      </c>
      <c r="I99" s="73">
        <f t="shared" si="8"/>
        <v>0</v>
      </c>
      <c r="J99" s="18">
        <f t="shared" si="6"/>
        <v>0</v>
      </c>
      <c r="K99" s="98">
        <f t="shared" si="7"/>
        <v>101750</v>
      </c>
    </row>
    <row r="100" spans="1:11" x14ac:dyDescent="0.25">
      <c r="A100" s="82">
        <f>'A) Base RI'!A99</f>
        <v>5554</v>
      </c>
      <c r="B100" s="62" t="str">
        <f>'A) Base RI'!B99</f>
        <v>Concise</v>
      </c>
      <c r="C100" s="18">
        <f>'A) Base RI'!AN99</f>
        <v>932</v>
      </c>
      <c r="D100" s="61">
        <f t="shared" si="5"/>
        <v>932</v>
      </c>
      <c r="E100" s="18">
        <f t="shared" si="8"/>
        <v>0</v>
      </c>
      <c r="F100" s="18">
        <f t="shared" si="8"/>
        <v>0</v>
      </c>
      <c r="G100" s="18">
        <f t="shared" si="8"/>
        <v>0</v>
      </c>
      <c r="H100" s="18">
        <f t="shared" si="8"/>
        <v>0</v>
      </c>
      <c r="I100" s="73">
        <f t="shared" si="8"/>
        <v>0</v>
      </c>
      <c r="J100" s="18">
        <f t="shared" si="6"/>
        <v>0</v>
      </c>
      <c r="K100" s="98">
        <f t="shared" si="7"/>
        <v>93200</v>
      </c>
    </row>
    <row r="101" spans="1:11" x14ac:dyDescent="0.25">
      <c r="A101" s="82">
        <f>'A) Base RI'!A100</f>
        <v>5555</v>
      </c>
      <c r="B101" s="62" t="str">
        <f>'A) Base RI'!B100</f>
        <v>Corcelles-près-Concise</v>
      </c>
      <c r="C101" s="18">
        <f>'A) Base RI'!AN100</f>
        <v>331</v>
      </c>
      <c r="D101" s="61">
        <f t="shared" si="5"/>
        <v>331</v>
      </c>
      <c r="E101" s="18">
        <f t="shared" si="8"/>
        <v>0</v>
      </c>
      <c r="F101" s="18">
        <f t="shared" si="8"/>
        <v>0</v>
      </c>
      <c r="G101" s="18">
        <f t="shared" si="8"/>
        <v>0</v>
      </c>
      <c r="H101" s="18">
        <f t="shared" si="8"/>
        <v>0</v>
      </c>
      <c r="I101" s="73">
        <f t="shared" si="8"/>
        <v>0</v>
      </c>
      <c r="J101" s="18">
        <f t="shared" si="6"/>
        <v>0</v>
      </c>
      <c r="K101" s="98">
        <f t="shared" si="7"/>
        <v>33100</v>
      </c>
    </row>
    <row r="102" spans="1:11" x14ac:dyDescent="0.25">
      <c r="A102" s="82">
        <f>'A) Base RI'!A101</f>
        <v>5556</v>
      </c>
      <c r="B102" s="62" t="str">
        <f>'A) Base RI'!B101</f>
        <v>Fiez</v>
      </c>
      <c r="C102" s="18">
        <f>'A) Base RI'!AN101</f>
        <v>411</v>
      </c>
      <c r="D102" s="61">
        <f t="shared" si="5"/>
        <v>411</v>
      </c>
      <c r="E102" s="18">
        <f t="shared" si="8"/>
        <v>0</v>
      </c>
      <c r="F102" s="18">
        <f t="shared" si="8"/>
        <v>0</v>
      </c>
      <c r="G102" s="18">
        <f t="shared" si="8"/>
        <v>0</v>
      </c>
      <c r="H102" s="18">
        <f t="shared" si="8"/>
        <v>0</v>
      </c>
      <c r="I102" s="73">
        <f t="shared" si="8"/>
        <v>0</v>
      </c>
      <c r="J102" s="18">
        <f t="shared" si="6"/>
        <v>0</v>
      </c>
      <c r="K102" s="98">
        <f t="shared" si="7"/>
        <v>41100</v>
      </c>
    </row>
    <row r="103" spans="1:11" x14ac:dyDescent="0.25">
      <c r="A103" s="82">
        <f>'A) Base RI'!A102</f>
        <v>5557</v>
      </c>
      <c r="B103" s="62" t="str">
        <f>'A) Base RI'!B102</f>
        <v>Fontaines-sur-Grandson</v>
      </c>
      <c r="C103" s="18">
        <f>'A) Base RI'!AN102</f>
        <v>183</v>
      </c>
      <c r="D103" s="61">
        <f t="shared" si="5"/>
        <v>183</v>
      </c>
      <c r="E103" s="18">
        <f t="shared" si="8"/>
        <v>0</v>
      </c>
      <c r="F103" s="18">
        <f t="shared" si="8"/>
        <v>0</v>
      </c>
      <c r="G103" s="18">
        <f t="shared" si="8"/>
        <v>0</v>
      </c>
      <c r="H103" s="18">
        <f t="shared" si="8"/>
        <v>0</v>
      </c>
      <c r="I103" s="73">
        <f t="shared" si="8"/>
        <v>0</v>
      </c>
      <c r="J103" s="18">
        <f t="shared" si="6"/>
        <v>0</v>
      </c>
      <c r="K103" s="98">
        <f t="shared" si="7"/>
        <v>18300</v>
      </c>
    </row>
    <row r="104" spans="1:11" x14ac:dyDescent="0.25">
      <c r="A104" s="82">
        <f>'A) Base RI'!A103</f>
        <v>5559</v>
      </c>
      <c r="B104" s="62" t="str">
        <f>'A) Base RI'!B103</f>
        <v>Giez</v>
      </c>
      <c r="C104" s="18">
        <f>'A) Base RI'!AN103</f>
        <v>384</v>
      </c>
      <c r="D104" s="61">
        <f t="shared" si="5"/>
        <v>384</v>
      </c>
      <c r="E104" s="18">
        <f t="shared" si="8"/>
        <v>0</v>
      </c>
      <c r="F104" s="18">
        <f t="shared" si="8"/>
        <v>0</v>
      </c>
      <c r="G104" s="18">
        <f t="shared" si="8"/>
        <v>0</v>
      </c>
      <c r="H104" s="18">
        <f t="shared" si="8"/>
        <v>0</v>
      </c>
      <c r="I104" s="73">
        <f t="shared" si="8"/>
        <v>0</v>
      </c>
      <c r="J104" s="18">
        <f t="shared" si="6"/>
        <v>0</v>
      </c>
      <c r="K104" s="98">
        <f t="shared" si="7"/>
        <v>38400</v>
      </c>
    </row>
    <row r="105" spans="1:11" x14ac:dyDescent="0.25">
      <c r="A105" s="82">
        <f>'A) Base RI'!A104</f>
        <v>5560</v>
      </c>
      <c r="B105" s="62" t="str">
        <f>'A) Base RI'!B104</f>
        <v>Grandevent</v>
      </c>
      <c r="C105" s="18">
        <f>'A) Base RI'!AN104</f>
        <v>226</v>
      </c>
      <c r="D105" s="61">
        <f t="shared" si="5"/>
        <v>226</v>
      </c>
      <c r="E105" s="18">
        <f t="shared" si="8"/>
        <v>0</v>
      </c>
      <c r="F105" s="18">
        <f t="shared" si="8"/>
        <v>0</v>
      </c>
      <c r="G105" s="18">
        <f t="shared" si="8"/>
        <v>0</v>
      </c>
      <c r="H105" s="18">
        <f t="shared" si="8"/>
        <v>0</v>
      </c>
      <c r="I105" s="73">
        <f t="shared" si="8"/>
        <v>0</v>
      </c>
      <c r="J105" s="18">
        <f t="shared" si="6"/>
        <v>0</v>
      </c>
      <c r="K105" s="98">
        <f t="shared" si="7"/>
        <v>22600</v>
      </c>
    </row>
    <row r="106" spans="1:11" x14ac:dyDescent="0.25">
      <c r="A106" s="82">
        <f>'A) Base RI'!A105</f>
        <v>5561</v>
      </c>
      <c r="B106" s="62" t="str">
        <f>'A) Base RI'!B105</f>
        <v>Grandson</v>
      </c>
      <c r="C106" s="18">
        <f>'A) Base RI'!AN105</f>
        <v>3244</v>
      </c>
      <c r="D106" s="61">
        <f t="shared" si="5"/>
        <v>1000</v>
      </c>
      <c r="E106" s="18">
        <f t="shared" si="8"/>
        <v>2000</v>
      </c>
      <c r="F106" s="18">
        <f t="shared" si="8"/>
        <v>244</v>
      </c>
      <c r="G106" s="18">
        <f t="shared" si="8"/>
        <v>0</v>
      </c>
      <c r="H106" s="18">
        <f t="shared" si="8"/>
        <v>0</v>
      </c>
      <c r="I106" s="73">
        <f t="shared" si="8"/>
        <v>0</v>
      </c>
      <c r="J106" s="18">
        <f t="shared" si="6"/>
        <v>0</v>
      </c>
      <c r="K106" s="98">
        <f t="shared" si="7"/>
        <v>922000</v>
      </c>
    </row>
    <row r="107" spans="1:11" x14ac:dyDescent="0.25">
      <c r="A107" s="82">
        <f>'A) Base RI'!A106</f>
        <v>5562</v>
      </c>
      <c r="B107" s="62" t="str">
        <f>'A) Base RI'!B106</f>
        <v>Mauborget</v>
      </c>
      <c r="C107" s="18">
        <f>'A) Base RI'!AN106</f>
        <v>110</v>
      </c>
      <c r="D107" s="61">
        <f t="shared" si="5"/>
        <v>110</v>
      </c>
      <c r="E107" s="18">
        <f t="shared" si="8"/>
        <v>0</v>
      </c>
      <c r="F107" s="18">
        <f t="shared" si="8"/>
        <v>0</v>
      </c>
      <c r="G107" s="18">
        <f t="shared" si="8"/>
        <v>0</v>
      </c>
      <c r="H107" s="18">
        <f t="shared" si="8"/>
        <v>0</v>
      </c>
      <c r="I107" s="73">
        <f t="shared" si="8"/>
        <v>0</v>
      </c>
      <c r="J107" s="18">
        <f t="shared" si="6"/>
        <v>0</v>
      </c>
      <c r="K107" s="98">
        <f t="shared" si="7"/>
        <v>11000</v>
      </c>
    </row>
    <row r="108" spans="1:11" x14ac:dyDescent="0.25">
      <c r="A108" s="82">
        <f>'A) Base RI'!A107</f>
        <v>5563</v>
      </c>
      <c r="B108" s="62" t="str">
        <f>'A) Base RI'!B107</f>
        <v>Mutrux</v>
      </c>
      <c r="C108" s="18">
        <f>'A) Base RI'!AN107</f>
        <v>149</v>
      </c>
      <c r="D108" s="61">
        <f t="shared" ref="D108:D162" si="9">IF($C108&gt;D$4,IF($C108&lt;D$5,$C108-D$4,D$5-D$4),0)</f>
        <v>149</v>
      </c>
      <c r="E108" s="18">
        <f t="shared" si="8"/>
        <v>0</v>
      </c>
      <c r="F108" s="18">
        <f t="shared" si="8"/>
        <v>0</v>
      </c>
      <c r="G108" s="18">
        <f t="shared" si="8"/>
        <v>0</v>
      </c>
      <c r="H108" s="18">
        <f t="shared" si="8"/>
        <v>0</v>
      </c>
      <c r="I108" s="73">
        <f t="shared" si="8"/>
        <v>0</v>
      </c>
      <c r="J108" s="18">
        <f t="shared" si="6"/>
        <v>0</v>
      </c>
      <c r="K108" s="98">
        <f t="shared" si="7"/>
        <v>14900</v>
      </c>
    </row>
    <row r="109" spans="1:11" x14ac:dyDescent="0.25">
      <c r="A109" s="82">
        <f>'A) Base RI'!A108</f>
        <v>5564</v>
      </c>
      <c r="B109" s="62" t="str">
        <f>'A) Base RI'!B108</f>
        <v>Novalles</v>
      </c>
      <c r="C109" s="18">
        <f>'A) Base RI'!AN108</f>
        <v>102</v>
      </c>
      <c r="D109" s="61">
        <f t="shared" si="9"/>
        <v>102</v>
      </c>
      <c r="E109" s="18">
        <f t="shared" si="8"/>
        <v>0</v>
      </c>
      <c r="F109" s="18">
        <f t="shared" si="8"/>
        <v>0</v>
      </c>
      <c r="G109" s="18">
        <f t="shared" si="8"/>
        <v>0</v>
      </c>
      <c r="H109" s="18">
        <f t="shared" si="8"/>
        <v>0</v>
      </c>
      <c r="I109" s="73">
        <f t="shared" si="8"/>
        <v>0</v>
      </c>
      <c r="J109" s="18">
        <f t="shared" si="6"/>
        <v>0</v>
      </c>
      <c r="K109" s="98">
        <f t="shared" si="7"/>
        <v>10200</v>
      </c>
    </row>
    <row r="110" spans="1:11" x14ac:dyDescent="0.25">
      <c r="A110" s="82">
        <f>'A) Base RI'!A109</f>
        <v>5565</v>
      </c>
      <c r="B110" s="62" t="str">
        <f>'A) Base RI'!B109</f>
        <v>Onnens</v>
      </c>
      <c r="C110" s="18">
        <f>'A) Base RI'!AN109</f>
        <v>500</v>
      </c>
      <c r="D110" s="61">
        <f t="shared" si="9"/>
        <v>500</v>
      </c>
      <c r="E110" s="18">
        <f t="shared" si="8"/>
        <v>0</v>
      </c>
      <c r="F110" s="18">
        <f t="shared" si="8"/>
        <v>0</v>
      </c>
      <c r="G110" s="18">
        <f t="shared" si="8"/>
        <v>0</v>
      </c>
      <c r="H110" s="18">
        <f t="shared" si="8"/>
        <v>0</v>
      </c>
      <c r="I110" s="73">
        <f t="shared" si="8"/>
        <v>0</v>
      </c>
      <c r="J110" s="18">
        <f t="shared" si="6"/>
        <v>0</v>
      </c>
      <c r="K110" s="98">
        <f t="shared" si="7"/>
        <v>50000</v>
      </c>
    </row>
    <row r="111" spans="1:11" x14ac:dyDescent="0.25">
      <c r="A111" s="82">
        <f>'A) Base RI'!A110</f>
        <v>5566</v>
      </c>
      <c r="B111" s="62" t="str">
        <f>'A) Base RI'!B110</f>
        <v>Provence</v>
      </c>
      <c r="C111" s="18">
        <f>'A) Base RI'!AN110</f>
        <v>373</v>
      </c>
      <c r="D111" s="61">
        <f t="shared" si="9"/>
        <v>373</v>
      </c>
      <c r="E111" s="18">
        <f t="shared" si="8"/>
        <v>0</v>
      </c>
      <c r="F111" s="18">
        <f t="shared" si="8"/>
        <v>0</v>
      </c>
      <c r="G111" s="18">
        <f t="shared" si="8"/>
        <v>0</v>
      </c>
      <c r="H111" s="18">
        <f t="shared" si="8"/>
        <v>0</v>
      </c>
      <c r="I111" s="73">
        <f t="shared" si="8"/>
        <v>0</v>
      </c>
      <c r="J111" s="18">
        <f t="shared" si="6"/>
        <v>0</v>
      </c>
      <c r="K111" s="98">
        <f t="shared" si="7"/>
        <v>37300</v>
      </c>
    </row>
    <row r="112" spans="1:11" x14ac:dyDescent="0.25">
      <c r="A112" s="82">
        <f>'A) Base RI'!A111</f>
        <v>5568</v>
      </c>
      <c r="B112" s="62" t="str">
        <f>'A) Base RI'!B111</f>
        <v>Sainte-Croix</v>
      </c>
      <c r="C112" s="18">
        <f>'A) Base RI'!AN111</f>
        <v>4732</v>
      </c>
      <c r="D112" s="61">
        <f t="shared" si="9"/>
        <v>1000</v>
      </c>
      <c r="E112" s="18">
        <f t="shared" si="8"/>
        <v>2000</v>
      </c>
      <c r="F112" s="18">
        <f t="shared" si="8"/>
        <v>1732</v>
      </c>
      <c r="G112" s="18">
        <f t="shared" si="8"/>
        <v>0</v>
      </c>
      <c r="H112" s="18">
        <f t="shared" si="8"/>
        <v>0</v>
      </c>
      <c r="I112" s="73">
        <f t="shared" si="8"/>
        <v>0</v>
      </c>
      <c r="J112" s="18">
        <f t="shared" si="6"/>
        <v>0</v>
      </c>
      <c r="K112" s="98">
        <f t="shared" si="7"/>
        <v>1666000</v>
      </c>
    </row>
    <row r="113" spans="1:11" x14ac:dyDescent="0.25">
      <c r="A113" s="82">
        <f>'A) Base RI'!A112</f>
        <v>5571</v>
      </c>
      <c r="B113" s="62" t="str">
        <f>'A) Base RI'!B112</f>
        <v>Tévenon</v>
      </c>
      <c r="C113" s="18">
        <f>'A) Base RI'!AN112</f>
        <v>760</v>
      </c>
      <c r="D113" s="61">
        <f t="shared" si="9"/>
        <v>760</v>
      </c>
      <c r="E113" s="18">
        <f t="shared" si="8"/>
        <v>0</v>
      </c>
      <c r="F113" s="18">
        <f t="shared" si="8"/>
        <v>0</v>
      </c>
      <c r="G113" s="18">
        <f t="shared" si="8"/>
        <v>0</v>
      </c>
      <c r="H113" s="18">
        <f t="shared" si="8"/>
        <v>0</v>
      </c>
      <c r="I113" s="73">
        <f t="shared" si="8"/>
        <v>0</v>
      </c>
      <c r="J113" s="18">
        <f t="shared" si="6"/>
        <v>0</v>
      </c>
      <c r="K113" s="98">
        <f t="shared" si="7"/>
        <v>76000</v>
      </c>
    </row>
    <row r="114" spans="1:11" x14ac:dyDescent="0.25">
      <c r="A114" s="82">
        <f>'A) Base RI'!A113</f>
        <v>5581</v>
      </c>
      <c r="B114" s="62" t="str">
        <f>'A) Base RI'!B113</f>
        <v>Belmont-sur-Lausanne</v>
      </c>
      <c r="C114" s="18">
        <f>'A) Base RI'!AN113</f>
        <v>3554</v>
      </c>
      <c r="D114" s="61">
        <f t="shared" si="9"/>
        <v>1000</v>
      </c>
      <c r="E114" s="18">
        <f t="shared" si="8"/>
        <v>2000</v>
      </c>
      <c r="F114" s="18">
        <f t="shared" si="8"/>
        <v>554</v>
      </c>
      <c r="G114" s="18">
        <f t="shared" si="8"/>
        <v>0</v>
      </c>
      <c r="H114" s="18">
        <f t="shared" si="8"/>
        <v>0</v>
      </c>
      <c r="I114" s="73">
        <f t="shared" si="8"/>
        <v>0</v>
      </c>
      <c r="J114" s="18">
        <f t="shared" si="6"/>
        <v>0</v>
      </c>
      <c r="K114" s="98">
        <f t="shared" si="7"/>
        <v>1077000</v>
      </c>
    </row>
    <row r="115" spans="1:11" x14ac:dyDescent="0.25">
      <c r="A115" s="82">
        <f>'A) Base RI'!A114</f>
        <v>5582</v>
      </c>
      <c r="B115" s="62" t="str">
        <f>'A) Base RI'!B114</f>
        <v>Cheseaux-sur-Lausanne</v>
      </c>
      <c r="C115" s="18">
        <f>'A) Base RI'!AN114</f>
        <v>4080</v>
      </c>
      <c r="D115" s="61">
        <f t="shared" si="9"/>
        <v>1000</v>
      </c>
      <c r="E115" s="18">
        <f t="shared" si="8"/>
        <v>2000</v>
      </c>
      <c r="F115" s="18">
        <f t="shared" si="8"/>
        <v>1080</v>
      </c>
      <c r="G115" s="18">
        <f t="shared" si="8"/>
        <v>0</v>
      </c>
      <c r="H115" s="18">
        <f t="shared" si="8"/>
        <v>0</v>
      </c>
      <c r="I115" s="73">
        <f t="shared" si="8"/>
        <v>0</v>
      </c>
      <c r="J115" s="18">
        <f t="shared" si="6"/>
        <v>0</v>
      </c>
      <c r="K115" s="98">
        <f t="shared" si="7"/>
        <v>1340000</v>
      </c>
    </row>
    <row r="116" spans="1:11" x14ac:dyDescent="0.25">
      <c r="A116" s="82">
        <f>'A) Base RI'!A115</f>
        <v>5583</v>
      </c>
      <c r="B116" s="62" t="str">
        <f>'A) Base RI'!B115</f>
        <v>Crissier</v>
      </c>
      <c r="C116" s="18">
        <f>'A) Base RI'!AN115</f>
        <v>7407</v>
      </c>
      <c r="D116" s="61">
        <f t="shared" si="9"/>
        <v>1000</v>
      </c>
      <c r="E116" s="18">
        <f t="shared" si="8"/>
        <v>2000</v>
      </c>
      <c r="F116" s="18">
        <f t="shared" si="8"/>
        <v>2000</v>
      </c>
      <c r="G116" s="18">
        <f t="shared" si="8"/>
        <v>2407</v>
      </c>
      <c r="H116" s="18">
        <f t="shared" si="8"/>
        <v>0</v>
      </c>
      <c r="I116" s="73">
        <f t="shared" si="8"/>
        <v>0</v>
      </c>
      <c r="J116" s="18">
        <f t="shared" si="6"/>
        <v>0</v>
      </c>
      <c r="K116" s="98">
        <f t="shared" si="7"/>
        <v>3244200</v>
      </c>
    </row>
    <row r="117" spans="1:11" x14ac:dyDescent="0.25">
      <c r="A117" s="82">
        <f>'A) Base RI'!A116</f>
        <v>5584</v>
      </c>
      <c r="B117" s="62" t="str">
        <f>'A) Base RI'!B116</f>
        <v>Epalinges</v>
      </c>
      <c r="C117" s="18">
        <f>'A) Base RI'!AN116</f>
        <v>8912</v>
      </c>
      <c r="D117" s="61">
        <f t="shared" si="9"/>
        <v>1000</v>
      </c>
      <c r="E117" s="18">
        <f t="shared" si="8"/>
        <v>2000</v>
      </c>
      <c r="F117" s="18">
        <f t="shared" si="8"/>
        <v>2000</v>
      </c>
      <c r="G117" s="18">
        <f t="shared" si="8"/>
        <v>3912</v>
      </c>
      <c r="H117" s="18">
        <f t="shared" si="8"/>
        <v>0</v>
      </c>
      <c r="I117" s="73">
        <f t="shared" si="8"/>
        <v>0</v>
      </c>
      <c r="J117" s="18">
        <f t="shared" si="6"/>
        <v>0</v>
      </c>
      <c r="K117" s="98">
        <f t="shared" si="7"/>
        <v>4147200</v>
      </c>
    </row>
    <row r="118" spans="1:11" x14ac:dyDescent="0.25">
      <c r="A118" s="82">
        <f>'A) Base RI'!A117</f>
        <v>5585</v>
      </c>
      <c r="B118" s="62" t="str">
        <f>'A) Base RI'!B117</f>
        <v>Jouxtens-Mézery</v>
      </c>
      <c r="C118" s="18">
        <f>'A) Base RI'!AN117</f>
        <v>1398</v>
      </c>
      <c r="D118" s="61">
        <f t="shared" si="9"/>
        <v>1000</v>
      </c>
      <c r="E118" s="18">
        <f t="shared" si="8"/>
        <v>398</v>
      </c>
      <c r="F118" s="18">
        <f t="shared" si="8"/>
        <v>0</v>
      </c>
      <c r="G118" s="18">
        <f t="shared" si="8"/>
        <v>0</v>
      </c>
      <c r="H118" s="18">
        <f t="shared" si="8"/>
        <v>0</v>
      </c>
      <c r="I118" s="73">
        <f t="shared" si="8"/>
        <v>0</v>
      </c>
      <c r="J118" s="18">
        <f t="shared" si="6"/>
        <v>0</v>
      </c>
      <c r="K118" s="98">
        <f t="shared" si="7"/>
        <v>239300</v>
      </c>
    </row>
    <row r="119" spans="1:11" x14ac:dyDescent="0.25">
      <c r="A119" s="82">
        <f>'A) Base RI'!A118</f>
        <v>5586</v>
      </c>
      <c r="B119" s="62" t="str">
        <f>'A) Base RI'!B118</f>
        <v>Lausanne</v>
      </c>
      <c r="C119" s="18">
        <f>'A) Base RI'!AN118</f>
        <v>133521</v>
      </c>
      <c r="D119" s="61">
        <f t="shared" si="9"/>
        <v>1000</v>
      </c>
      <c r="E119" s="18">
        <f t="shared" si="8"/>
        <v>2000</v>
      </c>
      <c r="F119" s="18">
        <f t="shared" si="8"/>
        <v>2000</v>
      </c>
      <c r="G119" s="18">
        <f t="shared" si="8"/>
        <v>4000</v>
      </c>
      <c r="H119" s="18">
        <f t="shared" si="8"/>
        <v>3000</v>
      </c>
      <c r="I119" s="73">
        <f t="shared" si="8"/>
        <v>3000</v>
      </c>
      <c r="J119" s="18">
        <f t="shared" si="6"/>
        <v>118521</v>
      </c>
      <c r="K119" s="98">
        <f t="shared" si="7"/>
        <v>134197050</v>
      </c>
    </row>
    <row r="120" spans="1:11" x14ac:dyDescent="0.25">
      <c r="A120" s="82">
        <f>'A) Base RI'!A119</f>
        <v>5587</v>
      </c>
      <c r="B120" s="62" t="str">
        <f>'A) Base RI'!B119</f>
        <v>Le Mont-sur-Lausanne</v>
      </c>
      <c r="C120" s="18">
        <f>'A) Base RI'!AN119</f>
        <v>6937</v>
      </c>
      <c r="D120" s="61">
        <f t="shared" si="9"/>
        <v>1000</v>
      </c>
      <c r="E120" s="18">
        <f t="shared" si="8"/>
        <v>2000</v>
      </c>
      <c r="F120" s="18">
        <f t="shared" si="8"/>
        <v>2000</v>
      </c>
      <c r="G120" s="18">
        <f t="shared" si="8"/>
        <v>1937</v>
      </c>
      <c r="H120" s="18">
        <f t="shared" si="8"/>
        <v>0</v>
      </c>
      <c r="I120" s="73">
        <f t="shared" si="8"/>
        <v>0</v>
      </c>
      <c r="J120" s="18">
        <f>IF(C120&gt;$J$4,C120-$J$4,0)</f>
        <v>0</v>
      </c>
      <c r="K120" s="98">
        <f t="shared" si="7"/>
        <v>2962200</v>
      </c>
    </row>
    <row r="121" spans="1:11" x14ac:dyDescent="0.25">
      <c r="A121" s="82">
        <f>'A) Base RI'!A120</f>
        <v>5588</v>
      </c>
      <c r="B121" s="62" t="str">
        <f>'A) Base RI'!B120</f>
        <v>Paudex</v>
      </c>
      <c r="C121" s="18">
        <f>'A) Base RI'!AN120</f>
        <v>1454</v>
      </c>
      <c r="D121" s="61">
        <f t="shared" si="9"/>
        <v>1000</v>
      </c>
      <c r="E121" s="18">
        <f t="shared" si="8"/>
        <v>454</v>
      </c>
      <c r="F121" s="18">
        <f t="shared" si="8"/>
        <v>0</v>
      </c>
      <c r="G121" s="18">
        <f t="shared" si="8"/>
        <v>0</v>
      </c>
      <c r="H121" s="18">
        <f t="shared" si="8"/>
        <v>0</v>
      </c>
      <c r="I121" s="73">
        <f t="shared" si="8"/>
        <v>0</v>
      </c>
      <c r="J121" s="18">
        <f t="shared" ref="J121:J123" si="10">IF(C121&gt;$J$4,C121-$J$4,0)</f>
        <v>0</v>
      </c>
      <c r="K121" s="98">
        <f t="shared" si="7"/>
        <v>258900</v>
      </c>
    </row>
    <row r="122" spans="1:11" x14ac:dyDescent="0.25">
      <c r="A122" s="82">
        <f>'A) Base RI'!A121</f>
        <v>5589</v>
      </c>
      <c r="B122" s="62" t="str">
        <f>'A) Base RI'!B121</f>
        <v>Prilly</v>
      </c>
      <c r="C122" s="18">
        <f>'A) Base RI'!AN121</f>
        <v>11824</v>
      </c>
      <c r="D122" s="61">
        <f t="shared" si="9"/>
        <v>1000</v>
      </c>
      <c r="E122" s="18">
        <f t="shared" si="8"/>
        <v>2000</v>
      </c>
      <c r="F122" s="18">
        <f t="shared" si="8"/>
        <v>2000</v>
      </c>
      <c r="G122" s="18">
        <f t="shared" si="8"/>
        <v>4000</v>
      </c>
      <c r="H122" s="18">
        <f t="shared" si="8"/>
        <v>2824</v>
      </c>
      <c r="I122" s="73">
        <f t="shared" si="8"/>
        <v>0</v>
      </c>
      <c r="J122" s="18">
        <f t="shared" si="10"/>
        <v>0</v>
      </c>
      <c r="K122" s="98">
        <f t="shared" si="7"/>
        <v>6600400</v>
      </c>
    </row>
    <row r="123" spans="1:11" x14ac:dyDescent="0.25">
      <c r="A123" s="82">
        <f>'A) Base RI'!A122</f>
        <v>5590</v>
      </c>
      <c r="B123" s="62" t="str">
        <f>'A) Base RI'!B122</f>
        <v>Pully</v>
      </c>
      <c r="C123" s="18">
        <f>'A) Base RI'!AN122</f>
        <v>17598</v>
      </c>
      <c r="D123" s="61">
        <f t="shared" si="9"/>
        <v>1000</v>
      </c>
      <c r="E123" s="18">
        <f t="shared" si="8"/>
        <v>2000</v>
      </c>
      <c r="F123" s="18">
        <f t="shared" si="8"/>
        <v>2000</v>
      </c>
      <c r="G123" s="18">
        <f t="shared" si="8"/>
        <v>4000</v>
      </c>
      <c r="H123" s="18">
        <f t="shared" si="8"/>
        <v>3000</v>
      </c>
      <c r="I123" s="73">
        <f t="shared" si="8"/>
        <v>3000</v>
      </c>
      <c r="J123" s="18">
        <f t="shared" si="10"/>
        <v>2598</v>
      </c>
      <c r="K123" s="98">
        <f t="shared" si="7"/>
        <v>12477900</v>
      </c>
    </row>
    <row r="124" spans="1:11" x14ac:dyDescent="0.25">
      <c r="A124" s="82">
        <f>'A) Base RI'!A123</f>
        <v>5591</v>
      </c>
      <c r="B124" s="62" t="str">
        <f>'A) Base RI'!B123</f>
        <v>Renens</v>
      </c>
      <c r="C124" s="18">
        <f>'A) Base RI'!AN123</f>
        <v>20307</v>
      </c>
      <c r="D124" s="61">
        <f t="shared" si="9"/>
        <v>1000</v>
      </c>
      <c r="E124" s="18">
        <f t="shared" si="8"/>
        <v>2000</v>
      </c>
      <c r="F124" s="18">
        <f t="shared" si="8"/>
        <v>2000</v>
      </c>
      <c r="G124" s="18">
        <f t="shared" si="8"/>
        <v>4000</v>
      </c>
      <c r="H124" s="18">
        <f t="shared" si="8"/>
        <v>3000</v>
      </c>
      <c r="I124" s="73">
        <f t="shared" si="8"/>
        <v>3000</v>
      </c>
      <c r="J124" s="18">
        <f>IF(C124&gt;$J$4,C124-$J$4,0)</f>
        <v>5307</v>
      </c>
      <c r="K124" s="98">
        <f t="shared" si="7"/>
        <v>15322350</v>
      </c>
    </row>
    <row r="125" spans="1:11" x14ac:dyDescent="0.25">
      <c r="A125" s="82">
        <f>'A) Base RI'!A124</f>
        <v>5592</v>
      </c>
      <c r="B125" s="62" t="str">
        <f>'A) Base RI'!B124</f>
        <v>Romanel-sur-Lausanne</v>
      </c>
      <c r="C125" s="18">
        <f>'A) Base RI'!AN124</f>
        <v>3290</v>
      </c>
      <c r="D125" s="61">
        <f t="shared" si="9"/>
        <v>1000</v>
      </c>
      <c r="E125" s="18">
        <f t="shared" si="8"/>
        <v>2000</v>
      </c>
      <c r="F125" s="18">
        <f t="shared" si="8"/>
        <v>290</v>
      </c>
      <c r="G125" s="18">
        <f t="shared" si="8"/>
        <v>0</v>
      </c>
      <c r="H125" s="18">
        <f t="shared" si="8"/>
        <v>0</v>
      </c>
      <c r="I125" s="73">
        <f t="shared" si="8"/>
        <v>0</v>
      </c>
      <c r="J125" s="18">
        <f>IF(C125&gt;$J$4,C125-$J$4,0)</f>
        <v>0</v>
      </c>
      <c r="K125" s="98">
        <f t="shared" si="7"/>
        <v>945000</v>
      </c>
    </row>
    <row r="126" spans="1:11" x14ac:dyDescent="0.25">
      <c r="A126" s="82">
        <f>'A) Base RI'!A125</f>
        <v>5601</v>
      </c>
      <c r="B126" s="62" t="str">
        <f>'A) Base RI'!B125</f>
        <v>Chexbres</v>
      </c>
      <c r="C126" s="18">
        <f>'A) Base RI'!AN125</f>
        <v>2180</v>
      </c>
      <c r="D126" s="61">
        <f t="shared" si="9"/>
        <v>1000</v>
      </c>
      <c r="E126" s="18">
        <f t="shared" si="8"/>
        <v>1180</v>
      </c>
      <c r="F126" s="18">
        <f t="shared" ref="E126:I161" si="11">IF($C126&gt;F$4,IF($C126&lt;F$5,$C126-F$4,F$5-F$4),0)</f>
        <v>0</v>
      </c>
      <c r="G126" s="18">
        <f t="shared" si="11"/>
        <v>0</v>
      </c>
      <c r="H126" s="18">
        <f t="shared" si="11"/>
        <v>0</v>
      </c>
      <c r="I126" s="73">
        <f t="shared" si="11"/>
        <v>0</v>
      </c>
      <c r="J126" s="18">
        <f t="shared" ref="J126:J168" si="12">IF(C126&gt;$J$4,C126-$J$4,0)</f>
        <v>0</v>
      </c>
      <c r="K126" s="98">
        <f t="shared" si="7"/>
        <v>513000</v>
      </c>
    </row>
    <row r="127" spans="1:11" x14ac:dyDescent="0.25">
      <c r="A127" s="82">
        <f>'A) Base RI'!A126</f>
        <v>5604</v>
      </c>
      <c r="B127" s="62" t="str">
        <f>'A) Base RI'!B126</f>
        <v>Forel (Lavaux)</v>
      </c>
      <c r="C127" s="18">
        <f>'A) Base RI'!AN126</f>
        <v>2072</v>
      </c>
      <c r="D127" s="61">
        <f t="shared" si="9"/>
        <v>1000</v>
      </c>
      <c r="E127" s="18">
        <f t="shared" si="11"/>
        <v>1072</v>
      </c>
      <c r="F127" s="18">
        <f t="shared" si="11"/>
        <v>0</v>
      </c>
      <c r="G127" s="18">
        <f t="shared" si="11"/>
        <v>0</v>
      </c>
      <c r="H127" s="18">
        <f t="shared" si="11"/>
        <v>0</v>
      </c>
      <c r="I127" s="73">
        <f t="shared" si="11"/>
        <v>0</v>
      </c>
      <c r="J127" s="18">
        <f t="shared" si="12"/>
        <v>0</v>
      </c>
      <c r="K127" s="98">
        <f t="shared" si="7"/>
        <v>475200</v>
      </c>
    </row>
    <row r="128" spans="1:11" x14ac:dyDescent="0.25">
      <c r="A128" s="82">
        <f>'A) Base RI'!A127</f>
        <v>5606</v>
      </c>
      <c r="B128" s="62" t="str">
        <f>'A) Base RI'!B127</f>
        <v>Lutry</v>
      </c>
      <c r="C128" s="18">
        <f>'A) Base RI'!AN127</f>
        <v>9648</v>
      </c>
      <c r="D128" s="61">
        <f t="shared" si="9"/>
        <v>1000</v>
      </c>
      <c r="E128" s="18">
        <f t="shared" si="11"/>
        <v>2000</v>
      </c>
      <c r="F128" s="18">
        <f t="shared" si="11"/>
        <v>2000</v>
      </c>
      <c r="G128" s="18">
        <f t="shared" si="11"/>
        <v>4000</v>
      </c>
      <c r="H128" s="18">
        <f t="shared" si="11"/>
        <v>648</v>
      </c>
      <c r="I128" s="73">
        <f t="shared" si="11"/>
        <v>0</v>
      </c>
      <c r="J128" s="18">
        <f t="shared" si="12"/>
        <v>0</v>
      </c>
      <c r="K128" s="98">
        <f t="shared" si="7"/>
        <v>4750800</v>
      </c>
    </row>
    <row r="129" spans="1:11" x14ac:dyDescent="0.25">
      <c r="A129" s="82">
        <f>'A) Base RI'!A128</f>
        <v>5607</v>
      </c>
      <c r="B129" s="62" t="str">
        <f>'A) Base RI'!B128</f>
        <v>Puidoux</v>
      </c>
      <c r="C129" s="18">
        <f>'A) Base RI'!AN128</f>
        <v>2815</v>
      </c>
      <c r="D129" s="61">
        <f t="shared" si="9"/>
        <v>1000</v>
      </c>
      <c r="E129" s="18">
        <f t="shared" si="11"/>
        <v>1815</v>
      </c>
      <c r="F129" s="18">
        <f t="shared" si="11"/>
        <v>0</v>
      </c>
      <c r="G129" s="18">
        <f t="shared" si="11"/>
        <v>0</v>
      </c>
      <c r="H129" s="18">
        <f t="shared" si="11"/>
        <v>0</v>
      </c>
      <c r="I129" s="73">
        <f t="shared" si="11"/>
        <v>0</v>
      </c>
      <c r="J129" s="18">
        <f t="shared" si="12"/>
        <v>0</v>
      </c>
      <c r="K129" s="98">
        <f t="shared" si="7"/>
        <v>735250</v>
      </c>
    </row>
    <row r="130" spans="1:11" x14ac:dyDescent="0.25">
      <c r="A130" s="82">
        <f>'A) Base RI'!A129</f>
        <v>5609</v>
      </c>
      <c r="B130" s="62" t="str">
        <f>'A) Base RI'!B129</f>
        <v>Rivaz</v>
      </c>
      <c r="C130" s="18">
        <f>'A) Base RI'!AN129</f>
        <v>345</v>
      </c>
      <c r="D130" s="61">
        <f t="shared" si="9"/>
        <v>345</v>
      </c>
      <c r="E130" s="18">
        <f t="shared" si="11"/>
        <v>0</v>
      </c>
      <c r="F130" s="18">
        <f t="shared" si="11"/>
        <v>0</v>
      </c>
      <c r="G130" s="18">
        <f t="shared" si="11"/>
        <v>0</v>
      </c>
      <c r="H130" s="18">
        <f t="shared" si="11"/>
        <v>0</v>
      </c>
      <c r="I130" s="73">
        <f t="shared" si="11"/>
        <v>0</v>
      </c>
      <c r="J130" s="18">
        <f t="shared" si="12"/>
        <v>0</v>
      </c>
      <c r="K130" s="98">
        <f t="shared" si="7"/>
        <v>34500</v>
      </c>
    </row>
    <row r="131" spans="1:11" x14ac:dyDescent="0.25">
      <c r="A131" s="82">
        <f>'A) Base RI'!A130</f>
        <v>5610</v>
      </c>
      <c r="B131" s="62" t="str">
        <f>'A) Base RI'!B130</f>
        <v>St-Saphorin (Lavaux)</v>
      </c>
      <c r="C131" s="18">
        <f>'A) Base RI'!AN130</f>
        <v>378</v>
      </c>
      <c r="D131" s="61">
        <f t="shared" si="9"/>
        <v>378</v>
      </c>
      <c r="E131" s="18">
        <f t="shared" si="11"/>
        <v>0</v>
      </c>
      <c r="F131" s="18">
        <f t="shared" si="11"/>
        <v>0</v>
      </c>
      <c r="G131" s="18">
        <f t="shared" si="11"/>
        <v>0</v>
      </c>
      <c r="H131" s="18">
        <f t="shared" si="11"/>
        <v>0</v>
      </c>
      <c r="I131" s="73">
        <f t="shared" si="11"/>
        <v>0</v>
      </c>
      <c r="J131" s="18">
        <f t="shared" si="12"/>
        <v>0</v>
      </c>
      <c r="K131" s="98">
        <f t="shared" si="7"/>
        <v>37800</v>
      </c>
    </row>
    <row r="132" spans="1:11" x14ac:dyDescent="0.25">
      <c r="A132" s="82">
        <f>'A) Base RI'!A131</f>
        <v>5611</v>
      </c>
      <c r="B132" s="62" t="str">
        <f>'A) Base RI'!B131</f>
        <v>Savigny</v>
      </c>
      <c r="C132" s="18">
        <f>'A) Base RI'!AN131</f>
        <v>3304</v>
      </c>
      <c r="D132" s="61">
        <f t="shared" si="9"/>
        <v>1000</v>
      </c>
      <c r="E132" s="18">
        <f t="shared" si="11"/>
        <v>2000</v>
      </c>
      <c r="F132" s="18">
        <f t="shared" si="11"/>
        <v>304</v>
      </c>
      <c r="G132" s="18">
        <f t="shared" si="11"/>
        <v>0</v>
      </c>
      <c r="H132" s="18">
        <f t="shared" si="11"/>
        <v>0</v>
      </c>
      <c r="I132" s="73">
        <f t="shared" si="11"/>
        <v>0</v>
      </c>
      <c r="J132" s="18">
        <f t="shared" si="12"/>
        <v>0</v>
      </c>
      <c r="K132" s="98">
        <f t="shared" si="7"/>
        <v>952000</v>
      </c>
    </row>
    <row r="133" spans="1:11" x14ac:dyDescent="0.25">
      <c r="A133" s="82">
        <f>'A) Base RI'!A132</f>
        <v>5613</v>
      </c>
      <c r="B133" s="62" t="str">
        <f>'A) Base RI'!B132</f>
        <v>Bourg-en-Lavaux</v>
      </c>
      <c r="C133" s="18">
        <f>'A) Base RI'!AN132</f>
        <v>5184</v>
      </c>
      <c r="D133" s="61">
        <f t="shared" si="9"/>
        <v>1000</v>
      </c>
      <c r="E133" s="18">
        <f t="shared" si="11"/>
        <v>2000</v>
      </c>
      <c r="F133" s="18">
        <f t="shared" si="11"/>
        <v>2000</v>
      </c>
      <c r="G133" s="18">
        <f t="shared" si="11"/>
        <v>184</v>
      </c>
      <c r="H133" s="18">
        <f t="shared" si="11"/>
        <v>0</v>
      </c>
      <c r="I133" s="73">
        <f t="shared" si="11"/>
        <v>0</v>
      </c>
      <c r="J133" s="18">
        <f t="shared" si="12"/>
        <v>0</v>
      </c>
      <c r="K133" s="98">
        <f t="shared" si="7"/>
        <v>1910400</v>
      </c>
    </row>
    <row r="134" spans="1:11" x14ac:dyDescent="0.25">
      <c r="A134" s="82">
        <f>'A) Base RI'!A133</f>
        <v>5621</v>
      </c>
      <c r="B134" s="62" t="str">
        <f>'A) Base RI'!B133</f>
        <v>Aclens</v>
      </c>
      <c r="C134" s="18">
        <f>'A) Base RI'!AN133</f>
        <v>538</v>
      </c>
      <c r="D134" s="61">
        <f t="shared" si="9"/>
        <v>538</v>
      </c>
      <c r="E134" s="18">
        <f t="shared" si="11"/>
        <v>0</v>
      </c>
      <c r="F134" s="18">
        <f t="shared" si="11"/>
        <v>0</v>
      </c>
      <c r="G134" s="18">
        <f t="shared" si="11"/>
        <v>0</v>
      </c>
      <c r="H134" s="18">
        <f t="shared" si="11"/>
        <v>0</v>
      </c>
      <c r="I134" s="73">
        <f t="shared" si="11"/>
        <v>0</v>
      </c>
      <c r="J134" s="18">
        <f t="shared" si="12"/>
        <v>0</v>
      </c>
      <c r="K134" s="98">
        <f t="shared" si="7"/>
        <v>53800</v>
      </c>
    </row>
    <row r="135" spans="1:11" x14ac:dyDescent="0.25">
      <c r="A135" s="82">
        <f>'A) Base RI'!A134</f>
        <v>5622</v>
      </c>
      <c r="B135" s="62" t="str">
        <f>'A) Base RI'!B134</f>
        <v>Bremblens</v>
      </c>
      <c r="C135" s="18">
        <f>'A) Base RI'!AN134</f>
        <v>495</v>
      </c>
      <c r="D135" s="61">
        <f t="shared" si="9"/>
        <v>495</v>
      </c>
      <c r="E135" s="18">
        <f t="shared" si="11"/>
        <v>0</v>
      </c>
      <c r="F135" s="18">
        <f t="shared" si="11"/>
        <v>0</v>
      </c>
      <c r="G135" s="18">
        <f t="shared" si="11"/>
        <v>0</v>
      </c>
      <c r="H135" s="18">
        <f t="shared" si="11"/>
        <v>0</v>
      </c>
      <c r="I135" s="73">
        <f t="shared" si="11"/>
        <v>0</v>
      </c>
      <c r="J135" s="18">
        <f t="shared" si="12"/>
        <v>0</v>
      </c>
      <c r="K135" s="98">
        <f t="shared" si="7"/>
        <v>49500</v>
      </c>
    </row>
    <row r="136" spans="1:11" x14ac:dyDescent="0.25">
      <c r="A136" s="82">
        <f>'A) Base RI'!A135</f>
        <v>5623</v>
      </c>
      <c r="B136" s="62" t="str">
        <f>'A) Base RI'!B135</f>
        <v>Buchillon</v>
      </c>
      <c r="C136" s="18">
        <f>'A) Base RI'!AN135</f>
        <v>616</v>
      </c>
      <c r="D136" s="61">
        <f t="shared" si="9"/>
        <v>616</v>
      </c>
      <c r="E136" s="18">
        <f t="shared" si="11"/>
        <v>0</v>
      </c>
      <c r="F136" s="18">
        <f t="shared" si="11"/>
        <v>0</v>
      </c>
      <c r="G136" s="18">
        <f t="shared" si="11"/>
        <v>0</v>
      </c>
      <c r="H136" s="18">
        <f t="shared" si="11"/>
        <v>0</v>
      </c>
      <c r="I136" s="73">
        <f t="shared" si="11"/>
        <v>0</v>
      </c>
      <c r="J136" s="18">
        <f t="shared" si="12"/>
        <v>0</v>
      </c>
      <c r="K136" s="98">
        <f t="shared" si="7"/>
        <v>61600</v>
      </c>
    </row>
    <row r="137" spans="1:11" x14ac:dyDescent="0.25">
      <c r="A137" s="82">
        <f>'A) Base RI'!A136</f>
        <v>5624</v>
      </c>
      <c r="B137" s="62" t="str">
        <f>'A) Base RI'!B136</f>
        <v>Bussigny</v>
      </c>
      <c r="C137" s="18">
        <f>'A) Base RI'!AN136</f>
        <v>8208</v>
      </c>
      <c r="D137" s="61">
        <f t="shared" si="9"/>
        <v>1000</v>
      </c>
      <c r="E137" s="18">
        <f t="shared" si="11"/>
        <v>2000</v>
      </c>
      <c r="F137" s="18">
        <f t="shared" si="11"/>
        <v>2000</v>
      </c>
      <c r="G137" s="18">
        <f t="shared" si="11"/>
        <v>3208</v>
      </c>
      <c r="H137" s="18">
        <f t="shared" si="11"/>
        <v>0</v>
      </c>
      <c r="I137" s="73">
        <f t="shared" si="11"/>
        <v>0</v>
      </c>
      <c r="J137" s="18">
        <f t="shared" si="12"/>
        <v>0</v>
      </c>
      <c r="K137" s="98">
        <f t="shared" ref="K137:K200" si="13">(D137*D$7)+(E137*E$7)+(F137*F$7)+(G137*G$7)+(H137*H$7)+(I137*I$7)+(J137*J$7)</f>
        <v>3724800</v>
      </c>
    </row>
    <row r="138" spans="1:11" x14ac:dyDescent="0.25">
      <c r="A138" s="82">
        <f>'A) Base RI'!A137</f>
        <v>5625</v>
      </c>
      <c r="B138" s="62" t="str">
        <f>'A) Base RI'!B137</f>
        <v>Bussy-Chardonney</v>
      </c>
      <c r="C138" s="18">
        <f>'A) Base RI'!AN137</f>
        <v>388</v>
      </c>
      <c r="D138" s="61">
        <f t="shared" si="9"/>
        <v>388</v>
      </c>
      <c r="E138" s="18">
        <f t="shared" si="11"/>
        <v>0</v>
      </c>
      <c r="F138" s="18">
        <f t="shared" si="11"/>
        <v>0</v>
      </c>
      <c r="G138" s="18">
        <f t="shared" si="11"/>
        <v>0</v>
      </c>
      <c r="H138" s="18">
        <f t="shared" si="11"/>
        <v>0</v>
      </c>
      <c r="I138" s="73">
        <f t="shared" si="11"/>
        <v>0</v>
      </c>
      <c r="J138" s="18">
        <f t="shared" si="12"/>
        <v>0</v>
      </c>
      <c r="K138" s="98">
        <f t="shared" si="13"/>
        <v>38800</v>
      </c>
    </row>
    <row r="139" spans="1:11" x14ac:dyDescent="0.25">
      <c r="A139" s="82">
        <f>'A) Base RI'!A138</f>
        <v>5627</v>
      </c>
      <c r="B139" s="62" t="str">
        <f>'A) Base RI'!B138</f>
        <v>Chavannes-près-Renens</v>
      </c>
      <c r="C139" s="18">
        <f>'A) Base RI'!AN138</f>
        <v>7169</v>
      </c>
      <c r="D139" s="61">
        <f t="shared" si="9"/>
        <v>1000</v>
      </c>
      <c r="E139" s="18">
        <f t="shared" si="11"/>
        <v>2000</v>
      </c>
      <c r="F139" s="18">
        <f t="shared" si="11"/>
        <v>2000</v>
      </c>
      <c r="G139" s="18">
        <f t="shared" si="11"/>
        <v>2169</v>
      </c>
      <c r="H139" s="18">
        <f t="shared" si="11"/>
        <v>0</v>
      </c>
      <c r="I139" s="73">
        <f t="shared" si="11"/>
        <v>0</v>
      </c>
      <c r="J139" s="18">
        <f t="shared" si="12"/>
        <v>0</v>
      </c>
      <c r="K139" s="98">
        <f t="shared" si="13"/>
        <v>3101400</v>
      </c>
    </row>
    <row r="140" spans="1:11" x14ac:dyDescent="0.25">
      <c r="A140" s="82">
        <f>'A) Base RI'!A139</f>
        <v>5628</v>
      </c>
      <c r="B140" s="62" t="str">
        <f>'A) Base RI'!B139</f>
        <v>Chigny</v>
      </c>
      <c r="C140" s="18">
        <f>'A) Base RI'!AN139</f>
        <v>330</v>
      </c>
      <c r="D140" s="61">
        <f t="shared" si="9"/>
        <v>330</v>
      </c>
      <c r="E140" s="18">
        <f t="shared" si="11"/>
        <v>0</v>
      </c>
      <c r="F140" s="18">
        <f t="shared" si="11"/>
        <v>0</v>
      </c>
      <c r="G140" s="18">
        <f t="shared" si="11"/>
        <v>0</v>
      </c>
      <c r="H140" s="18">
        <f t="shared" si="11"/>
        <v>0</v>
      </c>
      <c r="I140" s="73">
        <f t="shared" si="11"/>
        <v>0</v>
      </c>
      <c r="J140" s="18">
        <f t="shared" si="12"/>
        <v>0</v>
      </c>
      <c r="K140" s="98">
        <f t="shared" si="13"/>
        <v>33000</v>
      </c>
    </row>
    <row r="141" spans="1:11" x14ac:dyDescent="0.25">
      <c r="A141" s="82">
        <f>'A) Base RI'!A140</f>
        <v>5629</v>
      </c>
      <c r="B141" s="62" t="str">
        <f>'A) Base RI'!B140</f>
        <v>Clarmont</v>
      </c>
      <c r="C141" s="18">
        <f>'A) Base RI'!AN140</f>
        <v>155</v>
      </c>
      <c r="D141" s="61">
        <f t="shared" si="9"/>
        <v>155</v>
      </c>
      <c r="E141" s="18">
        <f t="shared" si="11"/>
        <v>0</v>
      </c>
      <c r="F141" s="18">
        <f t="shared" si="11"/>
        <v>0</v>
      </c>
      <c r="G141" s="18">
        <f t="shared" si="11"/>
        <v>0</v>
      </c>
      <c r="H141" s="18">
        <f t="shared" si="11"/>
        <v>0</v>
      </c>
      <c r="I141" s="73">
        <f t="shared" si="11"/>
        <v>0</v>
      </c>
      <c r="J141" s="18">
        <f t="shared" si="12"/>
        <v>0</v>
      </c>
      <c r="K141" s="98">
        <f t="shared" si="13"/>
        <v>15500</v>
      </c>
    </row>
    <row r="142" spans="1:11" x14ac:dyDescent="0.25">
      <c r="A142" s="82">
        <f>'A) Base RI'!A141</f>
        <v>5631</v>
      </c>
      <c r="B142" s="62" t="str">
        <f>'A) Base RI'!B141</f>
        <v>Denens</v>
      </c>
      <c r="C142" s="18">
        <f>'A) Base RI'!AN141</f>
        <v>699</v>
      </c>
      <c r="D142" s="61">
        <f t="shared" si="9"/>
        <v>699</v>
      </c>
      <c r="E142" s="18">
        <f t="shared" si="11"/>
        <v>0</v>
      </c>
      <c r="F142" s="18">
        <f t="shared" si="11"/>
        <v>0</v>
      </c>
      <c r="G142" s="18">
        <f t="shared" si="11"/>
        <v>0</v>
      </c>
      <c r="H142" s="18">
        <f t="shared" si="11"/>
        <v>0</v>
      </c>
      <c r="I142" s="73">
        <f t="shared" si="11"/>
        <v>0</v>
      </c>
      <c r="J142" s="18">
        <f t="shared" si="12"/>
        <v>0</v>
      </c>
      <c r="K142" s="98">
        <f t="shared" si="13"/>
        <v>69900</v>
      </c>
    </row>
    <row r="143" spans="1:11" x14ac:dyDescent="0.25">
      <c r="A143" s="82">
        <f>'A) Base RI'!A142</f>
        <v>5632</v>
      </c>
      <c r="B143" s="62" t="str">
        <f>'A) Base RI'!B142</f>
        <v>Denges</v>
      </c>
      <c r="C143" s="18">
        <f>'A) Base RI'!AN142</f>
        <v>1612</v>
      </c>
      <c r="D143" s="61">
        <f t="shared" si="9"/>
        <v>1000</v>
      </c>
      <c r="E143" s="18">
        <f t="shared" si="11"/>
        <v>612</v>
      </c>
      <c r="F143" s="18">
        <f t="shared" si="11"/>
        <v>0</v>
      </c>
      <c r="G143" s="18">
        <f t="shared" si="11"/>
        <v>0</v>
      </c>
      <c r="H143" s="18">
        <f t="shared" si="11"/>
        <v>0</v>
      </c>
      <c r="I143" s="73">
        <f t="shared" si="11"/>
        <v>0</v>
      </c>
      <c r="J143" s="18">
        <f t="shared" si="12"/>
        <v>0</v>
      </c>
      <c r="K143" s="98">
        <f t="shared" si="13"/>
        <v>314200</v>
      </c>
    </row>
    <row r="144" spans="1:11" x14ac:dyDescent="0.25">
      <c r="A144" s="82">
        <f>'A) Base RI'!A143</f>
        <v>5633</v>
      </c>
      <c r="B144" s="62" t="str">
        <f>'A) Base RI'!B143</f>
        <v>Echandens</v>
      </c>
      <c r="C144" s="18">
        <f>'A) Base RI'!AN143</f>
        <v>2405</v>
      </c>
      <c r="D144" s="61">
        <f t="shared" si="9"/>
        <v>1000</v>
      </c>
      <c r="E144" s="18">
        <f t="shared" si="11"/>
        <v>1405</v>
      </c>
      <c r="F144" s="18">
        <f t="shared" si="11"/>
        <v>0</v>
      </c>
      <c r="G144" s="18">
        <f t="shared" si="11"/>
        <v>0</v>
      </c>
      <c r="H144" s="18">
        <f t="shared" si="11"/>
        <v>0</v>
      </c>
      <c r="I144" s="73">
        <f t="shared" si="11"/>
        <v>0</v>
      </c>
      <c r="J144" s="18">
        <f t="shared" si="12"/>
        <v>0</v>
      </c>
      <c r="K144" s="98">
        <f t="shared" si="13"/>
        <v>591750</v>
      </c>
    </row>
    <row r="145" spans="1:11" x14ac:dyDescent="0.25">
      <c r="A145" s="82">
        <f>'A) Base RI'!A144</f>
        <v>5634</v>
      </c>
      <c r="B145" s="62" t="str">
        <f>'A) Base RI'!B144</f>
        <v>Echichens</v>
      </c>
      <c r="C145" s="18">
        <f>'A) Base RI'!AN144</f>
        <v>2570</v>
      </c>
      <c r="D145" s="61">
        <f t="shared" si="9"/>
        <v>1000</v>
      </c>
      <c r="E145" s="18">
        <f t="shared" si="11"/>
        <v>1570</v>
      </c>
      <c r="F145" s="18">
        <f t="shared" si="11"/>
        <v>0</v>
      </c>
      <c r="G145" s="18">
        <f t="shared" si="11"/>
        <v>0</v>
      </c>
      <c r="H145" s="18">
        <f t="shared" si="11"/>
        <v>0</v>
      </c>
      <c r="I145" s="73">
        <f t="shared" si="11"/>
        <v>0</v>
      </c>
      <c r="J145" s="18">
        <f t="shared" si="12"/>
        <v>0</v>
      </c>
      <c r="K145" s="98">
        <f t="shared" si="13"/>
        <v>649500</v>
      </c>
    </row>
    <row r="146" spans="1:11" x14ac:dyDescent="0.25">
      <c r="A146" s="82">
        <f>'A) Base RI'!A145</f>
        <v>5635</v>
      </c>
      <c r="B146" s="62" t="str">
        <f>'A) Base RI'!B145</f>
        <v>Ecublens</v>
      </c>
      <c r="C146" s="18">
        <f>'A) Base RI'!AN145</f>
        <v>12181</v>
      </c>
      <c r="D146" s="61">
        <f t="shared" si="9"/>
        <v>1000</v>
      </c>
      <c r="E146" s="18">
        <f t="shared" si="11"/>
        <v>2000</v>
      </c>
      <c r="F146" s="18">
        <f t="shared" si="11"/>
        <v>2000</v>
      </c>
      <c r="G146" s="18">
        <f t="shared" si="11"/>
        <v>4000</v>
      </c>
      <c r="H146" s="18">
        <f t="shared" si="11"/>
        <v>3000</v>
      </c>
      <c r="I146" s="73">
        <f t="shared" si="11"/>
        <v>181</v>
      </c>
      <c r="J146" s="18">
        <f t="shared" si="12"/>
        <v>0</v>
      </c>
      <c r="K146" s="98">
        <f t="shared" si="13"/>
        <v>6931000</v>
      </c>
    </row>
    <row r="147" spans="1:11" x14ac:dyDescent="0.25">
      <c r="A147" s="82">
        <f>'A) Base RI'!A146</f>
        <v>5636</v>
      </c>
      <c r="B147" s="62" t="str">
        <f>'A) Base RI'!B146</f>
        <v>Etoy</v>
      </c>
      <c r="C147" s="18">
        <f>'A) Base RI'!AN146</f>
        <v>2890</v>
      </c>
      <c r="D147" s="61">
        <f t="shared" si="9"/>
        <v>1000</v>
      </c>
      <c r="E147" s="18">
        <f t="shared" si="11"/>
        <v>1890</v>
      </c>
      <c r="F147" s="18">
        <f t="shared" si="11"/>
        <v>0</v>
      </c>
      <c r="G147" s="18">
        <f t="shared" si="11"/>
        <v>0</v>
      </c>
      <c r="H147" s="18">
        <f t="shared" si="11"/>
        <v>0</v>
      </c>
      <c r="I147" s="73">
        <f t="shared" si="11"/>
        <v>0</v>
      </c>
      <c r="J147" s="18">
        <f t="shared" si="12"/>
        <v>0</v>
      </c>
      <c r="K147" s="98">
        <f t="shared" si="13"/>
        <v>761500</v>
      </c>
    </row>
    <row r="148" spans="1:11" x14ac:dyDescent="0.25">
      <c r="A148" s="82">
        <f>'A) Base RI'!A147</f>
        <v>5637</v>
      </c>
      <c r="B148" s="62" t="str">
        <f>'A) Base RI'!B147</f>
        <v>Lavigny</v>
      </c>
      <c r="C148" s="18">
        <f>'A) Base RI'!AN147</f>
        <v>930</v>
      </c>
      <c r="D148" s="61">
        <f t="shared" si="9"/>
        <v>930</v>
      </c>
      <c r="E148" s="18">
        <f t="shared" si="11"/>
        <v>0</v>
      </c>
      <c r="F148" s="18">
        <f t="shared" si="11"/>
        <v>0</v>
      </c>
      <c r="G148" s="18">
        <f t="shared" si="11"/>
        <v>0</v>
      </c>
      <c r="H148" s="18">
        <f t="shared" si="11"/>
        <v>0</v>
      </c>
      <c r="I148" s="73">
        <f t="shared" si="11"/>
        <v>0</v>
      </c>
      <c r="J148" s="18">
        <f t="shared" si="12"/>
        <v>0</v>
      </c>
      <c r="K148" s="98">
        <f t="shared" si="13"/>
        <v>93000</v>
      </c>
    </row>
    <row r="149" spans="1:11" x14ac:dyDescent="0.25">
      <c r="A149" s="82">
        <f>'A) Base RI'!A148</f>
        <v>5638</v>
      </c>
      <c r="B149" s="62" t="str">
        <f>'A) Base RI'!B148</f>
        <v>Lonay</v>
      </c>
      <c r="C149" s="18">
        <f>'A) Base RI'!AN148</f>
        <v>2508</v>
      </c>
      <c r="D149" s="61">
        <f t="shared" si="9"/>
        <v>1000</v>
      </c>
      <c r="E149" s="18">
        <f t="shared" si="11"/>
        <v>1508</v>
      </c>
      <c r="F149" s="18">
        <f t="shared" si="11"/>
        <v>0</v>
      </c>
      <c r="G149" s="18">
        <f t="shared" si="11"/>
        <v>0</v>
      </c>
      <c r="H149" s="18">
        <f t="shared" si="11"/>
        <v>0</v>
      </c>
      <c r="I149" s="73">
        <f t="shared" si="11"/>
        <v>0</v>
      </c>
      <c r="J149" s="18">
        <f t="shared" si="12"/>
        <v>0</v>
      </c>
      <c r="K149" s="98">
        <f t="shared" si="13"/>
        <v>627800</v>
      </c>
    </row>
    <row r="150" spans="1:11" x14ac:dyDescent="0.25">
      <c r="A150" s="82">
        <f>'A) Base RI'!A149</f>
        <v>5639</v>
      </c>
      <c r="B150" s="62" t="str">
        <f>'A) Base RI'!B149</f>
        <v>Lully</v>
      </c>
      <c r="C150" s="18">
        <f>'A) Base RI'!AN149</f>
        <v>764</v>
      </c>
      <c r="D150" s="61">
        <f t="shared" si="9"/>
        <v>764</v>
      </c>
      <c r="E150" s="18">
        <f t="shared" si="11"/>
        <v>0</v>
      </c>
      <c r="F150" s="18">
        <f t="shared" si="11"/>
        <v>0</v>
      </c>
      <c r="G150" s="18">
        <f t="shared" si="11"/>
        <v>0</v>
      </c>
      <c r="H150" s="18">
        <f t="shared" si="11"/>
        <v>0</v>
      </c>
      <c r="I150" s="73">
        <f t="shared" si="11"/>
        <v>0</v>
      </c>
      <c r="J150" s="18">
        <f t="shared" si="12"/>
        <v>0</v>
      </c>
      <c r="K150" s="98">
        <f t="shared" si="13"/>
        <v>76400</v>
      </c>
    </row>
    <row r="151" spans="1:11" x14ac:dyDescent="0.25">
      <c r="A151" s="82">
        <f>'A) Base RI'!A150</f>
        <v>5640</v>
      </c>
      <c r="B151" s="62" t="str">
        <f>'A) Base RI'!B150</f>
        <v>Lussy-sur-Morges</v>
      </c>
      <c r="C151" s="18">
        <f>'A) Base RI'!AN150</f>
        <v>653</v>
      </c>
      <c r="D151" s="61">
        <f t="shared" si="9"/>
        <v>653</v>
      </c>
      <c r="E151" s="18">
        <f t="shared" si="11"/>
        <v>0</v>
      </c>
      <c r="F151" s="18">
        <f t="shared" si="11"/>
        <v>0</v>
      </c>
      <c r="G151" s="18">
        <f t="shared" si="11"/>
        <v>0</v>
      </c>
      <c r="H151" s="18">
        <f t="shared" si="11"/>
        <v>0</v>
      </c>
      <c r="I151" s="73">
        <f t="shared" si="11"/>
        <v>0</v>
      </c>
      <c r="J151" s="18">
        <f t="shared" si="12"/>
        <v>0</v>
      </c>
      <c r="K151" s="98">
        <f t="shared" si="13"/>
        <v>65300</v>
      </c>
    </row>
    <row r="152" spans="1:11" x14ac:dyDescent="0.25">
      <c r="A152" s="82">
        <f>'A) Base RI'!A151</f>
        <v>5642</v>
      </c>
      <c r="B152" s="62" t="str">
        <f>'A) Base RI'!B151</f>
        <v>Morges</v>
      </c>
      <c r="C152" s="18">
        <f>'A) Base RI'!AN151</f>
        <v>15401</v>
      </c>
      <c r="D152" s="61">
        <f t="shared" si="9"/>
        <v>1000</v>
      </c>
      <c r="E152" s="18">
        <f t="shared" si="11"/>
        <v>2000</v>
      </c>
      <c r="F152" s="18">
        <f t="shared" si="11"/>
        <v>2000</v>
      </c>
      <c r="G152" s="18">
        <f t="shared" si="11"/>
        <v>4000</v>
      </c>
      <c r="H152" s="18">
        <f t="shared" si="11"/>
        <v>3000</v>
      </c>
      <c r="I152" s="73">
        <f t="shared" si="11"/>
        <v>3000</v>
      </c>
      <c r="J152" s="18">
        <f t="shared" si="12"/>
        <v>401</v>
      </c>
      <c r="K152" s="98">
        <f t="shared" si="13"/>
        <v>10171050</v>
      </c>
    </row>
    <row r="153" spans="1:11" x14ac:dyDescent="0.25">
      <c r="A153" s="82">
        <f>'A) Base RI'!A152</f>
        <v>5643</v>
      </c>
      <c r="B153" s="62" t="str">
        <f>'A) Base RI'!B152</f>
        <v>Préverenges</v>
      </c>
      <c r="C153" s="18">
        <f>'A) Base RI'!AN152</f>
        <v>5184</v>
      </c>
      <c r="D153" s="61">
        <f t="shared" si="9"/>
        <v>1000</v>
      </c>
      <c r="E153" s="18">
        <f t="shared" si="11"/>
        <v>2000</v>
      </c>
      <c r="F153" s="18">
        <f t="shared" si="11"/>
        <v>2000</v>
      </c>
      <c r="G153" s="18">
        <f t="shared" si="11"/>
        <v>184</v>
      </c>
      <c r="H153" s="18">
        <f t="shared" si="11"/>
        <v>0</v>
      </c>
      <c r="I153" s="73">
        <f t="shared" si="11"/>
        <v>0</v>
      </c>
      <c r="J153" s="18">
        <f t="shared" si="12"/>
        <v>0</v>
      </c>
      <c r="K153" s="98">
        <f t="shared" si="13"/>
        <v>1910400</v>
      </c>
    </row>
    <row r="154" spans="1:11" x14ac:dyDescent="0.25">
      <c r="A154" s="82">
        <f>'A) Base RI'!A153</f>
        <v>5644</v>
      </c>
      <c r="B154" s="62" t="str">
        <f>'A) Base RI'!B153</f>
        <v>Reverolle</v>
      </c>
      <c r="C154" s="18">
        <f>'A) Base RI'!AN153</f>
        <v>356</v>
      </c>
      <c r="D154" s="61">
        <f t="shared" si="9"/>
        <v>356</v>
      </c>
      <c r="E154" s="18">
        <f t="shared" si="11"/>
        <v>0</v>
      </c>
      <c r="F154" s="18">
        <f t="shared" si="11"/>
        <v>0</v>
      </c>
      <c r="G154" s="18">
        <f t="shared" si="11"/>
        <v>0</v>
      </c>
      <c r="H154" s="18">
        <f t="shared" si="11"/>
        <v>0</v>
      </c>
      <c r="I154" s="73">
        <f t="shared" si="11"/>
        <v>0</v>
      </c>
      <c r="J154" s="18">
        <f t="shared" si="12"/>
        <v>0</v>
      </c>
      <c r="K154" s="98">
        <f t="shared" si="13"/>
        <v>35600</v>
      </c>
    </row>
    <row r="155" spans="1:11" x14ac:dyDescent="0.25">
      <c r="A155" s="82">
        <f>'A) Base RI'!A154</f>
        <v>5645</v>
      </c>
      <c r="B155" s="62" t="str">
        <f>'A) Base RI'!B154</f>
        <v>Romanel-sur-Morges</v>
      </c>
      <c r="C155" s="18">
        <f>'A) Base RI'!AN154</f>
        <v>435</v>
      </c>
      <c r="D155" s="61">
        <f t="shared" si="9"/>
        <v>435</v>
      </c>
      <c r="E155" s="18">
        <f t="shared" si="11"/>
        <v>0</v>
      </c>
      <c r="F155" s="18">
        <f t="shared" si="11"/>
        <v>0</v>
      </c>
      <c r="G155" s="18">
        <f t="shared" si="11"/>
        <v>0</v>
      </c>
      <c r="H155" s="18">
        <f t="shared" si="11"/>
        <v>0</v>
      </c>
      <c r="I155" s="73">
        <f t="shared" si="11"/>
        <v>0</v>
      </c>
      <c r="J155" s="18">
        <f t="shared" si="12"/>
        <v>0</v>
      </c>
      <c r="K155" s="98">
        <f t="shared" si="13"/>
        <v>43500</v>
      </c>
    </row>
    <row r="156" spans="1:11" x14ac:dyDescent="0.25">
      <c r="A156" s="82">
        <f>'A) Base RI'!A155</f>
        <v>5646</v>
      </c>
      <c r="B156" s="62" t="str">
        <f>'A) Base RI'!B155</f>
        <v>Saint-Prex</v>
      </c>
      <c r="C156" s="18">
        <f>'A) Base RI'!AN155</f>
        <v>5447</v>
      </c>
      <c r="D156" s="61">
        <f t="shared" si="9"/>
        <v>1000</v>
      </c>
      <c r="E156" s="18">
        <f t="shared" si="11"/>
        <v>2000</v>
      </c>
      <c r="F156" s="18">
        <f t="shared" si="11"/>
        <v>2000</v>
      </c>
      <c r="G156" s="18">
        <f t="shared" si="11"/>
        <v>447</v>
      </c>
      <c r="H156" s="18">
        <f t="shared" si="11"/>
        <v>0</v>
      </c>
      <c r="I156" s="73">
        <f t="shared" si="11"/>
        <v>0</v>
      </c>
      <c r="J156" s="18">
        <f t="shared" si="12"/>
        <v>0</v>
      </c>
      <c r="K156" s="98">
        <f t="shared" si="13"/>
        <v>2068200</v>
      </c>
    </row>
    <row r="157" spans="1:11" x14ac:dyDescent="0.25">
      <c r="A157" s="82">
        <f>'A) Base RI'!A156</f>
        <v>5648</v>
      </c>
      <c r="B157" s="62" t="str">
        <f>'A) Base RI'!B156</f>
        <v>Saint-Sulpice</v>
      </c>
      <c r="C157" s="18">
        <f>'A) Base RI'!AN156</f>
        <v>3463</v>
      </c>
      <c r="D157" s="61">
        <f t="shared" si="9"/>
        <v>1000</v>
      </c>
      <c r="E157" s="18">
        <f t="shared" si="11"/>
        <v>2000</v>
      </c>
      <c r="F157" s="18">
        <f t="shared" si="11"/>
        <v>463</v>
      </c>
      <c r="G157" s="18">
        <f t="shared" si="11"/>
        <v>0</v>
      </c>
      <c r="H157" s="18">
        <f t="shared" si="11"/>
        <v>0</v>
      </c>
      <c r="I157" s="73">
        <f t="shared" si="11"/>
        <v>0</v>
      </c>
      <c r="J157" s="18">
        <f t="shared" si="12"/>
        <v>0</v>
      </c>
      <c r="K157" s="98">
        <f t="shared" si="13"/>
        <v>1031500</v>
      </c>
    </row>
    <row r="158" spans="1:11" x14ac:dyDescent="0.25">
      <c r="A158" s="82">
        <f>'A) Base RI'!A157</f>
        <v>5649</v>
      </c>
      <c r="B158" s="62" t="str">
        <f>'A) Base RI'!B157</f>
        <v>Tolochenaz</v>
      </c>
      <c r="C158" s="18">
        <f>'A) Base RI'!AN157</f>
        <v>1812</v>
      </c>
      <c r="D158" s="61">
        <f t="shared" si="9"/>
        <v>1000</v>
      </c>
      <c r="E158" s="18">
        <f t="shared" si="11"/>
        <v>812</v>
      </c>
      <c r="F158" s="18">
        <f t="shared" si="11"/>
        <v>0</v>
      </c>
      <c r="G158" s="18">
        <f t="shared" si="11"/>
        <v>0</v>
      </c>
      <c r="H158" s="18">
        <f t="shared" si="11"/>
        <v>0</v>
      </c>
      <c r="I158" s="73">
        <f t="shared" si="11"/>
        <v>0</v>
      </c>
      <c r="J158" s="18">
        <f t="shared" si="12"/>
        <v>0</v>
      </c>
      <c r="K158" s="98">
        <f t="shared" si="13"/>
        <v>384200</v>
      </c>
    </row>
    <row r="159" spans="1:11" x14ac:dyDescent="0.25">
      <c r="A159" s="82">
        <f>'A) Base RI'!A158</f>
        <v>5650</v>
      </c>
      <c r="B159" s="62" t="str">
        <f>'A) Base RI'!B158</f>
        <v>Vaux-sur-Morges</v>
      </c>
      <c r="C159" s="18">
        <f>'A) Base RI'!AN158</f>
        <v>196</v>
      </c>
      <c r="D159" s="61">
        <f t="shared" si="9"/>
        <v>196</v>
      </c>
      <c r="E159" s="18">
        <f t="shared" si="11"/>
        <v>0</v>
      </c>
      <c r="F159" s="18">
        <f t="shared" si="11"/>
        <v>0</v>
      </c>
      <c r="G159" s="18">
        <f t="shared" si="11"/>
        <v>0</v>
      </c>
      <c r="H159" s="18">
        <f t="shared" si="11"/>
        <v>0</v>
      </c>
      <c r="I159" s="73">
        <f t="shared" si="11"/>
        <v>0</v>
      </c>
      <c r="J159" s="18">
        <f t="shared" si="12"/>
        <v>0</v>
      </c>
      <c r="K159" s="98">
        <f t="shared" si="13"/>
        <v>19600</v>
      </c>
    </row>
    <row r="160" spans="1:11" x14ac:dyDescent="0.25">
      <c r="A160" s="82">
        <f>'A) Base RI'!A159</f>
        <v>5651</v>
      </c>
      <c r="B160" s="62" t="str">
        <f>'A) Base RI'!B159</f>
        <v>Villars-Sainte-Croix</v>
      </c>
      <c r="C160" s="18">
        <f>'A) Base RI'!AN159</f>
        <v>673</v>
      </c>
      <c r="D160" s="61">
        <f t="shared" si="9"/>
        <v>673</v>
      </c>
      <c r="E160" s="18">
        <f t="shared" si="11"/>
        <v>0</v>
      </c>
      <c r="F160" s="18">
        <f t="shared" si="11"/>
        <v>0</v>
      </c>
      <c r="G160" s="18">
        <f t="shared" si="11"/>
        <v>0</v>
      </c>
      <c r="H160" s="18">
        <f t="shared" si="11"/>
        <v>0</v>
      </c>
      <c r="I160" s="73">
        <f t="shared" si="11"/>
        <v>0</v>
      </c>
      <c r="J160" s="18">
        <f t="shared" si="12"/>
        <v>0</v>
      </c>
      <c r="K160" s="98">
        <f t="shared" si="13"/>
        <v>67300</v>
      </c>
    </row>
    <row r="161" spans="1:11" x14ac:dyDescent="0.25">
      <c r="A161" s="82">
        <f>'A) Base RI'!A160</f>
        <v>5652</v>
      </c>
      <c r="B161" s="62" t="str">
        <f>'A) Base RI'!B160</f>
        <v>Villars-sous-Yens</v>
      </c>
      <c r="C161" s="18">
        <f>'A) Base RI'!AN160</f>
        <v>570</v>
      </c>
      <c r="D161" s="61">
        <f t="shared" si="9"/>
        <v>570</v>
      </c>
      <c r="E161" s="18">
        <f t="shared" si="11"/>
        <v>0</v>
      </c>
      <c r="F161" s="18">
        <f t="shared" si="11"/>
        <v>0</v>
      </c>
      <c r="G161" s="18">
        <f t="shared" si="11"/>
        <v>0</v>
      </c>
      <c r="H161" s="18">
        <f t="shared" si="11"/>
        <v>0</v>
      </c>
      <c r="I161" s="73">
        <f t="shared" ref="E161:I193" si="14">IF($C161&gt;I$4,IF($C161&lt;I$5,$C161-I$4,I$5-I$4),0)</f>
        <v>0</v>
      </c>
      <c r="J161" s="18">
        <f t="shared" si="12"/>
        <v>0</v>
      </c>
      <c r="K161" s="98">
        <f t="shared" si="13"/>
        <v>57000</v>
      </c>
    </row>
    <row r="162" spans="1:11" x14ac:dyDescent="0.25">
      <c r="A162" s="82">
        <f>'A) Base RI'!A161</f>
        <v>5653</v>
      </c>
      <c r="B162" s="62" t="str">
        <f>'A) Base RI'!B161</f>
        <v>Vufflens-le-Château</v>
      </c>
      <c r="C162" s="18">
        <f>'A) Base RI'!AN161</f>
        <v>825</v>
      </c>
      <c r="D162" s="61">
        <f t="shared" si="9"/>
        <v>825</v>
      </c>
      <c r="E162" s="18">
        <f t="shared" si="14"/>
        <v>0</v>
      </c>
      <c r="F162" s="18">
        <f t="shared" si="14"/>
        <v>0</v>
      </c>
      <c r="G162" s="18">
        <f t="shared" si="14"/>
        <v>0</v>
      </c>
      <c r="H162" s="18">
        <f t="shared" si="14"/>
        <v>0</v>
      </c>
      <c r="I162" s="73">
        <f t="shared" si="14"/>
        <v>0</v>
      </c>
      <c r="J162" s="18">
        <f t="shared" si="12"/>
        <v>0</v>
      </c>
      <c r="K162" s="98">
        <f t="shared" si="13"/>
        <v>82500</v>
      </c>
    </row>
    <row r="163" spans="1:11" x14ac:dyDescent="0.25">
      <c r="A163" s="82">
        <f>'A) Base RI'!A162</f>
        <v>5654</v>
      </c>
      <c r="B163" s="62" t="str">
        <f>'A) Base RI'!B162</f>
        <v>Vullierens</v>
      </c>
      <c r="C163" s="18">
        <f>'A) Base RI'!AN162</f>
        <v>457</v>
      </c>
      <c r="D163" s="61">
        <f t="shared" ref="D163:D215" si="15">IF($C163&gt;D$4,IF($C163&lt;D$5,$C163-D$4,D$5-D$4),0)</f>
        <v>457</v>
      </c>
      <c r="E163" s="18">
        <f t="shared" si="14"/>
        <v>0</v>
      </c>
      <c r="F163" s="18">
        <f t="shared" si="14"/>
        <v>0</v>
      </c>
      <c r="G163" s="18">
        <f t="shared" si="14"/>
        <v>0</v>
      </c>
      <c r="H163" s="18">
        <f t="shared" si="14"/>
        <v>0</v>
      </c>
      <c r="I163" s="73">
        <f t="shared" si="14"/>
        <v>0</v>
      </c>
      <c r="J163" s="18">
        <f t="shared" si="12"/>
        <v>0</v>
      </c>
      <c r="K163" s="98">
        <f t="shared" si="13"/>
        <v>45700</v>
      </c>
    </row>
    <row r="164" spans="1:11" x14ac:dyDescent="0.25">
      <c r="A164" s="82">
        <f>'A) Base RI'!A163</f>
        <v>5655</v>
      </c>
      <c r="B164" s="62" t="str">
        <f>'A) Base RI'!B163</f>
        <v>Yens</v>
      </c>
      <c r="C164" s="18">
        <f>'A) Base RI'!AN163</f>
        <v>1327</v>
      </c>
      <c r="D164" s="61">
        <f t="shared" si="15"/>
        <v>1000</v>
      </c>
      <c r="E164" s="18">
        <f t="shared" si="14"/>
        <v>327</v>
      </c>
      <c r="F164" s="18">
        <f t="shared" si="14"/>
        <v>0</v>
      </c>
      <c r="G164" s="18">
        <f t="shared" si="14"/>
        <v>0</v>
      </c>
      <c r="H164" s="18">
        <f t="shared" si="14"/>
        <v>0</v>
      </c>
      <c r="I164" s="73">
        <f t="shared" si="14"/>
        <v>0</v>
      </c>
      <c r="J164" s="18">
        <f t="shared" si="12"/>
        <v>0</v>
      </c>
      <c r="K164" s="98">
        <f t="shared" si="13"/>
        <v>214450</v>
      </c>
    </row>
    <row r="165" spans="1:11" x14ac:dyDescent="0.25">
      <c r="A165" s="82">
        <f>'A) Base RI'!A164</f>
        <v>5661</v>
      </c>
      <c r="B165" s="62" t="str">
        <f>'A) Base RI'!B164</f>
        <v>Boulens</v>
      </c>
      <c r="C165" s="18">
        <f>'A) Base RI'!AN164</f>
        <v>313</v>
      </c>
      <c r="D165" s="61">
        <f t="shared" si="15"/>
        <v>313</v>
      </c>
      <c r="E165" s="18">
        <f t="shared" si="14"/>
        <v>0</v>
      </c>
      <c r="F165" s="18">
        <f t="shared" si="14"/>
        <v>0</v>
      </c>
      <c r="G165" s="18">
        <f t="shared" si="14"/>
        <v>0</v>
      </c>
      <c r="H165" s="18">
        <f t="shared" si="14"/>
        <v>0</v>
      </c>
      <c r="I165" s="73">
        <f t="shared" si="14"/>
        <v>0</v>
      </c>
      <c r="J165" s="18">
        <f t="shared" si="12"/>
        <v>0</v>
      </c>
      <c r="K165" s="98">
        <f t="shared" si="13"/>
        <v>31300</v>
      </c>
    </row>
    <row r="166" spans="1:11" x14ac:dyDescent="0.25">
      <c r="A166" s="82">
        <f>'A) Base RI'!A165</f>
        <v>5662</v>
      </c>
      <c r="B166" s="62" t="str">
        <f>'A) Base RI'!B165</f>
        <v>Brenles</v>
      </c>
      <c r="C166" s="18">
        <f>'A) Base RI'!AN165</f>
        <v>144</v>
      </c>
      <c r="D166" s="61">
        <f t="shared" si="15"/>
        <v>144</v>
      </c>
      <c r="E166" s="18">
        <f t="shared" si="14"/>
        <v>0</v>
      </c>
      <c r="F166" s="18">
        <f t="shared" si="14"/>
        <v>0</v>
      </c>
      <c r="G166" s="18">
        <f t="shared" si="14"/>
        <v>0</v>
      </c>
      <c r="H166" s="18">
        <f t="shared" si="14"/>
        <v>0</v>
      </c>
      <c r="I166" s="73">
        <f t="shared" si="14"/>
        <v>0</v>
      </c>
      <c r="J166" s="18">
        <f t="shared" si="12"/>
        <v>0</v>
      </c>
      <c r="K166" s="98">
        <f t="shared" si="13"/>
        <v>14400</v>
      </c>
    </row>
    <row r="167" spans="1:11" x14ac:dyDescent="0.25">
      <c r="A167" s="82">
        <f>'A) Base RI'!A166</f>
        <v>5663</v>
      </c>
      <c r="B167" s="62" t="str">
        <f>'A) Base RI'!B166</f>
        <v>Bussy-sur-Moudon</v>
      </c>
      <c r="C167" s="18">
        <f>'A) Base RI'!AN166</f>
        <v>197</v>
      </c>
      <c r="D167" s="61">
        <f t="shared" si="15"/>
        <v>197</v>
      </c>
      <c r="E167" s="18">
        <f t="shared" si="14"/>
        <v>0</v>
      </c>
      <c r="F167" s="18">
        <f t="shared" si="14"/>
        <v>0</v>
      </c>
      <c r="G167" s="18">
        <f t="shared" si="14"/>
        <v>0</v>
      </c>
      <c r="H167" s="18">
        <f t="shared" si="14"/>
        <v>0</v>
      </c>
      <c r="I167" s="73">
        <f t="shared" si="14"/>
        <v>0</v>
      </c>
      <c r="J167" s="18">
        <f t="shared" si="12"/>
        <v>0</v>
      </c>
      <c r="K167" s="98">
        <f t="shared" si="13"/>
        <v>19700</v>
      </c>
    </row>
    <row r="168" spans="1:11" x14ac:dyDescent="0.25">
      <c r="A168" s="82">
        <f>'A) Base RI'!A167</f>
        <v>5665</v>
      </c>
      <c r="B168" s="62" t="str">
        <f>'A) Base RI'!B167</f>
        <v>Chavannes-sur-Moudon</v>
      </c>
      <c r="C168" s="18">
        <f>'A) Base RI'!AN167</f>
        <v>233</v>
      </c>
      <c r="D168" s="61">
        <f t="shared" si="15"/>
        <v>233</v>
      </c>
      <c r="E168" s="18">
        <f t="shared" si="14"/>
        <v>0</v>
      </c>
      <c r="F168" s="18">
        <f t="shared" si="14"/>
        <v>0</v>
      </c>
      <c r="G168" s="18">
        <f t="shared" si="14"/>
        <v>0</v>
      </c>
      <c r="H168" s="18">
        <f t="shared" si="14"/>
        <v>0</v>
      </c>
      <c r="I168" s="73">
        <f t="shared" si="14"/>
        <v>0</v>
      </c>
      <c r="J168" s="18">
        <f t="shared" si="12"/>
        <v>0</v>
      </c>
      <c r="K168" s="98">
        <f t="shared" si="13"/>
        <v>23300</v>
      </c>
    </row>
    <row r="169" spans="1:11" x14ac:dyDescent="0.25">
      <c r="A169" s="82">
        <f>'A) Base RI'!A168</f>
        <v>5666</v>
      </c>
      <c r="B169" s="62" t="str">
        <f>'A) Base RI'!B168</f>
        <v>Chesalles-sur-Moudon</v>
      </c>
      <c r="C169" s="18">
        <f>'A) Base RI'!AN168</f>
        <v>160</v>
      </c>
      <c r="D169" s="61">
        <f t="shared" si="15"/>
        <v>160</v>
      </c>
      <c r="E169" s="18">
        <f t="shared" si="14"/>
        <v>0</v>
      </c>
      <c r="F169" s="18">
        <f t="shared" si="14"/>
        <v>0</v>
      </c>
      <c r="G169" s="18">
        <f t="shared" si="14"/>
        <v>0</v>
      </c>
      <c r="H169" s="18">
        <f t="shared" si="14"/>
        <v>0</v>
      </c>
      <c r="I169" s="73">
        <f t="shared" si="14"/>
        <v>0</v>
      </c>
      <c r="J169" s="18">
        <f>IF(C169&gt;$J$4,C169-$J$4,0)</f>
        <v>0</v>
      </c>
      <c r="K169" s="98">
        <f t="shared" si="13"/>
        <v>16000</v>
      </c>
    </row>
    <row r="170" spans="1:11" x14ac:dyDescent="0.25">
      <c r="A170" s="82">
        <f>'A) Base RI'!A169</f>
        <v>5668</v>
      </c>
      <c r="B170" s="62" t="str">
        <f>'A) Base RI'!B169</f>
        <v>Cremin</v>
      </c>
      <c r="C170" s="18">
        <f>'A) Base RI'!AN169</f>
        <v>51</v>
      </c>
      <c r="D170" s="61">
        <f t="shared" si="15"/>
        <v>51</v>
      </c>
      <c r="E170" s="18">
        <f t="shared" si="14"/>
        <v>0</v>
      </c>
      <c r="F170" s="18">
        <f t="shared" si="14"/>
        <v>0</v>
      </c>
      <c r="G170" s="18">
        <f t="shared" si="14"/>
        <v>0</v>
      </c>
      <c r="H170" s="18">
        <f t="shared" si="14"/>
        <v>0</v>
      </c>
      <c r="I170" s="73">
        <f t="shared" si="14"/>
        <v>0</v>
      </c>
      <c r="J170" s="18">
        <f t="shared" ref="J170:J233" si="16">IF(C170&gt;$J$4,C170-$J$4,0)</f>
        <v>0</v>
      </c>
      <c r="K170" s="98">
        <f t="shared" si="13"/>
        <v>5100</v>
      </c>
    </row>
    <row r="171" spans="1:11" x14ac:dyDescent="0.25">
      <c r="A171" s="82">
        <f>'A) Base RI'!A170</f>
        <v>5669</v>
      </c>
      <c r="B171" s="62" t="str">
        <f>'A) Base RI'!B170</f>
        <v>Curtilles</v>
      </c>
      <c r="C171" s="18">
        <f>'A) Base RI'!AN170</f>
        <v>306</v>
      </c>
      <c r="D171" s="61">
        <f t="shared" si="15"/>
        <v>306</v>
      </c>
      <c r="E171" s="18">
        <f t="shared" si="14"/>
        <v>0</v>
      </c>
      <c r="F171" s="18">
        <f t="shared" si="14"/>
        <v>0</v>
      </c>
      <c r="G171" s="18">
        <f t="shared" si="14"/>
        <v>0</v>
      </c>
      <c r="H171" s="18">
        <f t="shared" si="14"/>
        <v>0</v>
      </c>
      <c r="I171" s="73">
        <f t="shared" si="14"/>
        <v>0</v>
      </c>
      <c r="J171" s="18">
        <f t="shared" si="16"/>
        <v>0</v>
      </c>
      <c r="K171" s="98">
        <f t="shared" si="13"/>
        <v>30600</v>
      </c>
    </row>
    <row r="172" spans="1:11" x14ac:dyDescent="0.25">
      <c r="A172" s="82">
        <f>'A) Base RI'!A171</f>
        <v>5671</v>
      </c>
      <c r="B172" s="62" t="str">
        <f>'A) Base RI'!B171</f>
        <v>Dompierre</v>
      </c>
      <c r="C172" s="18">
        <f>'A) Base RI'!AN171</f>
        <v>247</v>
      </c>
      <c r="D172" s="61">
        <f t="shared" si="15"/>
        <v>247</v>
      </c>
      <c r="E172" s="18">
        <f t="shared" si="14"/>
        <v>0</v>
      </c>
      <c r="F172" s="18">
        <f t="shared" si="14"/>
        <v>0</v>
      </c>
      <c r="G172" s="18">
        <f t="shared" si="14"/>
        <v>0</v>
      </c>
      <c r="H172" s="18">
        <f t="shared" si="14"/>
        <v>0</v>
      </c>
      <c r="I172" s="73">
        <f t="shared" si="14"/>
        <v>0</v>
      </c>
      <c r="J172" s="18">
        <f t="shared" si="16"/>
        <v>0</v>
      </c>
      <c r="K172" s="98">
        <f t="shared" si="13"/>
        <v>24700</v>
      </c>
    </row>
    <row r="173" spans="1:11" x14ac:dyDescent="0.25">
      <c r="A173" s="82">
        <f>'A) Base RI'!A172</f>
        <v>5672</v>
      </c>
      <c r="B173" s="62" t="str">
        <f>'A) Base RI'!B172</f>
        <v>Forel-sur-Lucens</v>
      </c>
      <c r="C173" s="18">
        <f>'A) Base RI'!AN172</f>
        <v>153</v>
      </c>
      <c r="D173" s="61">
        <f t="shared" si="15"/>
        <v>153</v>
      </c>
      <c r="E173" s="18">
        <f t="shared" si="14"/>
        <v>0</v>
      </c>
      <c r="F173" s="18">
        <f t="shared" si="14"/>
        <v>0</v>
      </c>
      <c r="G173" s="18">
        <f t="shared" si="14"/>
        <v>0</v>
      </c>
      <c r="H173" s="18">
        <f t="shared" si="14"/>
        <v>0</v>
      </c>
      <c r="I173" s="73">
        <f t="shared" si="14"/>
        <v>0</v>
      </c>
      <c r="J173" s="18">
        <f t="shared" si="16"/>
        <v>0</v>
      </c>
      <c r="K173" s="98">
        <f t="shared" si="13"/>
        <v>15300</v>
      </c>
    </row>
    <row r="174" spans="1:11" x14ac:dyDescent="0.25">
      <c r="A174" s="82">
        <f>'A) Base RI'!A173</f>
        <v>5673</v>
      </c>
      <c r="B174" s="62" t="str">
        <f>'A) Base RI'!B173</f>
        <v>Hermenches</v>
      </c>
      <c r="C174" s="18">
        <f>'A) Base RI'!AN173</f>
        <v>376</v>
      </c>
      <c r="D174" s="61">
        <f t="shared" si="15"/>
        <v>376</v>
      </c>
      <c r="E174" s="18">
        <f t="shared" si="14"/>
        <v>0</v>
      </c>
      <c r="F174" s="18">
        <f t="shared" si="14"/>
        <v>0</v>
      </c>
      <c r="G174" s="18">
        <f t="shared" si="14"/>
        <v>0</v>
      </c>
      <c r="H174" s="18">
        <f t="shared" si="14"/>
        <v>0</v>
      </c>
      <c r="I174" s="73">
        <f t="shared" si="14"/>
        <v>0</v>
      </c>
      <c r="J174" s="18">
        <f t="shared" si="16"/>
        <v>0</v>
      </c>
      <c r="K174" s="98">
        <f t="shared" si="13"/>
        <v>37600</v>
      </c>
    </row>
    <row r="175" spans="1:11" x14ac:dyDescent="0.25">
      <c r="A175" s="82">
        <f>'A) Base RI'!A174</f>
        <v>5674</v>
      </c>
      <c r="B175" s="62" t="str">
        <f>'A) Base RI'!B174</f>
        <v>Lovatens</v>
      </c>
      <c r="C175" s="18">
        <f>'A) Base RI'!AN174</f>
        <v>140</v>
      </c>
      <c r="D175" s="61">
        <f t="shared" si="15"/>
        <v>140</v>
      </c>
      <c r="E175" s="18">
        <f t="shared" si="14"/>
        <v>0</v>
      </c>
      <c r="F175" s="18">
        <f t="shared" si="14"/>
        <v>0</v>
      </c>
      <c r="G175" s="18">
        <f t="shared" si="14"/>
        <v>0</v>
      </c>
      <c r="H175" s="18">
        <f t="shared" si="14"/>
        <v>0</v>
      </c>
      <c r="I175" s="73">
        <f t="shared" si="14"/>
        <v>0</v>
      </c>
      <c r="J175" s="18">
        <f t="shared" si="16"/>
        <v>0</v>
      </c>
      <c r="K175" s="98">
        <f t="shared" si="13"/>
        <v>14000</v>
      </c>
    </row>
    <row r="176" spans="1:11" x14ac:dyDescent="0.25">
      <c r="A176" s="82">
        <f>'A) Base RI'!A175</f>
        <v>5675</v>
      </c>
      <c r="B176" s="62" t="str">
        <f>'A) Base RI'!B175</f>
        <v>Lucens</v>
      </c>
      <c r="C176" s="18">
        <f>'A) Base RI'!AN175</f>
        <v>3262</v>
      </c>
      <c r="D176" s="61">
        <f t="shared" si="15"/>
        <v>1000</v>
      </c>
      <c r="E176" s="18">
        <f t="shared" si="14"/>
        <v>2000</v>
      </c>
      <c r="F176" s="18">
        <f t="shared" si="14"/>
        <v>262</v>
      </c>
      <c r="G176" s="18">
        <f t="shared" si="14"/>
        <v>0</v>
      </c>
      <c r="H176" s="18">
        <f t="shared" si="14"/>
        <v>0</v>
      </c>
      <c r="I176" s="73">
        <f t="shared" si="14"/>
        <v>0</v>
      </c>
      <c r="J176" s="18">
        <f t="shared" si="16"/>
        <v>0</v>
      </c>
      <c r="K176" s="98">
        <f t="shared" si="13"/>
        <v>931000</v>
      </c>
    </row>
    <row r="177" spans="1:11" x14ac:dyDescent="0.25">
      <c r="A177" s="82">
        <f>'A) Base RI'!A176</f>
        <v>5678</v>
      </c>
      <c r="B177" s="62" t="str">
        <f>'A) Base RI'!B176</f>
        <v>Moudon</v>
      </c>
      <c r="C177" s="18">
        <f>'A) Base RI'!AN176</f>
        <v>5656</v>
      </c>
      <c r="D177" s="61">
        <f t="shared" si="15"/>
        <v>1000</v>
      </c>
      <c r="E177" s="18">
        <f t="shared" si="14"/>
        <v>2000</v>
      </c>
      <c r="F177" s="18">
        <f t="shared" si="14"/>
        <v>2000</v>
      </c>
      <c r="G177" s="18">
        <f t="shared" si="14"/>
        <v>656</v>
      </c>
      <c r="H177" s="18">
        <f t="shared" si="14"/>
        <v>0</v>
      </c>
      <c r="I177" s="73">
        <f t="shared" si="14"/>
        <v>0</v>
      </c>
      <c r="J177" s="18">
        <f t="shared" si="16"/>
        <v>0</v>
      </c>
      <c r="K177" s="98">
        <f t="shared" si="13"/>
        <v>2193600</v>
      </c>
    </row>
    <row r="178" spans="1:11" x14ac:dyDescent="0.25">
      <c r="A178" s="82">
        <f>'A) Base RI'!A177</f>
        <v>5680</v>
      </c>
      <c r="B178" s="62" t="str">
        <f>'A) Base RI'!B177</f>
        <v>Ogens</v>
      </c>
      <c r="C178" s="18">
        <f>'A) Base RI'!AN177</f>
        <v>261</v>
      </c>
      <c r="D178" s="61">
        <f t="shared" si="15"/>
        <v>261</v>
      </c>
      <c r="E178" s="18">
        <f t="shared" si="14"/>
        <v>0</v>
      </c>
      <c r="F178" s="18">
        <f t="shared" si="14"/>
        <v>0</v>
      </c>
      <c r="G178" s="18">
        <f t="shared" si="14"/>
        <v>0</v>
      </c>
      <c r="H178" s="18">
        <f t="shared" si="14"/>
        <v>0</v>
      </c>
      <c r="I178" s="73">
        <f t="shared" si="14"/>
        <v>0</v>
      </c>
      <c r="J178" s="18">
        <f t="shared" si="16"/>
        <v>0</v>
      </c>
      <c r="K178" s="98">
        <f t="shared" si="13"/>
        <v>26100</v>
      </c>
    </row>
    <row r="179" spans="1:11" x14ac:dyDescent="0.25">
      <c r="A179" s="82">
        <f>'A) Base RI'!A178</f>
        <v>5683</v>
      </c>
      <c r="B179" s="62" t="str">
        <f>'A) Base RI'!B178</f>
        <v>Prévonloup</v>
      </c>
      <c r="C179" s="18">
        <f>'A) Base RI'!AN178</f>
        <v>173</v>
      </c>
      <c r="D179" s="61">
        <f t="shared" si="15"/>
        <v>173</v>
      </c>
      <c r="E179" s="18">
        <f t="shared" si="14"/>
        <v>0</v>
      </c>
      <c r="F179" s="18">
        <f t="shared" si="14"/>
        <v>0</v>
      </c>
      <c r="G179" s="18">
        <f t="shared" si="14"/>
        <v>0</v>
      </c>
      <c r="H179" s="18">
        <f t="shared" si="14"/>
        <v>0</v>
      </c>
      <c r="I179" s="73">
        <f t="shared" si="14"/>
        <v>0</v>
      </c>
      <c r="J179" s="18">
        <f t="shared" si="16"/>
        <v>0</v>
      </c>
      <c r="K179" s="98">
        <f t="shared" si="13"/>
        <v>17300</v>
      </c>
    </row>
    <row r="180" spans="1:11" x14ac:dyDescent="0.25">
      <c r="A180" s="82">
        <f>'A) Base RI'!A179</f>
        <v>5684</v>
      </c>
      <c r="B180" s="62" t="str">
        <f>'A) Base RI'!B179</f>
        <v>Rossenges</v>
      </c>
      <c r="C180" s="18">
        <f>'A) Base RI'!AN179</f>
        <v>63</v>
      </c>
      <c r="D180" s="61">
        <f t="shared" si="15"/>
        <v>63</v>
      </c>
      <c r="E180" s="18">
        <f t="shared" si="14"/>
        <v>0</v>
      </c>
      <c r="F180" s="18">
        <f t="shared" si="14"/>
        <v>0</v>
      </c>
      <c r="G180" s="18">
        <f t="shared" si="14"/>
        <v>0</v>
      </c>
      <c r="H180" s="18">
        <f t="shared" si="14"/>
        <v>0</v>
      </c>
      <c r="I180" s="73">
        <f t="shared" si="14"/>
        <v>0</v>
      </c>
      <c r="J180" s="18">
        <f t="shared" si="16"/>
        <v>0</v>
      </c>
      <c r="K180" s="98">
        <f t="shared" si="13"/>
        <v>6300</v>
      </c>
    </row>
    <row r="181" spans="1:11" x14ac:dyDescent="0.25">
      <c r="A181" s="82">
        <f>'A) Base RI'!A180</f>
        <v>5686</v>
      </c>
      <c r="B181" s="62" t="str">
        <f>'A) Base RI'!B180</f>
        <v>Sarzens</v>
      </c>
      <c r="C181" s="18">
        <f>'A) Base RI'!AN180</f>
        <v>87</v>
      </c>
      <c r="D181" s="61">
        <f t="shared" si="15"/>
        <v>87</v>
      </c>
      <c r="E181" s="18">
        <f t="shared" si="14"/>
        <v>0</v>
      </c>
      <c r="F181" s="18">
        <f t="shared" si="14"/>
        <v>0</v>
      </c>
      <c r="G181" s="18">
        <f t="shared" si="14"/>
        <v>0</v>
      </c>
      <c r="H181" s="18">
        <f t="shared" si="14"/>
        <v>0</v>
      </c>
      <c r="I181" s="73">
        <f t="shared" si="14"/>
        <v>0</v>
      </c>
      <c r="J181" s="18">
        <f t="shared" si="16"/>
        <v>0</v>
      </c>
      <c r="K181" s="98">
        <f t="shared" si="13"/>
        <v>8700</v>
      </c>
    </row>
    <row r="182" spans="1:11" x14ac:dyDescent="0.25">
      <c r="A182" s="82">
        <f>'A) Base RI'!A181</f>
        <v>5688</v>
      </c>
      <c r="B182" s="62" t="str">
        <f>'A) Base RI'!B181</f>
        <v>Syens</v>
      </c>
      <c r="C182" s="18">
        <f>'A) Base RI'!AN181</f>
        <v>126</v>
      </c>
      <c r="D182" s="61">
        <f t="shared" si="15"/>
        <v>126</v>
      </c>
      <c r="E182" s="18">
        <f t="shared" si="14"/>
        <v>0</v>
      </c>
      <c r="F182" s="18">
        <f t="shared" si="14"/>
        <v>0</v>
      </c>
      <c r="G182" s="18">
        <f t="shared" si="14"/>
        <v>0</v>
      </c>
      <c r="H182" s="18">
        <f t="shared" si="14"/>
        <v>0</v>
      </c>
      <c r="I182" s="73">
        <f t="shared" si="14"/>
        <v>0</v>
      </c>
      <c r="J182" s="18">
        <f t="shared" si="16"/>
        <v>0</v>
      </c>
      <c r="K182" s="98">
        <f t="shared" si="13"/>
        <v>12600</v>
      </c>
    </row>
    <row r="183" spans="1:11" x14ac:dyDescent="0.25">
      <c r="A183" s="82">
        <f>'A) Base RI'!A182</f>
        <v>5690</v>
      </c>
      <c r="B183" s="62" t="str">
        <f>'A) Base RI'!B182</f>
        <v>Villars-le-Comte</v>
      </c>
      <c r="C183" s="18">
        <f>'A) Base RI'!AN182</f>
        <v>153</v>
      </c>
      <c r="D183" s="61">
        <f t="shared" si="15"/>
        <v>153</v>
      </c>
      <c r="E183" s="18">
        <f t="shared" si="14"/>
        <v>0</v>
      </c>
      <c r="F183" s="18">
        <f t="shared" si="14"/>
        <v>0</v>
      </c>
      <c r="G183" s="18">
        <f t="shared" si="14"/>
        <v>0</v>
      </c>
      <c r="H183" s="18">
        <f t="shared" si="14"/>
        <v>0</v>
      </c>
      <c r="I183" s="73">
        <f t="shared" si="14"/>
        <v>0</v>
      </c>
      <c r="J183" s="18">
        <f t="shared" si="16"/>
        <v>0</v>
      </c>
      <c r="K183" s="98">
        <f t="shared" si="13"/>
        <v>15300</v>
      </c>
    </row>
    <row r="184" spans="1:11" x14ac:dyDescent="0.25">
      <c r="A184" s="82">
        <f>'A) Base RI'!A183</f>
        <v>5692</v>
      </c>
      <c r="B184" s="62" t="str">
        <f>'A) Base RI'!B183</f>
        <v>Vucherens</v>
      </c>
      <c r="C184" s="18">
        <f>'A) Base RI'!AN183</f>
        <v>532</v>
      </c>
      <c r="D184" s="61">
        <f t="shared" si="15"/>
        <v>532</v>
      </c>
      <c r="E184" s="18">
        <f t="shared" si="14"/>
        <v>0</v>
      </c>
      <c r="F184" s="18">
        <f t="shared" si="14"/>
        <v>0</v>
      </c>
      <c r="G184" s="18">
        <f t="shared" si="14"/>
        <v>0</v>
      </c>
      <c r="H184" s="18">
        <f t="shared" si="14"/>
        <v>0</v>
      </c>
      <c r="I184" s="73">
        <f t="shared" si="14"/>
        <v>0</v>
      </c>
      <c r="J184" s="18">
        <f t="shared" si="16"/>
        <v>0</v>
      </c>
      <c r="K184" s="98">
        <f t="shared" si="13"/>
        <v>53200</v>
      </c>
    </row>
    <row r="185" spans="1:11" x14ac:dyDescent="0.25">
      <c r="A185" s="82">
        <f>'A) Base RI'!A184</f>
        <v>5693</v>
      </c>
      <c r="B185" s="62" t="str">
        <f>'A) Base RI'!B184</f>
        <v>Montanaire</v>
      </c>
      <c r="C185" s="18">
        <f>'A) Base RI'!AN184</f>
        <v>2436</v>
      </c>
      <c r="D185" s="61">
        <f t="shared" si="15"/>
        <v>1000</v>
      </c>
      <c r="E185" s="18">
        <f t="shared" si="14"/>
        <v>1436</v>
      </c>
      <c r="F185" s="18">
        <f t="shared" si="14"/>
        <v>0</v>
      </c>
      <c r="G185" s="18">
        <f t="shared" si="14"/>
        <v>0</v>
      </c>
      <c r="H185" s="18">
        <f t="shared" si="14"/>
        <v>0</v>
      </c>
      <c r="I185" s="73">
        <f t="shared" si="14"/>
        <v>0</v>
      </c>
      <c r="J185" s="18">
        <f t="shared" si="16"/>
        <v>0</v>
      </c>
      <c r="K185" s="98">
        <f t="shared" si="13"/>
        <v>602600</v>
      </c>
    </row>
    <row r="186" spans="1:11" x14ac:dyDescent="0.25">
      <c r="A186" s="82">
        <f>'A) Base RI'!A185</f>
        <v>5701</v>
      </c>
      <c r="B186" s="62" t="str">
        <f>'A) Base RI'!B185</f>
        <v>Arnex-sur-Nyon</v>
      </c>
      <c r="C186" s="18">
        <f>'A) Base RI'!AN185</f>
        <v>190</v>
      </c>
      <c r="D186" s="61">
        <f t="shared" si="15"/>
        <v>190</v>
      </c>
      <c r="E186" s="18">
        <f t="shared" si="14"/>
        <v>0</v>
      </c>
      <c r="F186" s="18">
        <f t="shared" si="14"/>
        <v>0</v>
      </c>
      <c r="G186" s="18">
        <f t="shared" si="14"/>
        <v>0</v>
      </c>
      <c r="H186" s="18">
        <f t="shared" si="14"/>
        <v>0</v>
      </c>
      <c r="I186" s="73">
        <f t="shared" si="14"/>
        <v>0</v>
      </c>
      <c r="J186" s="18">
        <f t="shared" si="16"/>
        <v>0</v>
      </c>
      <c r="K186" s="98">
        <f t="shared" si="13"/>
        <v>19000</v>
      </c>
    </row>
    <row r="187" spans="1:11" x14ac:dyDescent="0.25">
      <c r="A187" s="82">
        <f>'A) Base RI'!A186</f>
        <v>5702</v>
      </c>
      <c r="B187" s="62" t="str">
        <f>'A) Base RI'!B186</f>
        <v>Arzier-Le Muids</v>
      </c>
      <c r="C187" s="18">
        <f>'A) Base RI'!AN186</f>
        <v>2442</v>
      </c>
      <c r="D187" s="61">
        <f t="shared" si="15"/>
        <v>1000</v>
      </c>
      <c r="E187" s="18">
        <f t="shared" si="14"/>
        <v>1442</v>
      </c>
      <c r="F187" s="18">
        <f t="shared" si="14"/>
        <v>0</v>
      </c>
      <c r="G187" s="18">
        <f t="shared" si="14"/>
        <v>0</v>
      </c>
      <c r="H187" s="18">
        <f t="shared" si="14"/>
        <v>0</v>
      </c>
      <c r="I187" s="73">
        <f t="shared" si="14"/>
        <v>0</v>
      </c>
      <c r="J187" s="18">
        <f t="shared" si="16"/>
        <v>0</v>
      </c>
      <c r="K187" s="98">
        <f t="shared" si="13"/>
        <v>604700</v>
      </c>
    </row>
    <row r="188" spans="1:11" x14ac:dyDescent="0.25">
      <c r="A188" s="82">
        <f>'A) Base RI'!A187</f>
        <v>5703</v>
      </c>
      <c r="B188" s="62" t="str">
        <f>'A) Base RI'!B187</f>
        <v>Bassins</v>
      </c>
      <c r="C188" s="18">
        <f>'A) Base RI'!AN187</f>
        <v>1318</v>
      </c>
      <c r="D188" s="61">
        <f t="shared" si="15"/>
        <v>1000</v>
      </c>
      <c r="E188" s="18">
        <f t="shared" si="14"/>
        <v>318</v>
      </c>
      <c r="F188" s="18">
        <f t="shared" si="14"/>
        <v>0</v>
      </c>
      <c r="G188" s="18">
        <f t="shared" si="14"/>
        <v>0</v>
      </c>
      <c r="H188" s="18">
        <f t="shared" si="14"/>
        <v>0</v>
      </c>
      <c r="I188" s="73">
        <f t="shared" si="14"/>
        <v>0</v>
      </c>
      <c r="J188" s="18">
        <f t="shared" si="16"/>
        <v>0</v>
      </c>
      <c r="K188" s="98">
        <f t="shared" si="13"/>
        <v>211300</v>
      </c>
    </row>
    <row r="189" spans="1:11" x14ac:dyDescent="0.25">
      <c r="A189" s="82">
        <f>'A) Base RI'!A188</f>
        <v>5704</v>
      </c>
      <c r="B189" s="62" t="str">
        <f>'A) Base RI'!B188</f>
        <v>Begnins</v>
      </c>
      <c r="C189" s="18">
        <f>'A) Base RI'!AN188</f>
        <v>1698</v>
      </c>
      <c r="D189" s="61">
        <f t="shared" si="15"/>
        <v>1000</v>
      </c>
      <c r="E189" s="18">
        <f t="shared" si="14"/>
        <v>698</v>
      </c>
      <c r="F189" s="18">
        <f t="shared" si="14"/>
        <v>0</v>
      </c>
      <c r="G189" s="18">
        <f t="shared" si="14"/>
        <v>0</v>
      </c>
      <c r="H189" s="18">
        <f t="shared" si="14"/>
        <v>0</v>
      </c>
      <c r="I189" s="73">
        <f t="shared" si="14"/>
        <v>0</v>
      </c>
      <c r="J189" s="18">
        <f t="shared" si="16"/>
        <v>0</v>
      </c>
      <c r="K189" s="98">
        <f t="shared" si="13"/>
        <v>344300</v>
      </c>
    </row>
    <row r="190" spans="1:11" x14ac:dyDescent="0.25">
      <c r="A190" s="82">
        <f>'A) Base RI'!A189</f>
        <v>5705</v>
      </c>
      <c r="B190" s="62" t="str">
        <f>'A) Base RI'!B189</f>
        <v>Bogis-Bossey</v>
      </c>
      <c r="C190" s="18">
        <f>'A) Base RI'!AN189</f>
        <v>830</v>
      </c>
      <c r="D190" s="61">
        <f t="shared" si="15"/>
        <v>830</v>
      </c>
      <c r="E190" s="18">
        <f t="shared" si="14"/>
        <v>0</v>
      </c>
      <c r="F190" s="18">
        <f t="shared" si="14"/>
        <v>0</v>
      </c>
      <c r="G190" s="18">
        <f t="shared" si="14"/>
        <v>0</v>
      </c>
      <c r="H190" s="18">
        <f t="shared" si="14"/>
        <v>0</v>
      </c>
      <c r="I190" s="73">
        <f t="shared" si="14"/>
        <v>0</v>
      </c>
      <c r="J190" s="18">
        <f t="shared" si="16"/>
        <v>0</v>
      </c>
      <c r="K190" s="98">
        <f t="shared" si="13"/>
        <v>83000</v>
      </c>
    </row>
    <row r="191" spans="1:11" x14ac:dyDescent="0.25">
      <c r="A191" s="82">
        <f>'A) Base RI'!A190</f>
        <v>5706</v>
      </c>
      <c r="B191" s="62" t="str">
        <f>'A) Base RI'!B190</f>
        <v>Borex</v>
      </c>
      <c r="C191" s="18">
        <f>'A) Base RI'!AN190</f>
        <v>919</v>
      </c>
      <c r="D191" s="61">
        <f t="shared" si="15"/>
        <v>919</v>
      </c>
      <c r="E191" s="18">
        <f t="shared" si="14"/>
        <v>0</v>
      </c>
      <c r="F191" s="18">
        <f t="shared" si="14"/>
        <v>0</v>
      </c>
      <c r="G191" s="18">
        <f t="shared" si="14"/>
        <v>0</v>
      </c>
      <c r="H191" s="18">
        <f t="shared" si="14"/>
        <v>0</v>
      </c>
      <c r="I191" s="73">
        <f t="shared" si="14"/>
        <v>0</v>
      </c>
      <c r="J191" s="18">
        <f t="shared" si="16"/>
        <v>0</v>
      </c>
      <c r="K191" s="98">
        <f t="shared" si="13"/>
        <v>91900</v>
      </c>
    </row>
    <row r="192" spans="1:11" x14ac:dyDescent="0.25">
      <c r="A192" s="82">
        <f>'A) Base RI'!A191</f>
        <v>5707</v>
      </c>
      <c r="B192" s="62" t="str">
        <f>'A) Base RI'!B191</f>
        <v>Chavannes-de-Bogis</v>
      </c>
      <c r="C192" s="18">
        <f>'A) Base RI'!AN191</f>
        <v>1125</v>
      </c>
      <c r="D192" s="61">
        <f t="shared" si="15"/>
        <v>1000</v>
      </c>
      <c r="E192" s="18">
        <f t="shared" si="14"/>
        <v>125</v>
      </c>
      <c r="F192" s="18">
        <f t="shared" si="14"/>
        <v>0</v>
      </c>
      <c r="G192" s="18">
        <f t="shared" si="14"/>
        <v>0</v>
      </c>
      <c r="H192" s="18">
        <f t="shared" si="14"/>
        <v>0</v>
      </c>
      <c r="I192" s="73">
        <f t="shared" si="14"/>
        <v>0</v>
      </c>
      <c r="J192" s="18">
        <f t="shared" si="16"/>
        <v>0</v>
      </c>
      <c r="K192" s="98">
        <f t="shared" si="13"/>
        <v>143750</v>
      </c>
    </row>
    <row r="193" spans="1:11" x14ac:dyDescent="0.25">
      <c r="A193" s="82">
        <f>'A) Base RI'!A192</f>
        <v>5708</v>
      </c>
      <c r="B193" s="62" t="str">
        <f>'A) Base RI'!B192</f>
        <v>Chavannes-des-Bois</v>
      </c>
      <c r="C193" s="18">
        <f>'A) Base RI'!AN192</f>
        <v>797</v>
      </c>
      <c r="D193" s="61">
        <f t="shared" si="15"/>
        <v>797</v>
      </c>
      <c r="E193" s="18">
        <f t="shared" si="14"/>
        <v>0</v>
      </c>
      <c r="F193" s="18">
        <f t="shared" ref="E193:I235" si="17">IF($C193&gt;F$4,IF($C193&lt;F$5,$C193-F$4,F$5-F$4),0)</f>
        <v>0</v>
      </c>
      <c r="G193" s="18">
        <f t="shared" si="17"/>
        <v>0</v>
      </c>
      <c r="H193" s="18">
        <f t="shared" si="17"/>
        <v>0</v>
      </c>
      <c r="I193" s="73">
        <f t="shared" si="17"/>
        <v>0</v>
      </c>
      <c r="J193" s="18">
        <f t="shared" si="16"/>
        <v>0</v>
      </c>
      <c r="K193" s="98">
        <f t="shared" si="13"/>
        <v>79700</v>
      </c>
    </row>
    <row r="194" spans="1:11" x14ac:dyDescent="0.25">
      <c r="A194" s="82">
        <f>'A) Base RI'!A193</f>
        <v>5709</v>
      </c>
      <c r="B194" s="62" t="str">
        <f>'A) Base RI'!B193</f>
        <v>Chéserex</v>
      </c>
      <c r="C194" s="18">
        <f>'A) Base RI'!AN193</f>
        <v>1225</v>
      </c>
      <c r="D194" s="61">
        <f t="shared" si="15"/>
        <v>1000</v>
      </c>
      <c r="E194" s="18">
        <f t="shared" si="17"/>
        <v>225</v>
      </c>
      <c r="F194" s="18">
        <f t="shared" si="17"/>
        <v>0</v>
      </c>
      <c r="G194" s="18">
        <f t="shared" si="17"/>
        <v>0</v>
      </c>
      <c r="H194" s="18">
        <f t="shared" si="17"/>
        <v>0</v>
      </c>
      <c r="I194" s="73">
        <f t="shared" si="17"/>
        <v>0</v>
      </c>
      <c r="J194" s="18">
        <f t="shared" si="16"/>
        <v>0</v>
      </c>
      <c r="K194" s="98">
        <f t="shared" si="13"/>
        <v>178750</v>
      </c>
    </row>
    <row r="195" spans="1:11" x14ac:dyDescent="0.25">
      <c r="A195" s="82">
        <f>'A) Base RI'!A194</f>
        <v>5710</v>
      </c>
      <c r="B195" s="62" t="str">
        <f>'A) Base RI'!B194</f>
        <v>Coinsins</v>
      </c>
      <c r="C195" s="18">
        <f>'A) Base RI'!AN194</f>
        <v>427</v>
      </c>
      <c r="D195" s="61">
        <f t="shared" si="15"/>
        <v>427</v>
      </c>
      <c r="E195" s="18">
        <f t="shared" si="17"/>
        <v>0</v>
      </c>
      <c r="F195" s="18">
        <f t="shared" si="17"/>
        <v>0</v>
      </c>
      <c r="G195" s="18">
        <f t="shared" si="17"/>
        <v>0</v>
      </c>
      <c r="H195" s="18">
        <f t="shared" si="17"/>
        <v>0</v>
      </c>
      <c r="I195" s="73">
        <f t="shared" si="17"/>
        <v>0</v>
      </c>
      <c r="J195" s="18">
        <f t="shared" si="16"/>
        <v>0</v>
      </c>
      <c r="K195" s="98">
        <f t="shared" si="13"/>
        <v>42700</v>
      </c>
    </row>
    <row r="196" spans="1:11" x14ac:dyDescent="0.25">
      <c r="A196" s="82">
        <f>'A) Base RI'!A195</f>
        <v>5711</v>
      </c>
      <c r="B196" s="62" t="str">
        <f>'A) Base RI'!B195</f>
        <v>Commugny</v>
      </c>
      <c r="C196" s="18">
        <f>'A) Base RI'!AN195</f>
        <v>2524</v>
      </c>
      <c r="D196" s="61">
        <f t="shared" si="15"/>
        <v>1000</v>
      </c>
      <c r="E196" s="18">
        <f t="shared" si="17"/>
        <v>1524</v>
      </c>
      <c r="F196" s="18">
        <f t="shared" si="17"/>
        <v>0</v>
      </c>
      <c r="G196" s="18">
        <f t="shared" si="17"/>
        <v>0</v>
      </c>
      <c r="H196" s="18">
        <f t="shared" si="17"/>
        <v>0</v>
      </c>
      <c r="I196" s="73">
        <f t="shared" si="17"/>
        <v>0</v>
      </c>
      <c r="J196" s="18">
        <f t="shared" si="16"/>
        <v>0</v>
      </c>
      <c r="K196" s="98">
        <f t="shared" si="13"/>
        <v>633400</v>
      </c>
    </row>
    <row r="197" spans="1:11" x14ac:dyDescent="0.25">
      <c r="A197" s="82">
        <f>'A) Base RI'!A196</f>
        <v>5712</v>
      </c>
      <c r="B197" s="62" t="str">
        <f>'A) Base RI'!B196</f>
        <v>Coppet</v>
      </c>
      <c r="C197" s="18">
        <f>'A) Base RI'!AN196</f>
        <v>2892</v>
      </c>
      <c r="D197" s="61">
        <f t="shared" si="15"/>
        <v>1000</v>
      </c>
      <c r="E197" s="18">
        <f t="shared" si="17"/>
        <v>1892</v>
      </c>
      <c r="F197" s="18">
        <f t="shared" si="17"/>
        <v>0</v>
      </c>
      <c r="G197" s="18">
        <f t="shared" si="17"/>
        <v>0</v>
      </c>
      <c r="H197" s="18">
        <f t="shared" si="17"/>
        <v>0</v>
      </c>
      <c r="I197" s="73">
        <f t="shared" si="17"/>
        <v>0</v>
      </c>
      <c r="J197" s="18">
        <f t="shared" si="16"/>
        <v>0</v>
      </c>
      <c r="K197" s="98">
        <f t="shared" si="13"/>
        <v>762200</v>
      </c>
    </row>
    <row r="198" spans="1:11" x14ac:dyDescent="0.25">
      <c r="A198" s="82">
        <f>'A) Base RI'!A197</f>
        <v>5713</v>
      </c>
      <c r="B198" s="62" t="str">
        <f>'A) Base RI'!B197</f>
        <v>Crans-près-Céligny</v>
      </c>
      <c r="C198" s="18">
        <f>'A) Base RI'!AN197</f>
        <v>2048</v>
      </c>
      <c r="D198" s="61">
        <f t="shared" si="15"/>
        <v>1000</v>
      </c>
      <c r="E198" s="18">
        <f t="shared" si="17"/>
        <v>1048</v>
      </c>
      <c r="F198" s="18">
        <f t="shared" si="17"/>
        <v>0</v>
      </c>
      <c r="G198" s="18">
        <f t="shared" si="17"/>
        <v>0</v>
      </c>
      <c r="H198" s="18">
        <f t="shared" si="17"/>
        <v>0</v>
      </c>
      <c r="I198" s="73">
        <f t="shared" si="17"/>
        <v>0</v>
      </c>
      <c r="J198" s="18">
        <f t="shared" si="16"/>
        <v>0</v>
      </c>
      <c r="K198" s="98">
        <f t="shared" si="13"/>
        <v>466800</v>
      </c>
    </row>
    <row r="199" spans="1:11" x14ac:dyDescent="0.25">
      <c r="A199" s="82">
        <f>'A) Base RI'!A198</f>
        <v>5714</v>
      </c>
      <c r="B199" s="62" t="str">
        <f>'A) Base RI'!B198</f>
        <v>Crassier</v>
      </c>
      <c r="C199" s="18">
        <f>'A) Base RI'!AN198</f>
        <v>1114</v>
      </c>
      <c r="D199" s="61">
        <f t="shared" si="15"/>
        <v>1000</v>
      </c>
      <c r="E199" s="18">
        <f t="shared" si="17"/>
        <v>114</v>
      </c>
      <c r="F199" s="18">
        <f t="shared" si="17"/>
        <v>0</v>
      </c>
      <c r="G199" s="18">
        <f t="shared" si="17"/>
        <v>0</v>
      </c>
      <c r="H199" s="18">
        <f t="shared" si="17"/>
        <v>0</v>
      </c>
      <c r="I199" s="73">
        <f t="shared" si="17"/>
        <v>0</v>
      </c>
      <c r="J199" s="18">
        <f t="shared" si="16"/>
        <v>0</v>
      </c>
      <c r="K199" s="98">
        <f t="shared" si="13"/>
        <v>139900</v>
      </c>
    </row>
    <row r="200" spans="1:11" x14ac:dyDescent="0.25">
      <c r="A200" s="82">
        <f>'A) Base RI'!A199</f>
        <v>5715</v>
      </c>
      <c r="B200" s="62" t="str">
        <f>'A) Base RI'!B199</f>
        <v>Duillier</v>
      </c>
      <c r="C200" s="18">
        <f>'A) Base RI'!AN199</f>
        <v>1014</v>
      </c>
      <c r="D200" s="61">
        <f t="shared" si="15"/>
        <v>1000</v>
      </c>
      <c r="E200" s="18">
        <f t="shared" si="17"/>
        <v>14</v>
      </c>
      <c r="F200" s="18">
        <f t="shared" si="17"/>
        <v>0</v>
      </c>
      <c r="G200" s="18">
        <f t="shared" si="17"/>
        <v>0</v>
      </c>
      <c r="H200" s="18">
        <f t="shared" si="17"/>
        <v>0</v>
      </c>
      <c r="I200" s="73">
        <f t="shared" si="17"/>
        <v>0</v>
      </c>
      <c r="J200" s="18">
        <f t="shared" si="16"/>
        <v>0</v>
      </c>
      <c r="K200" s="98">
        <f t="shared" si="13"/>
        <v>104900</v>
      </c>
    </row>
    <row r="201" spans="1:11" x14ac:dyDescent="0.25">
      <c r="A201" s="82">
        <f>'A) Base RI'!A200</f>
        <v>5716</v>
      </c>
      <c r="B201" s="62" t="str">
        <f>'A) Base RI'!B200</f>
        <v>Eysins</v>
      </c>
      <c r="C201" s="18">
        <f>'A) Base RI'!AN200</f>
        <v>1462</v>
      </c>
      <c r="D201" s="61">
        <f t="shared" si="15"/>
        <v>1000</v>
      </c>
      <c r="E201" s="18">
        <f t="shared" si="17"/>
        <v>462</v>
      </c>
      <c r="F201" s="18">
        <f t="shared" si="17"/>
        <v>0</v>
      </c>
      <c r="G201" s="18">
        <f t="shared" si="17"/>
        <v>0</v>
      </c>
      <c r="H201" s="18">
        <f t="shared" si="17"/>
        <v>0</v>
      </c>
      <c r="I201" s="73">
        <f t="shared" si="17"/>
        <v>0</v>
      </c>
      <c r="J201" s="18">
        <f t="shared" si="16"/>
        <v>0</v>
      </c>
      <c r="K201" s="98">
        <f t="shared" ref="K201:K264" si="18">(D201*D$7)+(E201*E$7)+(F201*F$7)+(G201*G$7)+(H201*H$7)+(I201*I$7)+(J201*J$7)</f>
        <v>261700</v>
      </c>
    </row>
    <row r="202" spans="1:11" x14ac:dyDescent="0.25">
      <c r="A202" s="82">
        <f>'A) Base RI'!A201</f>
        <v>5717</v>
      </c>
      <c r="B202" s="62" t="str">
        <f>'A) Base RI'!B201</f>
        <v>Founex</v>
      </c>
      <c r="C202" s="18">
        <f>'A) Base RI'!AN201</f>
        <v>3276</v>
      </c>
      <c r="D202" s="61">
        <f t="shared" si="15"/>
        <v>1000</v>
      </c>
      <c r="E202" s="18">
        <f t="shared" si="17"/>
        <v>2000</v>
      </c>
      <c r="F202" s="18">
        <f t="shared" si="17"/>
        <v>276</v>
      </c>
      <c r="G202" s="18">
        <f t="shared" si="17"/>
        <v>0</v>
      </c>
      <c r="H202" s="18">
        <f t="shared" si="17"/>
        <v>0</v>
      </c>
      <c r="I202" s="73">
        <f t="shared" si="17"/>
        <v>0</v>
      </c>
      <c r="J202" s="18">
        <f t="shared" si="16"/>
        <v>0</v>
      </c>
      <c r="K202" s="98">
        <f t="shared" si="18"/>
        <v>938000</v>
      </c>
    </row>
    <row r="203" spans="1:11" x14ac:dyDescent="0.25">
      <c r="A203" s="82">
        <f>'A) Base RI'!A202</f>
        <v>5718</v>
      </c>
      <c r="B203" s="62" t="str">
        <f>'A) Base RI'!B202</f>
        <v>Genolier</v>
      </c>
      <c r="C203" s="18">
        <f>'A) Base RI'!AN202</f>
        <v>1875</v>
      </c>
      <c r="D203" s="61">
        <f t="shared" si="15"/>
        <v>1000</v>
      </c>
      <c r="E203" s="18">
        <f t="shared" si="17"/>
        <v>875</v>
      </c>
      <c r="F203" s="18">
        <f t="shared" si="17"/>
        <v>0</v>
      </c>
      <c r="G203" s="18">
        <f t="shared" si="17"/>
        <v>0</v>
      </c>
      <c r="H203" s="18">
        <f t="shared" si="17"/>
        <v>0</v>
      </c>
      <c r="I203" s="73">
        <f t="shared" si="17"/>
        <v>0</v>
      </c>
      <c r="J203" s="18">
        <f t="shared" si="16"/>
        <v>0</v>
      </c>
      <c r="K203" s="98">
        <f t="shared" si="18"/>
        <v>406250</v>
      </c>
    </row>
    <row r="204" spans="1:11" x14ac:dyDescent="0.25">
      <c r="A204" s="82">
        <f>'A) Base RI'!A203</f>
        <v>5719</v>
      </c>
      <c r="B204" s="62" t="str">
        <f>'A) Base RI'!B203</f>
        <v>Gingins</v>
      </c>
      <c r="C204" s="18">
        <f>'A) Base RI'!AN203</f>
        <v>1217</v>
      </c>
      <c r="D204" s="61">
        <f t="shared" si="15"/>
        <v>1000</v>
      </c>
      <c r="E204" s="18">
        <f t="shared" si="17"/>
        <v>217</v>
      </c>
      <c r="F204" s="18">
        <f t="shared" si="17"/>
        <v>0</v>
      </c>
      <c r="G204" s="18">
        <f t="shared" si="17"/>
        <v>0</v>
      </c>
      <c r="H204" s="18">
        <f t="shared" si="17"/>
        <v>0</v>
      </c>
      <c r="I204" s="73">
        <f t="shared" si="17"/>
        <v>0</v>
      </c>
      <c r="J204" s="18">
        <f t="shared" si="16"/>
        <v>0</v>
      </c>
      <c r="K204" s="98">
        <f t="shared" si="18"/>
        <v>175950</v>
      </c>
    </row>
    <row r="205" spans="1:11" x14ac:dyDescent="0.25">
      <c r="A205" s="82">
        <f>'A) Base RI'!A204</f>
        <v>5720</v>
      </c>
      <c r="B205" s="62" t="str">
        <f>'A) Base RI'!B204</f>
        <v>Givrins</v>
      </c>
      <c r="C205" s="18">
        <f>'A) Base RI'!AN204</f>
        <v>948</v>
      </c>
      <c r="D205" s="61">
        <f t="shared" si="15"/>
        <v>948</v>
      </c>
      <c r="E205" s="18">
        <f t="shared" si="17"/>
        <v>0</v>
      </c>
      <c r="F205" s="18">
        <f t="shared" si="17"/>
        <v>0</v>
      </c>
      <c r="G205" s="18">
        <f t="shared" si="17"/>
        <v>0</v>
      </c>
      <c r="H205" s="18">
        <f t="shared" si="17"/>
        <v>0</v>
      </c>
      <c r="I205" s="73">
        <f t="shared" si="17"/>
        <v>0</v>
      </c>
      <c r="J205" s="18">
        <f t="shared" si="16"/>
        <v>0</v>
      </c>
      <c r="K205" s="98">
        <f t="shared" si="18"/>
        <v>94800</v>
      </c>
    </row>
    <row r="206" spans="1:11" x14ac:dyDescent="0.25">
      <c r="A206" s="82">
        <f>'A) Base RI'!A205</f>
        <v>5721</v>
      </c>
      <c r="B206" s="62" t="str">
        <f>'A) Base RI'!B205</f>
        <v>Gland</v>
      </c>
      <c r="C206" s="18">
        <f>'A) Base RI'!AN205</f>
        <v>12482</v>
      </c>
      <c r="D206" s="61">
        <f t="shared" si="15"/>
        <v>1000</v>
      </c>
      <c r="E206" s="18">
        <f t="shared" si="17"/>
        <v>2000</v>
      </c>
      <c r="F206" s="18">
        <f t="shared" si="17"/>
        <v>2000</v>
      </c>
      <c r="G206" s="18">
        <f t="shared" si="17"/>
        <v>4000</v>
      </c>
      <c r="H206" s="18">
        <f t="shared" si="17"/>
        <v>3000</v>
      </c>
      <c r="I206" s="73">
        <f t="shared" si="17"/>
        <v>482</v>
      </c>
      <c r="J206" s="18">
        <f t="shared" si="16"/>
        <v>0</v>
      </c>
      <c r="K206" s="98">
        <f t="shared" si="18"/>
        <v>7232000</v>
      </c>
    </row>
    <row r="207" spans="1:11" x14ac:dyDescent="0.25">
      <c r="A207" s="82">
        <f>'A) Base RI'!A206</f>
        <v>5722</v>
      </c>
      <c r="B207" s="62" t="str">
        <f>'A) Base RI'!B206</f>
        <v>Grens</v>
      </c>
      <c r="C207" s="18">
        <f>'A) Base RI'!AN206</f>
        <v>366</v>
      </c>
      <c r="D207" s="61">
        <f t="shared" si="15"/>
        <v>366</v>
      </c>
      <c r="E207" s="18">
        <f t="shared" si="17"/>
        <v>0</v>
      </c>
      <c r="F207" s="18">
        <f t="shared" si="17"/>
        <v>0</v>
      </c>
      <c r="G207" s="18">
        <f t="shared" si="17"/>
        <v>0</v>
      </c>
      <c r="H207" s="18">
        <f t="shared" si="17"/>
        <v>0</v>
      </c>
      <c r="I207" s="73">
        <f t="shared" si="17"/>
        <v>0</v>
      </c>
      <c r="J207" s="18">
        <f t="shared" si="16"/>
        <v>0</v>
      </c>
      <c r="K207" s="98">
        <f t="shared" si="18"/>
        <v>36600</v>
      </c>
    </row>
    <row r="208" spans="1:11" x14ac:dyDescent="0.25">
      <c r="A208" s="82">
        <f>'A) Base RI'!A207</f>
        <v>5723</v>
      </c>
      <c r="B208" s="62" t="str">
        <f>'A) Base RI'!B207</f>
        <v>Mies</v>
      </c>
      <c r="C208" s="18">
        <f>'A) Base RI'!AN207</f>
        <v>1775</v>
      </c>
      <c r="D208" s="61">
        <f t="shared" si="15"/>
        <v>1000</v>
      </c>
      <c r="E208" s="18">
        <f t="shared" si="17"/>
        <v>775</v>
      </c>
      <c r="F208" s="18">
        <f t="shared" si="17"/>
        <v>0</v>
      </c>
      <c r="G208" s="18">
        <f t="shared" si="17"/>
        <v>0</v>
      </c>
      <c r="H208" s="18">
        <f t="shared" si="17"/>
        <v>0</v>
      </c>
      <c r="I208" s="73">
        <f t="shared" si="17"/>
        <v>0</v>
      </c>
      <c r="J208" s="18">
        <f t="shared" si="16"/>
        <v>0</v>
      </c>
      <c r="K208" s="98">
        <f t="shared" si="18"/>
        <v>371250</v>
      </c>
    </row>
    <row r="209" spans="1:11" x14ac:dyDescent="0.25">
      <c r="A209" s="82">
        <f>'A) Base RI'!A208</f>
        <v>5724</v>
      </c>
      <c r="B209" s="62" t="str">
        <f>'A) Base RI'!B208</f>
        <v>Nyon</v>
      </c>
      <c r="C209" s="18">
        <f>'A) Base RI'!AN208</f>
        <v>19632</v>
      </c>
      <c r="D209" s="61">
        <f t="shared" si="15"/>
        <v>1000</v>
      </c>
      <c r="E209" s="18">
        <f t="shared" si="17"/>
        <v>2000</v>
      </c>
      <c r="F209" s="18">
        <f t="shared" si="17"/>
        <v>2000</v>
      </c>
      <c r="G209" s="18">
        <f t="shared" si="17"/>
        <v>4000</v>
      </c>
      <c r="H209" s="18">
        <f t="shared" si="17"/>
        <v>3000</v>
      </c>
      <c r="I209" s="73">
        <f t="shared" si="17"/>
        <v>3000</v>
      </c>
      <c r="J209" s="18">
        <f t="shared" si="16"/>
        <v>4632</v>
      </c>
      <c r="K209" s="98">
        <f t="shared" si="18"/>
        <v>14613600</v>
      </c>
    </row>
    <row r="210" spans="1:11" x14ac:dyDescent="0.25">
      <c r="A210" s="82">
        <f>'A) Base RI'!A209</f>
        <v>5725</v>
      </c>
      <c r="B210" s="62" t="str">
        <f>'A) Base RI'!B209</f>
        <v>Prangins</v>
      </c>
      <c r="C210" s="18">
        <f>'A) Base RI'!AN209</f>
        <v>3930</v>
      </c>
      <c r="D210" s="61">
        <f t="shared" si="15"/>
        <v>1000</v>
      </c>
      <c r="E210" s="18">
        <f t="shared" si="17"/>
        <v>2000</v>
      </c>
      <c r="F210" s="18">
        <f t="shared" si="17"/>
        <v>930</v>
      </c>
      <c r="G210" s="18">
        <f t="shared" si="17"/>
        <v>0</v>
      </c>
      <c r="H210" s="18">
        <f t="shared" si="17"/>
        <v>0</v>
      </c>
      <c r="I210" s="73">
        <f t="shared" si="17"/>
        <v>0</v>
      </c>
      <c r="J210" s="18">
        <f t="shared" si="16"/>
        <v>0</v>
      </c>
      <c r="K210" s="98">
        <f t="shared" si="18"/>
        <v>1265000</v>
      </c>
    </row>
    <row r="211" spans="1:11" x14ac:dyDescent="0.25">
      <c r="A211" s="82">
        <f>'A) Base RI'!A210</f>
        <v>5726</v>
      </c>
      <c r="B211" s="62" t="str">
        <f>'A) Base RI'!B210</f>
        <v>La Rippe</v>
      </c>
      <c r="C211" s="18">
        <f>'A) Base RI'!AN210</f>
        <v>1057</v>
      </c>
      <c r="D211" s="61">
        <f t="shared" si="15"/>
        <v>1000</v>
      </c>
      <c r="E211" s="18">
        <f t="shared" si="17"/>
        <v>57</v>
      </c>
      <c r="F211" s="18">
        <f t="shared" si="17"/>
        <v>0</v>
      </c>
      <c r="G211" s="18">
        <f t="shared" si="17"/>
        <v>0</v>
      </c>
      <c r="H211" s="18">
        <f t="shared" si="17"/>
        <v>0</v>
      </c>
      <c r="I211" s="73">
        <f t="shared" si="17"/>
        <v>0</v>
      </c>
      <c r="J211" s="18">
        <f t="shared" si="16"/>
        <v>0</v>
      </c>
      <c r="K211" s="98">
        <f t="shared" si="18"/>
        <v>119950</v>
      </c>
    </row>
    <row r="212" spans="1:11" x14ac:dyDescent="0.25">
      <c r="A212" s="82">
        <f>'A) Base RI'!A211</f>
        <v>5727</v>
      </c>
      <c r="B212" s="62" t="str">
        <f>'A) Base RI'!B211</f>
        <v>Saint-Cergue</v>
      </c>
      <c r="C212" s="18">
        <f>'A) Base RI'!AN211</f>
        <v>2340</v>
      </c>
      <c r="D212" s="61">
        <f t="shared" si="15"/>
        <v>1000</v>
      </c>
      <c r="E212" s="18">
        <f t="shared" si="17"/>
        <v>1340</v>
      </c>
      <c r="F212" s="18">
        <f t="shared" si="17"/>
        <v>0</v>
      </c>
      <c r="G212" s="18">
        <f t="shared" si="17"/>
        <v>0</v>
      </c>
      <c r="H212" s="18">
        <f t="shared" si="17"/>
        <v>0</v>
      </c>
      <c r="I212" s="73">
        <f t="shared" si="17"/>
        <v>0</v>
      </c>
      <c r="J212" s="18">
        <f t="shared" si="16"/>
        <v>0</v>
      </c>
      <c r="K212" s="98">
        <f t="shared" si="18"/>
        <v>569000</v>
      </c>
    </row>
    <row r="213" spans="1:11" x14ac:dyDescent="0.25">
      <c r="A213" s="82">
        <f>'A) Base RI'!A212</f>
        <v>5728</v>
      </c>
      <c r="B213" s="62" t="str">
        <f>'A) Base RI'!B212</f>
        <v>Signy-Avenex</v>
      </c>
      <c r="C213" s="18">
        <f>'A) Base RI'!AN212</f>
        <v>457</v>
      </c>
      <c r="D213" s="61">
        <f t="shared" si="15"/>
        <v>457</v>
      </c>
      <c r="E213" s="18">
        <f t="shared" si="17"/>
        <v>0</v>
      </c>
      <c r="F213" s="18">
        <f t="shared" si="17"/>
        <v>0</v>
      </c>
      <c r="G213" s="18">
        <f t="shared" si="17"/>
        <v>0</v>
      </c>
      <c r="H213" s="18">
        <f t="shared" si="17"/>
        <v>0</v>
      </c>
      <c r="I213" s="73">
        <f t="shared" si="17"/>
        <v>0</v>
      </c>
      <c r="J213" s="18">
        <f t="shared" si="16"/>
        <v>0</v>
      </c>
      <c r="K213" s="98">
        <f t="shared" si="18"/>
        <v>45700</v>
      </c>
    </row>
    <row r="214" spans="1:11" x14ac:dyDescent="0.25">
      <c r="A214" s="82">
        <f>'A) Base RI'!A213</f>
        <v>5729</v>
      </c>
      <c r="B214" s="62" t="str">
        <f>'A) Base RI'!B213</f>
        <v>Tannay</v>
      </c>
      <c r="C214" s="18">
        <f>'A) Base RI'!AN213</f>
        <v>1511</v>
      </c>
      <c r="D214" s="61">
        <f t="shared" si="15"/>
        <v>1000</v>
      </c>
      <c r="E214" s="18">
        <f t="shared" si="17"/>
        <v>511</v>
      </c>
      <c r="F214" s="18">
        <f t="shared" si="17"/>
        <v>0</v>
      </c>
      <c r="G214" s="18">
        <f t="shared" si="17"/>
        <v>0</v>
      </c>
      <c r="H214" s="18">
        <f t="shared" si="17"/>
        <v>0</v>
      </c>
      <c r="I214" s="73">
        <f t="shared" si="17"/>
        <v>0</v>
      </c>
      <c r="J214" s="18">
        <f t="shared" si="16"/>
        <v>0</v>
      </c>
      <c r="K214" s="98">
        <f t="shared" si="18"/>
        <v>278850</v>
      </c>
    </row>
    <row r="215" spans="1:11" x14ac:dyDescent="0.25">
      <c r="A215" s="82">
        <f>'A) Base RI'!A214</f>
        <v>5730</v>
      </c>
      <c r="B215" s="62" t="str">
        <f>'A) Base RI'!B214</f>
        <v>Trélex</v>
      </c>
      <c r="C215" s="18">
        <f>'A) Base RI'!AN214</f>
        <v>1397</v>
      </c>
      <c r="D215" s="61">
        <f t="shared" si="15"/>
        <v>1000</v>
      </c>
      <c r="E215" s="18">
        <f t="shared" si="17"/>
        <v>397</v>
      </c>
      <c r="F215" s="18">
        <f t="shared" si="17"/>
        <v>0</v>
      </c>
      <c r="G215" s="18">
        <f t="shared" si="17"/>
        <v>0</v>
      </c>
      <c r="H215" s="18">
        <f t="shared" si="17"/>
        <v>0</v>
      </c>
      <c r="I215" s="73">
        <f t="shared" si="17"/>
        <v>0</v>
      </c>
      <c r="J215" s="18">
        <f t="shared" si="16"/>
        <v>0</v>
      </c>
      <c r="K215" s="98">
        <f t="shared" si="18"/>
        <v>238950</v>
      </c>
    </row>
    <row r="216" spans="1:11" x14ac:dyDescent="0.25">
      <c r="A216" s="82">
        <f>'A) Base RI'!A215</f>
        <v>5731</v>
      </c>
      <c r="B216" s="62" t="str">
        <f>'A) Base RI'!B215</f>
        <v>Le Vaud</v>
      </c>
      <c r="C216" s="18">
        <f>'A) Base RI'!AN215</f>
        <v>1238</v>
      </c>
      <c r="D216" s="61">
        <f t="shared" ref="D216:D262" si="19">IF($C216&gt;D$4,IF($C216&lt;D$5,$C216-D$4,D$5-D$4),0)</f>
        <v>1000</v>
      </c>
      <c r="E216" s="18">
        <f t="shared" si="17"/>
        <v>238</v>
      </c>
      <c r="F216" s="18">
        <f t="shared" si="17"/>
        <v>0</v>
      </c>
      <c r="G216" s="18">
        <f t="shared" si="17"/>
        <v>0</v>
      </c>
      <c r="H216" s="18">
        <f t="shared" si="17"/>
        <v>0</v>
      </c>
      <c r="I216" s="73">
        <f t="shared" si="17"/>
        <v>0</v>
      </c>
      <c r="J216" s="18">
        <f t="shared" si="16"/>
        <v>0</v>
      </c>
      <c r="K216" s="98">
        <f t="shared" si="18"/>
        <v>183300</v>
      </c>
    </row>
    <row r="217" spans="1:11" x14ac:dyDescent="0.25">
      <c r="A217" s="82">
        <f>'A) Base RI'!A216</f>
        <v>5732</v>
      </c>
      <c r="B217" s="62" t="str">
        <f>'A) Base RI'!B216</f>
        <v>Vich</v>
      </c>
      <c r="C217" s="18">
        <f>'A) Base RI'!AN216</f>
        <v>763</v>
      </c>
      <c r="D217" s="61">
        <f t="shared" si="19"/>
        <v>763</v>
      </c>
      <c r="E217" s="18">
        <f t="shared" si="17"/>
        <v>0</v>
      </c>
      <c r="F217" s="18">
        <f t="shared" si="17"/>
        <v>0</v>
      </c>
      <c r="G217" s="18">
        <f t="shared" si="17"/>
        <v>0</v>
      </c>
      <c r="H217" s="18">
        <f t="shared" si="17"/>
        <v>0</v>
      </c>
      <c r="I217" s="73">
        <f t="shared" si="17"/>
        <v>0</v>
      </c>
      <c r="J217" s="18">
        <f t="shared" si="16"/>
        <v>0</v>
      </c>
      <c r="K217" s="98">
        <f t="shared" si="18"/>
        <v>76300</v>
      </c>
    </row>
    <row r="218" spans="1:11" x14ac:dyDescent="0.25">
      <c r="A218" s="82">
        <f>'A) Base RI'!A217</f>
        <v>5741</v>
      </c>
      <c r="B218" s="62" t="str">
        <f>'A) Base RI'!B217</f>
        <v>L'Abergement</v>
      </c>
      <c r="C218" s="18">
        <f>'A) Base RI'!AN217</f>
        <v>250</v>
      </c>
      <c r="D218" s="61">
        <f t="shared" si="19"/>
        <v>250</v>
      </c>
      <c r="E218" s="18">
        <f t="shared" si="17"/>
        <v>0</v>
      </c>
      <c r="F218" s="18">
        <f t="shared" si="17"/>
        <v>0</v>
      </c>
      <c r="G218" s="18">
        <f t="shared" si="17"/>
        <v>0</v>
      </c>
      <c r="H218" s="18">
        <f t="shared" si="17"/>
        <v>0</v>
      </c>
      <c r="I218" s="73">
        <f t="shared" si="17"/>
        <v>0</v>
      </c>
      <c r="J218" s="18">
        <f t="shared" si="16"/>
        <v>0</v>
      </c>
      <c r="K218" s="98">
        <f t="shared" si="18"/>
        <v>25000</v>
      </c>
    </row>
    <row r="219" spans="1:11" x14ac:dyDescent="0.25">
      <c r="A219" s="82">
        <f>'A) Base RI'!A218</f>
        <v>5742</v>
      </c>
      <c r="B219" s="62" t="str">
        <f>'A) Base RI'!B218</f>
        <v>Agiez</v>
      </c>
      <c r="C219" s="18">
        <f>'A) Base RI'!AN218</f>
        <v>297</v>
      </c>
      <c r="D219" s="61">
        <f t="shared" si="19"/>
        <v>297</v>
      </c>
      <c r="E219" s="18">
        <f t="shared" si="17"/>
        <v>0</v>
      </c>
      <c r="F219" s="18">
        <f t="shared" si="17"/>
        <v>0</v>
      </c>
      <c r="G219" s="18">
        <f t="shared" si="17"/>
        <v>0</v>
      </c>
      <c r="H219" s="18">
        <f t="shared" si="17"/>
        <v>0</v>
      </c>
      <c r="I219" s="73">
        <f t="shared" si="17"/>
        <v>0</v>
      </c>
      <c r="J219" s="18">
        <f t="shared" si="16"/>
        <v>0</v>
      </c>
      <c r="K219" s="98">
        <f t="shared" si="18"/>
        <v>29700</v>
      </c>
    </row>
    <row r="220" spans="1:11" x14ac:dyDescent="0.25">
      <c r="A220" s="82">
        <f>'A) Base RI'!A219</f>
        <v>5743</v>
      </c>
      <c r="B220" s="62" t="str">
        <f>'A) Base RI'!B219</f>
        <v>Arnex-sur-Orbe</v>
      </c>
      <c r="C220" s="18">
        <f>'A) Base RI'!AN219</f>
        <v>615</v>
      </c>
      <c r="D220" s="61">
        <f t="shared" si="19"/>
        <v>615</v>
      </c>
      <c r="E220" s="18">
        <f t="shared" si="17"/>
        <v>0</v>
      </c>
      <c r="F220" s="18">
        <f t="shared" si="17"/>
        <v>0</v>
      </c>
      <c r="G220" s="18">
        <f t="shared" si="17"/>
        <v>0</v>
      </c>
      <c r="H220" s="18">
        <f t="shared" si="17"/>
        <v>0</v>
      </c>
      <c r="I220" s="73">
        <f t="shared" si="17"/>
        <v>0</v>
      </c>
      <c r="J220" s="18">
        <f t="shared" si="16"/>
        <v>0</v>
      </c>
      <c r="K220" s="98">
        <f t="shared" si="18"/>
        <v>61500</v>
      </c>
    </row>
    <row r="221" spans="1:11" x14ac:dyDescent="0.25">
      <c r="A221" s="82">
        <f>'A) Base RI'!A220</f>
        <v>5744</v>
      </c>
      <c r="B221" s="62" t="str">
        <f>'A) Base RI'!B220</f>
        <v>Ballaigues</v>
      </c>
      <c r="C221" s="18">
        <f>'A) Base RI'!AN220</f>
        <v>1037</v>
      </c>
      <c r="D221" s="61">
        <f t="shared" si="19"/>
        <v>1000</v>
      </c>
      <c r="E221" s="18">
        <f t="shared" si="17"/>
        <v>37</v>
      </c>
      <c r="F221" s="18">
        <f t="shared" si="17"/>
        <v>0</v>
      </c>
      <c r="G221" s="18">
        <f t="shared" si="17"/>
        <v>0</v>
      </c>
      <c r="H221" s="18">
        <f t="shared" si="17"/>
        <v>0</v>
      </c>
      <c r="I221" s="73">
        <f t="shared" si="17"/>
        <v>0</v>
      </c>
      <c r="J221" s="18">
        <f t="shared" si="16"/>
        <v>0</v>
      </c>
      <c r="K221" s="98">
        <f t="shared" si="18"/>
        <v>112950</v>
      </c>
    </row>
    <row r="222" spans="1:11" x14ac:dyDescent="0.25">
      <c r="A222" s="82">
        <f>'A) Base RI'!A221</f>
        <v>5745</v>
      </c>
      <c r="B222" s="62" t="str">
        <f>'A) Base RI'!B221</f>
        <v>Baulmes</v>
      </c>
      <c r="C222" s="18">
        <f>'A) Base RI'!AN221</f>
        <v>1019</v>
      </c>
      <c r="D222" s="61">
        <f t="shared" si="19"/>
        <v>1000</v>
      </c>
      <c r="E222" s="18">
        <f t="shared" si="17"/>
        <v>19</v>
      </c>
      <c r="F222" s="18">
        <f t="shared" si="17"/>
        <v>0</v>
      </c>
      <c r="G222" s="18">
        <f t="shared" si="17"/>
        <v>0</v>
      </c>
      <c r="H222" s="18">
        <f t="shared" si="17"/>
        <v>0</v>
      </c>
      <c r="I222" s="73">
        <f t="shared" si="17"/>
        <v>0</v>
      </c>
      <c r="J222" s="18">
        <f t="shared" si="16"/>
        <v>0</v>
      </c>
      <c r="K222" s="98">
        <f t="shared" si="18"/>
        <v>106650</v>
      </c>
    </row>
    <row r="223" spans="1:11" x14ac:dyDescent="0.25">
      <c r="A223" s="82">
        <f>'A) Base RI'!A222</f>
        <v>5746</v>
      </c>
      <c r="B223" s="62" t="str">
        <f>'A) Base RI'!B222</f>
        <v>Bavois</v>
      </c>
      <c r="C223" s="18">
        <f>'A) Base RI'!AN222</f>
        <v>919</v>
      </c>
      <c r="D223" s="61">
        <f t="shared" si="19"/>
        <v>919</v>
      </c>
      <c r="E223" s="18">
        <f t="shared" si="17"/>
        <v>0</v>
      </c>
      <c r="F223" s="18">
        <f t="shared" si="17"/>
        <v>0</v>
      </c>
      <c r="G223" s="18">
        <f t="shared" si="17"/>
        <v>0</v>
      </c>
      <c r="H223" s="18">
        <f t="shared" si="17"/>
        <v>0</v>
      </c>
      <c r="I223" s="73">
        <f t="shared" si="17"/>
        <v>0</v>
      </c>
      <c r="J223" s="18">
        <f t="shared" si="16"/>
        <v>0</v>
      </c>
      <c r="K223" s="98">
        <f t="shared" si="18"/>
        <v>91900</v>
      </c>
    </row>
    <row r="224" spans="1:11" x14ac:dyDescent="0.25">
      <c r="A224" s="82">
        <f>'A) Base RI'!A223</f>
        <v>5747</v>
      </c>
      <c r="B224" s="62" t="str">
        <f>'A) Base RI'!B223</f>
        <v>Bofflens</v>
      </c>
      <c r="C224" s="18">
        <f>'A) Base RI'!AN223</f>
        <v>189</v>
      </c>
      <c r="D224" s="61">
        <f t="shared" si="19"/>
        <v>189</v>
      </c>
      <c r="E224" s="18">
        <f t="shared" si="17"/>
        <v>0</v>
      </c>
      <c r="F224" s="18">
        <f t="shared" si="17"/>
        <v>0</v>
      </c>
      <c r="G224" s="18">
        <f t="shared" si="17"/>
        <v>0</v>
      </c>
      <c r="H224" s="18">
        <f t="shared" si="17"/>
        <v>0</v>
      </c>
      <c r="I224" s="73">
        <f t="shared" si="17"/>
        <v>0</v>
      </c>
      <c r="J224" s="18">
        <f t="shared" si="16"/>
        <v>0</v>
      </c>
      <c r="K224" s="98">
        <f t="shared" si="18"/>
        <v>18900</v>
      </c>
    </row>
    <row r="225" spans="1:11" x14ac:dyDescent="0.25">
      <c r="A225" s="82">
        <f>'A) Base RI'!A224</f>
        <v>5748</v>
      </c>
      <c r="B225" s="62" t="str">
        <f>'A) Base RI'!B224</f>
        <v>Bretonnières</v>
      </c>
      <c r="C225" s="18">
        <f>'A) Base RI'!AN224</f>
        <v>236</v>
      </c>
      <c r="D225" s="61">
        <f t="shared" si="19"/>
        <v>236</v>
      </c>
      <c r="E225" s="18">
        <f t="shared" si="17"/>
        <v>0</v>
      </c>
      <c r="F225" s="18">
        <f t="shared" si="17"/>
        <v>0</v>
      </c>
      <c r="G225" s="18">
        <f t="shared" si="17"/>
        <v>0</v>
      </c>
      <c r="H225" s="18">
        <f t="shared" si="17"/>
        <v>0</v>
      </c>
      <c r="I225" s="73">
        <f t="shared" si="17"/>
        <v>0</v>
      </c>
      <c r="J225" s="18">
        <f t="shared" si="16"/>
        <v>0</v>
      </c>
      <c r="K225" s="98">
        <f t="shared" si="18"/>
        <v>23600</v>
      </c>
    </row>
    <row r="226" spans="1:11" x14ac:dyDescent="0.25">
      <c r="A226" s="82">
        <f>'A) Base RI'!A225</f>
        <v>5749</v>
      </c>
      <c r="B226" s="62" t="str">
        <f>'A) Base RI'!B225</f>
        <v>Chavornay</v>
      </c>
      <c r="C226" s="18">
        <f>'A) Base RI'!AN225</f>
        <v>4050</v>
      </c>
      <c r="D226" s="61">
        <f t="shared" si="19"/>
        <v>1000</v>
      </c>
      <c r="E226" s="18">
        <f t="shared" si="17"/>
        <v>2000</v>
      </c>
      <c r="F226" s="18">
        <f t="shared" si="17"/>
        <v>1050</v>
      </c>
      <c r="G226" s="18">
        <f t="shared" si="17"/>
        <v>0</v>
      </c>
      <c r="H226" s="18">
        <f t="shared" si="17"/>
        <v>0</v>
      </c>
      <c r="I226" s="73">
        <f t="shared" si="17"/>
        <v>0</v>
      </c>
      <c r="J226" s="18">
        <f t="shared" si="16"/>
        <v>0</v>
      </c>
      <c r="K226" s="98">
        <f t="shared" si="18"/>
        <v>1325000</v>
      </c>
    </row>
    <row r="227" spans="1:11" x14ac:dyDescent="0.25">
      <c r="A227" s="82">
        <f>'A) Base RI'!A226</f>
        <v>5750</v>
      </c>
      <c r="B227" s="62" t="str">
        <f>'A) Base RI'!B226</f>
        <v>Les Clées</v>
      </c>
      <c r="C227" s="18">
        <f>'A) Base RI'!AN226</f>
        <v>176</v>
      </c>
      <c r="D227" s="61">
        <f t="shared" si="19"/>
        <v>176</v>
      </c>
      <c r="E227" s="18">
        <f t="shared" si="17"/>
        <v>0</v>
      </c>
      <c r="F227" s="18">
        <f t="shared" si="17"/>
        <v>0</v>
      </c>
      <c r="G227" s="18">
        <f t="shared" si="17"/>
        <v>0</v>
      </c>
      <c r="H227" s="18">
        <f t="shared" si="17"/>
        <v>0</v>
      </c>
      <c r="I227" s="73">
        <f t="shared" si="17"/>
        <v>0</v>
      </c>
      <c r="J227" s="18">
        <f t="shared" si="16"/>
        <v>0</v>
      </c>
      <c r="K227" s="98">
        <f t="shared" si="18"/>
        <v>17600</v>
      </c>
    </row>
    <row r="228" spans="1:11" x14ac:dyDescent="0.25">
      <c r="A228" s="82">
        <f>'A) Base RI'!A227</f>
        <v>5751</v>
      </c>
      <c r="B228" s="62" t="str">
        <f>'A) Base RI'!B227</f>
        <v>Corcelles-sur-Chavornay</v>
      </c>
      <c r="C228" s="18">
        <f>'A) Base RI'!AN227</f>
        <v>330</v>
      </c>
      <c r="D228" s="61">
        <f t="shared" si="19"/>
        <v>330</v>
      </c>
      <c r="E228" s="18">
        <f t="shared" si="17"/>
        <v>0</v>
      </c>
      <c r="F228" s="18">
        <f t="shared" si="17"/>
        <v>0</v>
      </c>
      <c r="G228" s="18">
        <f t="shared" si="17"/>
        <v>0</v>
      </c>
      <c r="H228" s="18">
        <f t="shared" si="17"/>
        <v>0</v>
      </c>
      <c r="I228" s="73">
        <f t="shared" si="17"/>
        <v>0</v>
      </c>
      <c r="J228" s="18">
        <f t="shared" si="16"/>
        <v>0</v>
      </c>
      <c r="K228" s="98">
        <f t="shared" si="18"/>
        <v>33000</v>
      </c>
    </row>
    <row r="229" spans="1:11" x14ac:dyDescent="0.25">
      <c r="A229" s="82">
        <f>'A) Base RI'!A228</f>
        <v>5752</v>
      </c>
      <c r="B229" s="62" t="str">
        <f>'A) Base RI'!B228</f>
        <v>Croy</v>
      </c>
      <c r="C229" s="18">
        <f>'A) Base RI'!AN228</f>
        <v>321</v>
      </c>
      <c r="D229" s="61">
        <f t="shared" si="19"/>
        <v>321</v>
      </c>
      <c r="E229" s="18">
        <f t="shared" si="17"/>
        <v>0</v>
      </c>
      <c r="F229" s="18">
        <f t="shared" si="17"/>
        <v>0</v>
      </c>
      <c r="G229" s="18">
        <f t="shared" si="17"/>
        <v>0</v>
      </c>
      <c r="H229" s="18">
        <f t="shared" si="17"/>
        <v>0</v>
      </c>
      <c r="I229" s="73">
        <f t="shared" si="17"/>
        <v>0</v>
      </c>
      <c r="J229" s="18">
        <f t="shared" si="16"/>
        <v>0</v>
      </c>
      <c r="K229" s="98">
        <f t="shared" si="18"/>
        <v>32100</v>
      </c>
    </row>
    <row r="230" spans="1:11" x14ac:dyDescent="0.25">
      <c r="A230" s="82">
        <f>'A) Base RI'!A229</f>
        <v>5754</v>
      </c>
      <c r="B230" s="62" t="str">
        <f>'A) Base RI'!B229</f>
        <v>Juriens</v>
      </c>
      <c r="C230" s="18">
        <f>'A) Base RI'!AN229</f>
        <v>307</v>
      </c>
      <c r="D230" s="61">
        <f t="shared" si="19"/>
        <v>307</v>
      </c>
      <c r="E230" s="18">
        <f t="shared" si="17"/>
        <v>0</v>
      </c>
      <c r="F230" s="18">
        <f t="shared" si="17"/>
        <v>0</v>
      </c>
      <c r="G230" s="18">
        <f t="shared" si="17"/>
        <v>0</v>
      </c>
      <c r="H230" s="18">
        <f t="shared" si="17"/>
        <v>0</v>
      </c>
      <c r="I230" s="73">
        <f t="shared" si="17"/>
        <v>0</v>
      </c>
      <c r="J230" s="18">
        <f t="shared" si="16"/>
        <v>0</v>
      </c>
      <c r="K230" s="98">
        <f t="shared" si="18"/>
        <v>30700</v>
      </c>
    </row>
    <row r="231" spans="1:11" x14ac:dyDescent="0.25">
      <c r="A231" s="82">
        <f>'A) Base RI'!A230</f>
        <v>5755</v>
      </c>
      <c r="B231" s="62" t="str">
        <f>'A) Base RI'!B230</f>
        <v>Lignerolle</v>
      </c>
      <c r="C231" s="18">
        <f>'A) Base RI'!AN230</f>
        <v>391</v>
      </c>
      <c r="D231" s="61">
        <f t="shared" si="19"/>
        <v>391</v>
      </c>
      <c r="E231" s="18">
        <f t="shared" si="17"/>
        <v>0</v>
      </c>
      <c r="F231" s="18">
        <f t="shared" si="17"/>
        <v>0</v>
      </c>
      <c r="G231" s="18">
        <f t="shared" si="17"/>
        <v>0</v>
      </c>
      <c r="H231" s="18">
        <f t="shared" si="17"/>
        <v>0</v>
      </c>
      <c r="I231" s="73">
        <f t="shared" si="17"/>
        <v>0</v>
      </c>
      <c r="J231" s="18">
        <f t="shared" si="16"/>
        <v>0</v>
      </c>
      <c r="K231" s="98">
        <f t="shared" si="18"/>
        <v>39100</v>
      </c>
    </row>
    <row r="232" spans="1:11" x14ac:dyDescent="0.25">
      <c r="A232" s="82">
        <f>'A) Base RI'!A231</f>
        <v>5756</v>
      </c>
      <c r="B232" s="62" t="str">
        <f>'A) Base RI'!B231</f>
        <v>Montcherand</v>
      </c>
      <c r="C232" s="18">
        <f>'A) Base RI'!AN231</f>
        <v>471</v>
      </c>
      <c r="D232" s="61">
        <f t="shared" si="19"/>
        <v>471</v>
      </c>
      <c r="E232" s="18">
        <f t="shared" si="17"/>
        <v>0</v>
      </c>
      <c r="F232" s="18">
        <f t="shared" si="17"/>
        <v>0</v>
      </c>
      <c r="G232" s="18">
        <f t="shared" si="17"/>
        <v>0</v>
      </c>
      <c r="H232" s="18">
        <f t="shared" si="17"/>
        <v>0</v>
      </c>
      <c r="I232" s="73">
        <f t="shared" si="17"/>
        <v>0</v>
      </c>
      <c r="J232" s="18">
        <f t="shared" si="16"/>
        <v>0</v>
      </c>
      <c r="K232" s="98">
        <f t="shared" si="18"/>
        <v>47100</v>
      </c>
    </row>
    <row r="233" spans="1:11" x14ac:dyDescent="0.25">
      <c r="A233" s="82">
        <f>'A) Base RI'!A232</f>
        <v>5757</v>
      </c>
      <c r="B233" s="62" t="str">
        <f>'A) Base RI'!B232</f>
        <v>Orbe</v>
      </c>
      <c r="C233" s="18">
        <f>'A) Base RI'!AN232</f>
        <v>6738</v>
      </c>
      <c r="D233" s="61">
        <f t="shared" si="19"/>
        <v>1000</v>
      </c>
      <c r="E233" s="18">
        <f t="shared" si="17"/>
        <v>2000</v>
      </c>
      <c r="F233" s="18">
        <f t="shared" si="17"/>
        <v>2000</v>
      </c>
      <c r="G233" s="18">
        <f t="shared" si="17"/>
        <v>1738</v>
      </c>
      <c r="H233" s="18">
        <f t="shared" si="17"/>
        <v>0</v>
      </c>
      <c r="I233" s="73">
        <f t="shared" si="17"/>
        <v>0</v>
      </c>
      <c r="J233" s="18">
        <f t="shared" si="16"/>
        <v>0</v>
      </c>
      <c r="K233" s="98">
        <f t="shared" si="18"/>
        <v>2842800</v>
      </c>
    </row>
    <row r="234" spans="1:11" x14ac:dyDescent="0.25">
      <c r="A234" s="82">
        <f>'A) Base RI'!A233</f>
        <v>5758</v>
      </c>
      <c r="B234" s="62" t="str">
        <f>'A) Base RI'!B233</f>
        <v>La Praz</v>
      </c>
      <c r="C234" s="18">
        <f>'A) Base RI'!AN233</f>
        <v>156</v>
      </c>
      <c r="D234" s="61">
        <f t="shared" si="19"/>
        <v>156</v>
      </c>
      <c r="E234" s="18">
        <f t="shared" si="17"/>
        <v>0</v>
      </c>
      <c r="F234" s="18">
        <f t="shared" si="17"/>
        <v>0</v>
      </c>
      <c r="G234" s="18">
        <f t="shared" si="17"/>
        <v>0</v>
      </c>
      <c r="H234" s="18">
        <f t="shared" si="17"/>
        <v>0</v>
      </c>
      <c r="I234" s="73">
        <f t="shared" si="17"/>
        <v>0</v>
      </c>
      <c r="J234" s="18">
        <f t="shared" ref="J234:J280" si="20">IF(C234&gt;$J$4,C234-$J$4,0)</f>
        <v>0</v>
      </c>
      <c r="K234" s="98">
        <f t="shared" si="18"/>
        <v>15600</v>
      </c>
    </row>
    <row r="235" spans="1:11" x14ac:dyDescent="0.25">
      <c r="A235" s="82">
        <f>'A) Base RI'!A234</f>
        <v>5759</v>
      </c>
      <c r="B235" s="62" t="str">
        <f>'A) Base RI'!B234</f>
        <v>Premier</v>
      </c>
      <c r="C235" s="18">
        <f>'A) Base RI'!AN234</f>
        <v>182</v>
      </c>
      <c r="D235" s="61">
        <f t="shared" si="19"/>
        <v>182</v>
      </c>
      <c r="E235" s="18">
        <f t="shared" si="17"/>
        <v>0</v>
      </c>
      <c r="F235" s="18">
        <f t="shared" si="17"/>
        <v>0</v>
      </c>
      <c r="G235" s="18">
        <f t="shared" si="17"/>
        <v>0</v>
      </c>
      <c r="H235" s="18">
        <f t="shared" si="17"/>
        <v>0</v>
      </c>
      <c r="I235" s="73">
        <f t="shared" ref="E235:I261" si="21">IF($C235&gt;I$4,IF($C235&lt;I$5,$C235-I$4,I$5-I$4),0)</f>
        <v>0</v>
      </c>
      <c r="J235" s="18">
        <f t="shared" si="20"/>
        <v>0</v>
      </c>
      <c r="K235" s="98">
        <f t="shared" si="18"/>
        <v>18200</v>
      </c>
    </row>
    <row r="236" spans="1:11" x14ac:dyDescent="0.25">
      <c r="A236" s="82">
        <f>'A) Base RI'!A235</f>
        <v>5760</v>
      </c>
      <c r="B236" s="62" t="str">
        <f>'A) Base RI'!B235</f>
        <v>Rances</v>
      </c>
      <c r="C236" s="18">
        <f>'A) Base RI'!AN235</f>
        <v>436</v>
      </c>
      <c r="D236" s="61">
        <f t="shared" si="19"/>
        <v>436</v>
      </c>
      <c r="E236" s="18">
        <f t="shared" si="21"/>
        <v>0</v>
      </c>
      <c r="F236" s="18">
        <f t="shared" si="21"/>
        <v>0</v>
      </c>
      <c r="G236" s="18">
        <f t="shared" si="21"/>
        <v>0</v>
      </c>
      <c r="H236" s="18">
        <f t="shared" si="21"/>
        <v>0</v>
      </c>
      <c r="I236" s="73">
        <f t="shared" si="21"/>
        <v>0</v>
      </c>
      <c r="J236" s="18">
        <f t="shared" si="20"/>
        <v>0</v>
      </c>
      <c r="K236" s="98">
        <f t="shared" si="18"/>
        <v>43600</v>
      </c>
    </row>
    <row r="237" spans="1:11" x14ac:dyDescent="0.25">
      <c r="A237" s="82">
        <f>'A) Base RI'!A236</f>
        <v>5761</v>
      </c>
      <c r="B237" s="62" t="str">
        <f>'A) Base RI'!B236</f>
        <v>Romainmôtier-Envy</v>
      </c>
      <c r="C237" s="18">
        <f>'A) Base RI'!AN236</f>
        <v>527</v>
      </c>
      <c r="D237" s="61">
        <f t="shared" si="19"/>
        <v>527</v>
      </c>
      <c r="E237" s="18">
        <f t="shared" si="21"/>
        <v>0</v>
      </c>
      <c r="F237" s="18">
        <f t="shared" si="21"/>
        <v>0</v>
      </c>
      <c r="G237" s="18">
        <f t="shared" si="21"/>
        <v>0</v>
      </c>
      <c r="H237" s="18">
        <f t="shared" si="21"/>
        <v>0</v>
      </c>
      <c r="I237" s="73">
        <f t="shared" si="21"/>
        <v>0</v>
      </c>
      <c r="J237" s="18">
        <f t="shared" si="20"/>
        <v>0</v>
      </c>
      <c r="K237" s="98">
        <f t="shared" si="18"/>
        <v>52700</v>
      </c>
    </row>
    <row r="238" spans="1:11" x14ac:dyDescent="0.25">
      <c r="A238" s="82">
        <f>'A) Base RI'!A237</f>
        <v>5762</v>
      </c>
      <c r="B238" s="62" t="str">
        <f>'A) Base RI'!B237</f>
        <v>Sergey</v>
      </c>
      <c r="C238" s="18">
        <f>'A) Base RI'!AN237</f>
        <v>145</v>
      </c>
      <c r="D238" s="61">
        <f t="shared" si="19"/>
        <v>145</v>
      </c>
      <c r="E238" s="18">
        <f t="shared" si="21"/>
        <v>0</v>
      </c>
      <c r="F238" s="18">
        <f t="shared" si="21"/>
        <v>0</v>
      </c>
      <c r="G238" s="18">
        <f t="shared" si="21"/>
        <v>0</v>
      </c>
      <c r="H238" s="18">
        <f t="shared" si="21"/>
        <v>0</v>
      </c>
      <c r="I238" s="73">
        <f t="shared" si="21"/>
        <v>0</v>
      </c>
      <c r="J238" s="18">
        <f t="shared" si="20"/>
        <v>0</v>
      </c>
      <c r="K238" s="98">
        <f t="shared" si="18"/>
        <v>14500</v>
      </c>
    </row>
    <row r="239" spans="1:11" x14ac:dyDescent="0.25">
      <c r="A239" s="82">
        <f>'A) Base RI'!A238</f>
        <v>5763</v>
      </c>
      <c r="B239" s="62" t="str">
        <f>'A) Base RI'!B238</f>
        <v>Valeyres-sous-Rances</v>
      </c>
      <c r="C239" s="18">
        <f>'A) Base RI'!AN238</f>
        <v>584</v>
      </c>
      <c r="D239" s="61">
        <f t="shared" si="19"/>
        <v>584</v>
      </c>
      <c r="E239" s="18">
        <f t="shared" si="21"/>
        <v>0</v>
      </c>
      <c r="F239" s="18">
        <f t="shared" si="21"/>
        <v>0</v>
      </c>
      <c r="G239" s="18">
        <f t="shared" si="21"/>
        <v>0</v>
      </c>
      <c r="H239" s="18">
        <f t="shared" si="21"/>
        <v>0</v>
      </c>
      <c r="I239" s="73">
        <f t="shared" si="21"/>
        <v>0</v>
      </c>
      <c r="J239" s="18">
        <f t="shared" si="20"/>
        <v>0</v>
      </c>
      <c r="K239" s="98">
        <f t="shared" si="18"/>
        <v>58400</v>
      </c>
    </row>
    <row r="240" spans="1:11" x14ac:dyDescent="0.25">
      <c r="A240" s="82">
        <f>'A) Base RI'!A239</f>
        <v>5764</v>
      </c>
      <c r="B240" s="62" t="str">
        <f>'A) Base RI'!B239</f>
        <v>Vallorbe</v>
      </c>
      <c r="C240" s="18">
        <f>'A) Base RI'!AN239</f>
        <v>3569</v>
      </c>
      <c r="D240" s="61">
        <f t="shared" si="19"/>
        <v>1000</v>
      </c>
      <c r="E240" s="18">
        <f t="shared" si="21"/>
        <v>2000</v>
      </c>
      <c r="F240" s="18">
        <f t="shared" si="21"/>
        <v>569</v>
      </c>
      <c r="G240" s="18">
        <f t="shared" si="21"/>
        <v>0</v>
      </c>
      <c r="H240" s="18">
        <f t="shared" si="21"/>
        <v>0</v>
      </c>
      <c r="I240" s="73">
        <f t="shared" si="21"/>
        <v>0</v>
      </c>
      <c r="J240" s="18">
        <f t="shared" si="20"/>
        <v>0</v>
      </c>
      <c r="K240" s="98">
        <f t="shared" si="18"/>
        <v>1084500</v>
      </c>
    </row>
    <row r="241" spans="1:11" x14ac:dyDescent="0.25">
      <c r="A241" s="82">
        <f>'A) Base RI'!A240</f>
        <v>5765</v>
      </c>
      <c r="B241" s="62" t="str">
        <f>'A) Base RI'!B240</f>
        <v>Vaulion</v>
      </c>
      <c r="C241" s="18">
        <f>'A) Base RI'!AN240</f>
        <v>483</v>
      </c>
      <c r="D241" s="61">
        <f t="shared" si="19"/>
        <v>483</v>
      </c>
      <c r="E241" s="18">
        <f t="shared" si="21"/>
        <v>0</v>
      </c>
      <c r="F241" s="18">
        <f t="shared" si="21"/>
        <v>0</v>
      </c>
      <c r="G241" s="18">
        <f t="shared" si="21"/>
        <v>0</v>
      </c>
      <c r="H241" s="18">
        <f t="shared" si="21"/>
        <v>0</v>
      </c>
      <c r="I241" s="73">
        <f t="shared" si="21"/>
        <v>0</v>
      </c>
      <c r="J241" s="18">
        <f t="shared" si="20"/>
        <v>0</v>
      </c>
      <c r="K241" s="98">
        <f t="shared" si="18"/>
        <v>48300</v>
      </c>
    </row>
    <row r="242" spans="1:11" x14ac:dyDescent="0.25">
      <c r="A242" s="82">
        <f>'A) Base RI'!A241</f>
        <v>5766</v>
      </c>
      <c r="B242" s="62" t="str">
        <f>'A) Base RI'!B241</f>
        <v>Vuiteboeuf</v>
      </c>
      <c r="C242" s="18">
        <f>'A) Base RI'!AN241</f>
        <v>516</v>
      </c>
      <c r="D242" s="61">
        <f t="shared" si="19"/>
        <v>516</v>
      </c>
      <c r="E242" s="18">
        <f t="shared" si="21"/>
        <v>0</v>
      </c>
      <c r="F242" s="18">
        <f t="shared" si="21"/>
        <v>0</v>
      </c>
      <c r="G242" s="18">
        <f t="shared" si="21"/>
        <v>0</v>
      </c>
      <c r="H242" s="18">
        <f t="shared" si="21"/>
        <v>0</v>
      </c>
      <c r="I242" s="73">
        <f t="shared" si="21"/>
        <v>0</v>
      </c>
      <c r="J242" s="18">
        <f t="shared" si="20"/>
        <v>0</v>
      </c>
      <c r="K242" s="98">
        <f t="shared" si="18"/>
        <v>51600</v>
      </c>
    </row>
    <row r="243" spans="1:11" x14ac:dyDescent="0.25">
      <c r="A243" s="82">
        <f>'A) Base RI'!A242</f>
        <v>5782</v>
      </c>
      <c r="B243" s="62" t="str">
        <f>'A) Base RI'!B242</f>
        <v>Carrouge</v>
      </c>
      <c r="C243" s="18">
        <f>'A) Base RI'!AN242</f>
        <v>1103</v>
      </c>
      <c r="D243" s="61">
        <f t="shared" si="19"/>
        <v>1000</v>
      </c>
      <c r="E243" s="18">
        <f t="shared" si="21"/>
        <v>103</v>
      </c>
      <c r="F243" s="18">
        <f t="shared" si="21"/>
        <v>0</v>
      </c>
      <c r="G243" s="18">
        <f t="shared" si="21"/>
        <v>0</v>
      </c>
      <c r="H243" s="18">
        <f t="shared" si="21"/>
        <v>0</v>
      </c>
      <c r="I243" s="73">
        <f t="shared" si="21"/>
        <v>0</v>
      </c>
      <c r="J243" s="18">
        <f t="shared" si="20"/>
        <v>0</v>
      </c>
      <c r="K243" s="98">
        <f t="shared" si="18"/>
        <v>136050</v>
      </c>
    </row>
    <row r="244" spans="1:11" x14ac:dyDescent="0.25">
      <c r="A244" s="82">
        <f>'A) Base RI'!A243</f>
        <v>5785</v>
      </c>
      <c r="B244" s="62" t="str">
        <f>'A) Base RI'!B243</f>
        <v>Corcelles-le-Jorat</v>
      </c>
      <c r="C244" s="18">
        <f>'A) Base RI'!AN243</f>
        <v>443</v>
      </c>
      <c r="D244" s="61">
        <f t="shared" si="19"/>
        <v>443</v>
      </c>
      <c r="E244" s="18">
        <f t="shared" si="21"/>
        <v>0</v>
      </c>
      <c r="F244" s="18">
        <f t="shared" si="21"/>
        <v>0</v>
      </c>
      <c r="G244" s="18">
        <f t="shared" si="21"/>
        <v>0</v>
      </c>
      <c r="H244" s="18">
        <f t="shared" si="21"/>
        <v>0</v>
      </c>
      <c r="I244" s="73">
        <f t="shared" si="21"/>
        <v>0</v>
      </c>
      <c r="J244" s="18">
        <f t="shared" si="20"/>
        <v>0</v>
      </c>
      <c r="K244" s="98">
        <f t="shared" si="18"/>
        <v>44300</v>
      </c>
    </row>
    <row r="245" spans="1:11" x14ac:dyDescent="0.25">
      <c r="A245" s="82">
        <f>'A) Base RI'!A244</f>
        <v>5788</v>
      </c>
      <c r="B245" s="62" t="str">
        <f>'A) Base RI'!B244</f>
        <v>Essertes</v>
      </c>
      <c r="C245" s="18">
        <f>'A) Base RI'!AN244</f>
        <v>330</v>
      </c>
      <c r="D245" s="61">
        <f t="shared" si="19"/>
        <v>330</v>
      </c>
      <c r="E245" s="18">
        <f t="shared" si="21"/>
        <v>0</v>
      </c>
      <c r="F245" s="18">
        <f t="shared" si="21"/>
        <v>0</v>
      </c>
      <c r="G245" s="18">
        <f t="shared" si="21"/>
        <v>0</v>
      </c>
      <c r="H245" s="18">
        <f t="shared" si="21"/>
        <v>0</v>
      </c>
      <c r="I245" s="73">
        <f t="shared" si="21"/>
        <v>0</v>
      </c>
      <c r="J245" s="18">
        <f t="shared" si="20"/>
        <v>0</v>
      </c>
      <c r="K245" s="98">
        <f t="shared" si="18"/>
        <v>33000</v>
      </c>
    </row>
    <row r="246" spans="1:11" x14ac:dyDescent="0.25">
      <c r="A246" s="82">
        <f>'A) Base RI'!A245</f>
        <v>5789</v>
      </c>
      <c r="B246" s="62" t="str">
        <f>'A) Base RI'!B245</f>
        <v>Ferlens</v>
      </c>
      <c r="C246" s="18">
        <f>'A) Base RI'!AN245</f>
        <v>330</v>
      </c>
      <c r="D246" s="61">
        <f t="shared" si="19"/>
        <v>330</v>
      </c>
      <c r="E246" s="18">
        <f t="shared" si="21"/>
        <v>0</v>
      </c>
      <c r="F246" s="18">
        <f t="shared" si="21"/>
        <v>0</v>
      </c>
      <c r="G246" s="18">
        <f t="shared" si="21"/>
        <v>0</v>
      </c>
      <c r="H246" s="18">
        <f t="shared" si="21"/>
        <v>0</v>
      </c>
      <c r="I246" s="73">
        <f t="shared" si="21"/>
        <v>0</v>
      </c>
      <c r="J246" s="18">
        <f t="shared" si="20"/>
        <v>0</v>
      </c>
      <c r="K246" s="98">
        <f t="shared" si="18"/>
        <v>33000</v>
      </c>
    </row>
    <row r="247" spans="1:11" x14ac:dyDescent="0.25">
      <c r="A247" s="82">
        <f>'A) Base RI'!A246</f>
        <v>5790</v>
      </c>
      <c r="B247" s="62" t="str">
        <f>'A) Base RI'!B246</f>
        <v>Maracon</v>
      </c>
      <c r="C247" s="18">
        <f>'A) Base RI'!AN246</f>
        <v>444</v>
      </c>
      <c r="D247" s="61">
        <f t="shared" si="19"/>
        <v>444</v>
      </c>
      <c r="E247" s="18">
        <f t="shared" si="21"/>
        <v>0</v>
      </c>
      <c r="F247" s="18">
        <f t="shared" si="21"/>
        <v>0</v>
      </c>
      <c r="G247" s="18">
        <f t="shared" si="21"/>
        <v>0</v>
      </c>
      <c r="H247" s="18">
        <f t="shared" si="21"/>
        <v>0</v>
      </c>
      <c r="I247" s="73">
        <f t="shared" si="21"/>
        <v>0</v>
      </c>
      <c r="J247" s="18">
        <f t="shared" si="20"/>
        <v>0</v>
      </c>
      <c r="K247" s="98">
        <f t="shared" si="18"/>
        <v>44400</v>
      </c>
    </row>
    <row r="248" spans="1:11" x14ac:dyDescent="0.25">
      <c r="A248" s="82">
        <f>'A) Base RI'!A247</f>
        <v>5791</v>
      </c>
      <c r="B248" s="62" t="str">
        <f>'A) Base RI'!B247</f>
        <v>Mézières</v>
      </c>
      <c r="C248" s="18">
        <f>'A) Base RI'!AN247</f>
        <v>1192</v>
      </c>
      <c r="D248" s="61">
        <f t="shared" si="19"/>
        <v>1000</v>
      </c>
      <c r="E248" s="18">
        <f t="shared" si="21"/>
        <v>192</v>
      </c>
      <c r="F248" s="18">
        <f t="shared" si="21"/>
        <v>0</v>
      </c>
      <c r="G248" s="18">
        <f t="shared" si="21"/>
        <v>0</v>
      </c>
      <c r="H248" s="18">
        <f t="shared" si="21"/>
        <v>0</v>
      </c>
      <c r="I248" s="73">
        <f t="shared" si="21"/>
        <v>0</v>
      </c>
      <c r="J248" s="18">
        <f t="shared" si="20"/>
        <v>0</v>
      </c>
      <c r="K248" s="98">
        <f t="shared" si="18"/>
        <v>167200</v>
      </c>
    </row>
    <row r="249" spans="1:11" x14ac:dyDescent="0.25">
      <c r="A249" s="82">
        <f>'A) Base RI'!A248</f>
        <v>5792</v>
      </c>
      <c r="B249" s="62" t="str">
        <f>'A) Base RI'!B248</f>
        <v>Montpreveyres</v>
      </c>
      <c r="C249" s="18">
        <f>'A) Base RI'!AN248</f>
        <v>597</v>
      </c>
      <c r="D249" s="61">
        <f t="shared" si="19"/>
        <v>597</v>
      </c>
      <c r="E249" s="18">
        <f t="shared" si="21"/>
        <v>0</v>
      </c>
      <c r="F249" s="18">
        <f t="shared" si="21"/>
        <v>0</v>
      </c>
      <c r="G249" s="18">
        <f t="shared" si="21"/>
        <v>0</v>
      </c>
      <c r="H249" s="18">
        <f t="shared" si="21"/>
        <v>0</v>
      </c>
      <c r="I249" s="73">
        <f t="shared" si="21"/>
        <v>0</v>
      </c>
      <c r="J249" s="18">
        <f t="shared" si="20"/>
        <v>0</v>
      </c>
      <c r="K249" s="98">
        <f t="shared" si="18"/>
        <v>59700</v>
      </c>
    </row>
    <row r="250" spans="1:11" x14ac:dyDescent="0.25">
      <c r="A250" s="82">
        <f>'A) Base RI'!A249</f>
        <v>5798</v>
      </c>
      <c r="B250" s="62" t="str">
        <f>'A) Base RI'!B249</f>
        <v>Ropraz</v>
      </c>
      <c r="C250" s="18">
        <f>'A) Base RI'!AN249</f>
        <v>409</v>
      </c>
      <c r="D250" s="61">
        <f t="shared" si="19"/>
        <v>409</v>
      </c>
      <c r="E250" s="18">
        <f t="shared" si="21"/>
        <v>0</v>
      </c>
      <c r="F250" s="18">
        <f t="shared" si="21"/>
        <v>0</v>
      </c>
      <c r="G250" s="18">
        <f t="shared" si="21"/>
        <v>0</v>
      </c>
      <c r="H250" s="18">
        <f t="shared" si="21"/>
        <v>0</v>
      </c>
      <c r="I250" s="73">
        <f t="shared" si="21"/>
        <v>0</v>
      </c>
      <c r="J250" s="18">
        <f t="shared" si="20"/>
        <v>0</v>
      </c>
      <c r="K250" s="98">
        <f t="shared" si="18"/>
        <v>40900</v>
      </c>
    </row>
    <row r="251" spans="1:11" x14ac:dyDescent="0.25">
      <c r="A251" s="82">
        <f>'A) Base RI'!A250</f>
        <v>5799</v>
      </c>
      <c r="B251" s="62" t="str">
        <f>'A) Base RI'!B250</f>
        <v>Servion</v>
      </c>
      <c r="C251" s="18">
        <f>'A) Base RI'!AN250</f>
        <v>1893</v>
      </c>
      <c r="D251" s="61">
        <f t="shared" si="19"/>
        <v>1000</v>
      </c>
      <c r="E251" s="18">
        <f t="shared" si="21"/>
        <v>893</v>
      </c>
      <c r="F251" s="18">
        <f t="shared" si="21"/>
        <v>0</v>
      </c>
      <c r="G251" s="18">
        <f t="shared" si="21"/>
        <v>0</v>
      </c>
      <c r="H251" s="18">
        <f t="shared" si="21"/>
        <v>0</v>
      </c>
      <c r="I251" s="73">
        <f t="shared" si="21"/>
        <v>0</v>
      </c>
      <c r="J251" s="18">
        <f t="shared" si="20"/>
        <v>0</v>
      </c>
      <c r="K251" s="98">
        <f t="shared" si="18"/>
        <v>412550</v>
      </c>
    </row>
    <row r="252" spans="1:11" x14ac:dyDescent="0.25">
      <c r="A252" s="82">
        <f>'A) Base RI'!A251</f>
        <v>5803</v>
      </c>
      <c r="B252" s="62" t="str">
        <f>'A) Base RI'!B251</f>
        <v>Vulliens</v>
      </c>
      <c r="C252" s="18">
        <f>'A) Base RI'!AN251</f>
        <v>442</v>
      </c>
      <c r="D252" s="61">
        <f t="shared" si="19"/>
        <v>442</v>
      </c>
      <c r="E252" s="18">
        <f t="shared" si="21"/>
        <v>0</v>
      </c>
      <c r="F252" s="18">
        <f t="shared" si="21"/>
        <v>0</v>
      </c>
      <c r="G252" s="18">
        <f t="shared" si="21"/>
        <v>0</v>
      </c>
      <c r="H252" s="18">
        <f t="shared" si="21"/>
        <v>0</v>
      </c>
      <c r="I252" s="73">
        <f t="shared" si="21"/>
        <v>0</v>
      </c>
      <c r="J252" s="18">
        <f t="shared" si="20"/>
        <v>0</v>
      </c>
      <c r="K252" s="98">
        <f t="shared" si="18"/>
        <v>44200</v>
      </c>
    </row>
    <row r="253" spans="1:11" x14ac:dyDescent="0.25">
      <c r="A253" s="82">
        <f>'A) Base RI'!A252</f>
        <v>5804</v>
      </c>
      <c r="B253" s="62" t="str">
        <f>'A) Base RI'!B252</f>
        <v>Jorat-Menthue</v>
      </c>
      <c r="C253" s="18">
        <f>'A) Base RI'!AN252</f>
        <v>1469</v>
      </c>
      <c r="D253" s="61">
        <f t="shared" si="19"/>
        <v>1000</v>
      </c>
      <c r="E253" s="18">
        <f t="shared" si="21"/>
        <v>469</v>
      </c>
      <c r="F253" s="18">
        <f t="shared" si="21"/>
        <v>0</v>
      </c>
      <c r="G253" s="18">
        <f t="shared" si="21"/>
        <v>0</v>
      </c>
      <c r="H253" s="18">
        <f t="shared" si="21"/>
        <v>0</v>
      </c>
      <c r="I253" s="73">
        <f t="shared" si="21"/>
        <v>0</v>
      </c>
      <c r="J253" s="18">
        <f t="shared" si="20"/>
        <v>0</v>
      </c>
      <c r="K253" s="98">
        <f t="shared" si="18"/>
        <v>264150</v>
      </c>
    </row>
    <row r="254" spans="1:11" x14ac:dyDescent="0.25">
      <c r="A254" s="82">
        <f>'A) Base RI'!A253</f>
        <v>5805</v>
      </c>
      <c r="B254" s="62" t="str">
        <f>'A) Base RI'!B253</f>
        <v>Oron</v>
      </c>
      <c r="C254" s="18">
        <f>'A) Base RI'!AN253</f>
        <v>5180</v>
      </c>
      <c r="D254" s="61">
        <f t="shared" si="19"/>
        <v>1000</v>
      </c>
      <c r="E254" s="18">
        <f t="shared" si="21"/>
        <v>2000</v>
      </c>
      <c r="F254" s="18">
        <f t="shared" si="21"/>
        <v>2000</v>
      </c>
      <c r="G254" s="18">
        <f t="shared" si="21"/>
        <v>180</v>
      </c>
      <c r="H254" s="18">
        <f t="shared" si="21"/>
        <v>0</v>
      </c>
      <c r="I254" s="73">
        <f t="shared" si="21"/>
        <v>0</v>
      </c>
      <c r="J254" s="18">
        <f t="shared" si="20"/>
        <v>0</v>
      </c>
      <c r="K254" s="98">
        <f t="shared" si="18"/>
        <v>1908000</v>
      </c>
    </row>
    <row r="255" spans="1:11" x14ac:dyDescent="0.25">
      <c r="A255" s="82">
        <f>'A) Base RI'!A254</f>
        <v>5812</v>
      </c>
      <c r="B255" s="62" t="str">
        <f>'A) Base RI'!B254</f>
        <v>Champtauroz</v>
      </c>
      <c r="C255" s="18">
        <f>'A) Base RI'!AN254</f>
        <v>137</v>
      </c>
      <c r="D255" s="61">
        <f t="shared" si="19"/>
        <v>137</v>
      </c>
      <c r="E255" s="18">
        <f t="shared" si="21"/>
        <v>0</v>
      </c>
      <c r="F255" s="18">
        <f t="shared" si="21"/>
        <v>0</v>
      </c>
      <c r="G255" s="18">
        <f t="shared" si="21"/>
        <v>0</v>
      </c>
      <c r="H255" s="18">
        <f t="shared" si="21"/>
        <v>0</v>
      </c>
      <c r="I255" s="73">
        <f t="shared" si="21"/>
        <v>0</v>
      </c>
      <c r="J255" s="18">
        <f t="shared" si="20"/>
        <v>0</v>
      </c>
      <c r="K255" s="98">
        <f t="shared" si="18"/>
        <v>13700</v>
      </c>
    </row>
    <row r="256" spans="1:11" x14ac:dyDescent="0.25">
      <c r="A256" s="82">
        <f>'A) Base RI'!A255</f>
        <v>5813</v>
      </c>
      <c r="B256" s="62" t="str">
        <f>'A) Base RI'!B255</f>
        <v>Chevroux</v>
      </c>
      <c r="C256" s="18">
        <f>'A) Base RI'!AN255</f>
        <v>418</v>
      </c>
      <c r="D256" s="61">
        <f t="shared" si="19"/>
        <v>418</v>
      </c>
      <c r="E256" s="18">
        <f t="shared" si="21"/>
        <v>0</v>
      </c>
      <c r="F256" s="18">
        <f t="shared" si="21"/>
        <v>0</v>
      </c>
      <c r="G256" s="18">
        <f t="shared" si="21"/>
        <v>0</v>
      </c>
      <c r="H256" s="18">
        <f t="shared" si="21"/>
        <v>0</v>
      </c>
      <c r="I256" s="73">
        <f t="shared" si="21"/>
        <v>0</v>
      </c>
      <c r="J256" s="18">
        <f t="shared" si="20"/>
        <v>0</v>
      </c>
      <c r="K256" s="98">
        <f t="shared" si="18"/>
        <v>41800</v>
      </c>
    </row>
    <row r="257" spans="1:11" x14ac:dyDescent="0.25">
      <c r="A257" s="82">
        <f>'A) Base RI'!A256</f>
        <v>5816</v>
      </c>
      <c r="B257" s="62" t="str">
        <f>'A) Base RI'!B256</f>
        <v>Corcelles-près-Payerne</v>
      </c>
      <c r="C257" s="18">
        <f>'A) Base RI'!AN256</f>
        <v>2091</v>
      </c>
      <c r="D257" s="61">
        <f t="shared" si="19"/>
        <v>1000</v>
      </c>
      <c r="E257" s="18">
        <f t="shared" si="21"/>
        <v>1091</v>
      </c>
      <c r="F257" s="18">
        <f t="shared" si="21"/>
        <v>0</v>
      </c>
      <c r="G257" s="18">
        <f t="shared" si="21"/>
        <v>0</v>
      </c>
      <c r="H257" s="18">
        <f t="shared" si="21"/>
        <v>0</v>
      </c>
      <c r="I257" s="73">
        <f t="shared" si="21"/>
        <v>0</v>
      </c>
      <c r="J257" s="18">
        <f t="shared" si="20"/>
        <v>0</v>
      </c>
      <c r="K257" s="98">
        <f t="shared" si="18"/>
        <v>481850</v>
      </c>
    </row>
    <row r="258" spans="1:11" x14ac:dyDescent="0.25">
      <c r="A258" s="82">
        <f>'A) Base RI'!A257</f>
        <v>5817</v>
      </c>
      <c r="B258" s="62" t="str">
        <f>'A) Base RI'!B257</f>
        <v>Grandcour</v>
      </c>
      <c r="C258" s="18">
        <f>'A) Base RI'!AN257</f>
        <v>863</v>
      </c>
      <c r="D258" s="61">
        <f t="shared" si="19"/>
        <v>863</v>
      </c>
      <c r="E258" s="18">
        <f t="shared" si="21"/>
        <v>0</v>
      </c>
      <c r="F258" s="18">
        <f t="shared" si="21"/>
        <v>0</v>
      </c>
      <c r="G258" s="18">
        <f t="shared" si="21"/>
        <v>0</v>
      </c>
      <c r="H258" s="18">
        <f t="shared" si="21"/>
        <v>0</v>
      </c>
      <c r="I258" s="73">
        <f t="shared" si="21"/>
        <v>0</v>
      </c>
      <c r="J258" s="18">
        <f t="shared" si="20"/>
        <v>0</v>
      </c>
      <c r="K258" s="98">
        <f t="shared" si="18"/>
        <v>86300</v>
      </c>
    </row>
    <row r="259" spans="1:11" x14ac:dyDescent="0.25">
      <c r="A259" s="82">
        <f>'A) Base RI'!A258</f>
        <v>5819</v>
      </c>
      <c r="B259" s="62" t="str">
        <f>'A) Base RI'!B258</f>
        <v>Henniez</v>
      </c>
      <c r="C259" s="18">
        <f>'A) Base RI'!AN258</f>
        <v>287</v>
      </c>
      <c r="D259" s="61">
        <f t="shared" si="19"/>
        <v>287</v>
      </c>
      <c r="E259" s="18">
        <f t="shared" si="21"/>
        <v>0</v>
      </c>
      <c r="F259" s="18">
        <f t="shared" si="21"/>
        <v>0</v>
      </c>
      <c r="G259" s="18">
        <f t="shared" si="21"/>
        <v>0</v>
      </c>
      <c r="H259" s="18">
        <f t="shared" si="21"/>
        <v>0</v>
      </c>
      <c r="I259" s="73">
        <f t="shared" si="21"/>
        <v>0</v>
      </c>
      <c r="J259" s="18">
        <f t="shared" si="20"/>
        <v>0</v>
      </c>
      <c r="K259" s="98">
        <f t="shared" si="18"/>
        <v>28700</v>
      </c>
    </row>
    <row r="260" spans="1:11" x14ac:dyDescent="0.25">
      <c r="A260" s="82">
        <f>'A) Base RI'!A259</f>
        <v>5821</v>
      </c>
      <c r="B260" s="62" t="str">
        <f>'A) Base RI'!B259</f>
        <v>Missy</v>
      </c>
      <c r="C260" s="18">
        <f>'A) Base RI'!AN259</f>
        <v>335</v>
      </c>
      <c r="D260" s="61">
        <f t="shared" si="19"/>
        <v>335</v>
      </c>
      <c r="E260" s="18">
        <f t="shared" si="21"/>
        <v>0</v>
      </c>
      <c r="F260" s="18">
        <f t="shared" si="21"/>
        <v>0</v>
      </c>
      <c r="G260" s="18">
        <f t="shared" si="21"/>
        <v>0</v>
      </c>
      <c r="H260" s="18">
        <f t="shared" si="21"/>
        <v>0</v>
      </c>
      <c r="I260" s="73">
        <f t="shared" si="21"/>
        <v>0</v>
      </c>
      <c r="J260" s="18">
        <f t="shared" si="20"/>
        <v>0</v>
      </c>
      <c r="K260" s="98">
        <f t="shared" si="18"/>
        <v>33500</v>
      </c>
    </row>
    <row r="261" spans="1:11" x14ac:dyDescent="0.25">
      <c r="A261" s="82">
        <f>'A) Base RI'!A260</f>
        <v>5822</v>
      </c>
      <c r="B261" s="62" t="str">
        <f>'A) Base RI'!B260</f>
        <v>Payerne</v>
      </c>
      <c r="C261" s="18">
        <f>'A) Base RI'!AN260</f>
        <v>9207</v>
      </c>
      <c r="D261" s="61">
        <f t="shared" si="19"/>
        <v>1000</v>
      </c>
      <c r="E261" s="18">
        <f t="shared" si="21"/>
        <v>2000</v>
      </c>
      <c r="F261" s="18">
        <f t="shared" si="21"/>
        <v>2000</v>
      </c>
      <c r="G261" s="18">
        <f t="shared" si="21"/>
        <v>4000</v>
      </c>
      <c r="H261" s="18">
        <f t="shared" si="21"/>
        <v>207</v>
      </c>
      <c r="I261" s="73">
        <f t="shared" si="21"/>
        <v>0</v>
      </c>
      <c r="J261" s="18">
        <f t="shared" si="20"/>
        <v>0</v>
      </c>
      <c r="K261" s="98">
        <f t="shared" si="18"/>
        <v>4375950</v>
      </c>
    </row>
    <row r="262" spans="1:11" x14ac:dyDescent="0.25">
      <c r="A262" s="82">
        <f>'A) Base RI'!A261</f>
        <v>5827</v>
      </c>
      <c r="B262" s="62" t="str">
        <f>'A) Base RI'!B261</f>
        <v>Trey</v>
      </c>
      <c r="C262" s="18">
        <f>'A) Base RI'!AN261</f>
        <v>267</v>
      </c>
      <c r="D262" s="61">
        <f t="shared" si="19"/>
        <v>267</v>
      </c>
      <c r="E262" s="18">
        <f t="shared" ref="E262:I302" si="22">IF($C262&gt;E$4,IF($C262&lt;E$5,$C262-E$4,E$5-E$4),0)</f>
        <v>0</v>
      </c>
      <c r="F262" s="18">
        <f t="shared" si="22"/>
        <v>0</v>
      </c>
      <c r="G262" s="18">
        <f t="shared" si="22"/>
        <v>0</v>
      </c>
      <c r="H262" s="18">
        <f t="shared" si="22"/>
        <v>0</v>
      </c>
      <c r="I262" s="73">
        <f t="shared" si="22"/>
        <v>0</v>
      </c>
      <c r="J262" s="18">
        <f t="shared" si="20"/>
        <v>0</v>
      </c>
      <c r="K262" s="98">
        <f t="shared" si="18"/>
        <v>26700</v>
      </c>
    </row>
    <row r="263" spans="1:11" x14ac:dyDescent="0.25">
      <c r="A263" s="82">
        <f>'A) Base RI'!A262</f>
        <v>5828</v>
      </c>
      <c r="B263" s="62" t="str">
        <f>'A) Base RI'!B262</f>
        <v>Treytorrens</v>
      </c>
      <c r="C263" s="18">
        <f>'A) Base RI'!AN262</f>
        <v>120</v>
      </c>
      <c r="D263" s="61">
        <f t="shared" ref="D263:D294" si="23">IF($C263&gt;D$4,IF($C263&lt;D$5,$C263-D$4,D$5-D$4),0)</f>
        <v>120</v>
      </c>
      <c r="E263" s="18">
        <f t="shared" si="22"/>
        <v>0</v>
      </c>
      <c r="F263" s="18">
        <f t="shared" si="22"/>
        <v>0</v>
      </c>
      <c r="G263" s="18">
        <f t="shared" si="22"/>
        <v>0</v>
      </c>
      <c r="H263" s="18">
        <f t="shared" si="22"/>
        <v>0</v>
      </c>
      <c r="I263" s="73">
        <f t="shared" si="22"/>
        <v>0</v>
      </c>
      <c r="J263" s="18">
        <f t="shared" si="20"/>
        <v>0</v>
      </c>
      <c r="K263" s="98">
        <f t="shared" si="18"/>
        <v>12000</v>
      </c>
    </row>
    <row r="264" spans="1:11" x14ac:dyDescent="0.25">
      <c r="A264" s="82">
        <f>'A) Base RI'!A263</f>
        <v>5830</v>
      </c>
      <c r="B264" s="62" t="str">
        <f>'A) Base RI'!B263</f>
        <v>Villarzel</v>
      </c>
      <c r="C264" s="18">
        <f>'A) Base RI'!AN263</f>
        <v>413</v>
      </c>
      <c r="D264" s="61">
        <f t="shared" si="23"/>
        <v>413</v>
      </c>
      <c r="E264" s="18">
        <f t="shared" si="22"/>
        <v>0</v>
      </c>
      <c r="F264" s="18">
        <f t="shared" si="22"/>
        <v>0</v>
      </c>
      <c r="G264" s="18">
        <f t="shared" si="22"/>
        <v>0</v>
      </c>
      <c r="H264" s="18">
        <f t="shared" si="22"/>
        <v>0</v>
      </c>
      <c r="I264" s="73">
        <f t="shared" si="22"/>
        <v>0</v>
      </c>
      <c r="J264" s="18">
        <f t="shared" si="20"/>
        <v>0</v>
      </c>
      <c r="K264" s="98">
        <f t="shared" si="18"/>
        <v>41300</v>
      </c>
    </row>
    <row r="265" spans="1:11" x14ac:dyDescent="0.25">
      <c r="A265" s="82">
        <f>'A) Base RI'!A264</f>
        <v>5831</v>
      </c>
      <c r="B265" s="62" t="str">
        <f>'A) Base RI'!B264</f>
        <v>Valbroye</v>
      </c>
      <c r="C265" s="18">
        <f>'A) Base RI'!AN264</f>
        <v>2928</v>
      </c>
      <c r="D265" s="61">
        <f t="shared" si="23"/>
        <v>1000</v>
      </c>
      <c r="E265" s="18">
        <f t="shared" ref="E265:I266" si="24">IF($C265&gt;E$4,IF($C265&lt;E$5,$C265-E$4,E$5-E$4),0)</f>
        <v>1928</v>
      </c>
      <c r="F265" s="18">
        <f t="shared" si="24"/>
        <v>0</v>
      </c>
      <c r="G265" s="18">
        <f t="shared" si="24"/>
        <v>0</v>
      </c>
      <c r="H265" s="18">
        <f t="shared" si="24"/>
        <v>0</v>
      </c>
      <c r="I265" s="73">
        <f t="shared" si="24"/>
        <v>0</v>
      </c>
      <c r="J265" s="18">
        <f t="shared" si="20"/>
        <v>0</v>
      </c>
      <c r="K265" s="98">
        <f t="shared" ref="K265:K325" si="25">(D265*D$7)+(E265*E$7)+(F265*F$7)+(G265*G$7)+(H265*H$7)+(I265*I$7)+(J265*J$7)</f>
        <v>774800</v>
      </c>
    </row>
    <row r="266" spans="1:11" x14ac:dyDescent="0.25">
      <c r="A266" s="82">
        <f>'A) Base RI'!A265</f>
        <v>5841</v>
      </c>
      <c r="B266" s="62" t="str">
        <f>'A) Base RI'!B265</f>
        <v>Château-d'Oex</v>
      </c>
      <c r="C266" s="18">
        <f>'A) Base RI'!AN265</f>
        <v>3440</v>
      </c>
      <c r="D266" s="61">
        <f t="shared" si="23"/>
        <v>1000</v>
      </c>
      <c r="E266" s="18">
        <f t="shared" si="24"/>
        <v>2000</v>
      </c>
      <c r="F266" s="18">
        <f t="shared" si="24"/>
        <v>440</v>
      </c>
      <c r="G266" s="18">
        <f t="shared" si="24"/>
        <v>0</v>
      </c>
      <c r="H266" s="18">
        <f t="shared" si="24"/>
        <v>0</v>
      </c>
      <c r="I266" s="73">
        <f t="shared" si="24"/>
        <v>0</v>
      </c>
      <c r="J266" s="18">
        <f t="shared" si="20"/>
        <v>0</v>
      </c>
      <c r="K266" s="98">
        <f t="shared" si="25"/>
        <v>1020000</v>
      </c>
    </row>
    <row r="267" spans="1:11" x14ac:dyDescent="0.25">
      <c r="A267" s="82">
        <f>'A) Base RI'!A266</f>
        <v>5842</v>
      </c>
      <c r="B267" s="62" t="str">
        <f>'A) Base RI'!B266</f>
        <v>Rossinière</v>
      </c>
      <c r="C267" s="18">
        <f>'A) Base RI'!AN266</f>
        <v>552</v>
      </c>
      <c r="D267" s="61">
        <f t="shared" si="23"/>
        <v>552</v>
      </c>
      <c r="E267" s="18">
        <f t="shared" si="22"/>
        <v>0</v>
      </c>
      <c r="F267" s="18">
        <f t="shared" si="22"/>
        <v>0</v>
      </c>
      <c r="G267" s="18">
        <f t="shared" si="22"/>
        <v>0</v>
      </c>
      <c r="H267" s="18">
        <f t="shared" si="22"/>
        <v>0</v>
      </c>
      <c r="I267" s="73">
        <f t="shared" si="22"/>
        <v>0</v>
      </c>
      <c r="J267" s="18">
        <f t="shared" si="20"/>
        <v>0</v>
      </c>
      <c r="K267" s="98">
        <f t="shared" si="25"/>
        <v>55200</v>
      </c>
    </row>
    <row r="268" spans="1:11" x14ac:dyDescent="0.25">
      <c r="A268" s="82">
        <f>'A) Base RI'!A267</f>
        <v>5843</v>
      </c>
      <c r="B268" s="62" t="str">
        <f>'A) Base RI'!B267</f>
        <v>Rougemont</v>
      </c>
      <c r="C268" s="18">
        <f>'A) Base RI'!AN267</f>
        <v>882</v>
      </c>
      <c r="D268" s="61">
        <f t="shared" si="23"/>
        <v>882</v>
      </c>
      <c r="E268" s="18">
        <f t="shared" si="22"/>
        <v>0</v>
      </c>
      <c r="F268" s="18">
        <f t="shared" si="22"/>
        <v>0</v>
      </c>
      <c r="G268" s="18">
        <f t="shared" si="22"/>
        <v>0</v>
      </c>
      <c r="H268" s="18">
        <f t="shared" si="22"/>
        <v>0</v>
      </c>
      <c r="I268" s="73">
        <f t="shared" si="22"/>
        <v>0</v>
      </c>
      <c r="J268" s="18">
        <f t="shared" si="20"/>
        <v>0</v>
      </c>
      <c r="K268" s="98">
        <f t="shared" si="25"/>
        <v>88200</v>
      </c>
    </row>
    <row r="269" spans="1:11" x14ac:dyDescent="0.25">
      <c r="A269" s="82">
        <f>'A) Base RI'!A268</f>
        <v>5851</v>
      </c>
      <c r="B269" s="62" t="str">
        <f>'A) Base RI'!B268</f>
        <v>Allaman</v>
      </c>
      <c r="C269" s="18">
        <f>'A) Base RI'!AN268</f>
        <v>401</v>
      </c>
      <c r="D269" s="61">
        <f t="shared" si="23"/>
        <v>401</v>
      </c>
      <c r="E269" s="18">
        <f t="shared" si="22"/>
        <v>0</v>
      </c>
      <c r="F269" s="18">
        <f t="shared" si="22"/>
        <v>0</v>
      </c>
      <c r="G269" s="18">
        <f t="shared" si="22"/>
        <v>0</v>
      </c>
      <c r="H269" s="18">
        <f t="shared" si="22"/>
        <v>0</v>
      </c>
      <c r="I269" s="73">
        <f t="shared" si="22"/>
        <v>0</v>
      </c>
      <c r="J269" s="18">
        <f t="shared" si="20"/>
        <v>0</v>
      </c>
      <c r="K269" s="98">
        <f t="shared" si="25"/>
        <v>40100</v>
      </c>
    </row>
    <row r="270" spans="1:11" x14ac:dyDescent="0.25">
      <c r="A270" s="82">
        <f>'A) Base RI'!A269</f>
        <v>5852</v>
      </c>
      <c r="B270" s="62" t="str">
        <f>'A) Base RI'!B269</f>
        <v>Bursinel</v>
      </c>
      <c r="C270" s="18">
        <f>'A) Base RI'!AN269</f>
        <v>471</v>
      </c>
      <c r="D270" s="61">
        <f t="shared" si="23"/>
        <v>471</v>
      </c>
      <c r="E270" s="18">
        <f t="shared" si="22"/>
        <v>0</v>
      </c>
      <c r="F270" s="18">
        <f t="shared" si="22"/>
        <v>0</v>
      </c>
      <c r="G270" s="18">
        <f t="shared" si="22"/>
        <v>0</v>
      </c>
      <c r="H270" s="18">
        <f t="shared" si="22"/>
        <v>0</v>
      </c>
      <c r="I270" s="73">
        <f t="shared" si="22"/>
        <v>0</v>
      </c>
      <c r="J270" s="18">
        <f t="shared" si="20"/>
        <v>0</v>
      </c>
      <c r="K270" s="98">
        <f t="shared" si="25"/>
        <v>47100</v>
      </c>
    </row>
    <row r="271" spans="1:11" x14ac:dyDescent="0.25">
      <c r="A271" s="82">
        <f>'A) Base RI'!A270</f>
        <v>5853</v>
      </c>
      <c r="B271" s="62" t="str">
        <f>'A) Base RI'!B270</f>
        <v>Bursins</v>
      </c>
      <c r="C271" s="18">
        <f>'A) Base RI'!AN270</f>
        <v>764</v>
      </c>
      <c r="D271" s="61">
        <f t="shared" si="23"/>
        <v>764</v>
      </c>
      <c r="E271" s="18">
        <f t="shared" si="22"/>
        <v>0</v>
      </c>
      <c r="F271" s="18">
        <f t="shared" si="22"/>
        <v>0</v>
      </c>
      <c r="G271" s="18">
        <f t="shared" si="22"/>
        <v>0</v>
      </c>
      <c r="H271" s="18">
        <f t="shared" si="22"/>
        <v>0</v>
      </c>
      <c r="I271" s="73">
        <f t="shared" si="22"/>
        <v>0</v>
      </c>
      <c r="J271" s="18">
        <f t="shared" si="20"/>
        <v>0</v>
      </c>
      <c r="K271" s="98">
        <f t="shared" si="25"/>
        <v>76400</v>
      </c>
    </row>
    <row r="272" spans="1:11" x14ac:dyDescent="0.25">
      <c r="A272" s="82">
        <f>'A) Base RI'!A271</f>
        <v>5854</v>
      </c>
      <c r="B272" s="62" t="str">
        <f>'A) Base RI'!B271</f>
        <v>Burtigny</v>
      </c>
      <c r="C272" s="18">
        <f>'A) Base RI'!AN271</f>
        <v>371</v>
      </c>
      <c r="D272" s="61">
        <f t="shared" si="23"/>
        <v>371</v>
      </c>
      <c r="E272" s="18">
        <f t="shared" si="22"/>
        <v>0</v>
      </c>
      <c r="F272" s="18">
        <f t="shared" si="22"/>
        <v>0</v>
      </c>
      <c r="G272" s="18">
        <f t="shared" si="22"/>
        <v>0</v>
      </c>
      <c r="H272" s="18">
        <f t="shared" si="22"/>
        <v>0</v>
      </c>
      <c r="I272" s="73">
        <f t="shared" si="22"/>
        <v>0</v>
      </c>
      <c r="J272" s="18">
        <f t="shared" si="20"/>
        <v>0</v>
      </c>
      <c r="K272" s="98">
        <f t="shared" si="25"/>
        <v>37100</v>
      </c>
    </row>
    <row r="273" spans="1:11" x14ac:dyDescent="0.25">
      <c r="A273" s="82">
        <f>'A) Base RI'!A272</f>
        <v>5855</v>
      </c>
      <c r="B273" s="62" t="str">
        <f>'A) Base RI'!B272</f>
        <v>Dully</v>
      </c>
      <c r="C273" s="18">
        <f>'A) Base RI'!AN272</f>
        <v>612</v>
      </c>
      <c r="D273" s="61">
        <f t="shared" si="23"/>
        <v>612</v>
      </c>
      <c r="E273" s="18">
        <f t="shared" si="22"/>
        <v>0</v>
      </c>
      <c r="F273" s="18">
        <f t="shared" si="22"/>
        <v>0</v>
      </c>
      <c r="G273" s="18">
        <f t="shared" si="22"/>
        <v>0</v>
      </c>
      <c r="H273" s="18">
        <f t="shared" si="22"/>
        <v>0</v>
      </c>
      <c r="I273" s="73">
        <f t="shared" si="22"/>
        <v>0</v>
      </c>
      <c r="J273" s="18">
        <f t="shared" si="20"/>
        <v>0</v>
      </c>
      <c r="K273" s="98">
        <f t="shared" si="25"/>
        <v>61200</v>
      </c>
    </row>
    <row r="274" spans="1:11" x14ac:dyDescent="0.25">
      <c r="A274" s="82">
        <f>'A) Base RI'!A273</f>
        <v>5856</v>
      </c>
      <c r="B274" s="62" t="str">
        <f>'A) Base RI'!B273</f>
        <v>Essertines-sur-Rolle</v>
      </c>
      <c r="C274" s="18">
        <f>'A) Base RI'!AN273</f>
        <v>698</v>
      </c>
      <c r="D274" s="61">
        <f t="shared" si="23"/>
        <v>698</v>
      </c>
      <c r="E274" s="18">
        <f t="shared" si="22"/>
        <v>0</v>
      </c>
      <c r="F274" s="18">
        <f t="shared" si="22"/>
        <v>0</v>
      </c>
      <c r="G274" s="18">
        <f t="shared" si="22"/>
        <v>0</v>
      </c>
      <c r="H274" s="18">
        <f t="shared" si="22"/>
        <v>0</v>
      </c>
      <c r="I274" s="73">
        <f t="shared" si="22"/>
        <v>0</v>
      </c>
      <c r="J274" s="18">
        <f t="shared" si="20"/>
        <v>0</v>
      </c>
      <c r="K274" s="98">
        <f t="shared" si="25"/>
        <v>69800</v>
      </c>
    </row>
    <row r="275" spans="1:11" x14ac:dyDescent="0.25">
      <c r="A275" s="82">
        <f>'A) Base RI'!A274</f>
        <v>5857</v>
      </c>
      <c r="B275" s="62" t="str">
        <f>'A) Base RI'!B274</f>
        <v>Gilly</v>
      </c>
      <c r="C275" s="18">
        <f>'A) Base RI'!AN274</f>
        <v>1074</v>
      </c>
      <c r="D275" s="61">
        <f t="shared" si="23"/>
        <v>1000</v>
      </c>
      <c r="E275" s="18">
        <f t="shared" si="22"/>
        <v>74</v>
      </c>
      <c r="F275" s="18">
        <f t="shared" si="22"/>
        <v>0</v>
      </c>
      <c r="G275" s="18">
        <f t="shared" si="22"/>
        <v>0</v>
      </c>
      <c r="H275" s="18">
        <f t="shared" si="22"/>
        <v>0</v>
      </c>
      <c r="I275" s="73">
        <f t="shared" si="22"/>
        <v>0</v>
      </c>
      <c r="J275" s="18">
        <f t="shared" si="20"/>
        <v>0</v>
      </c>
      <c r="K275" s="98">
        <f t="shared" si="25"/>
        <v>125900</v>
      </c>
    </row>
    <row r="276" spans="1:11" x14ac:dyDescent="0.25">
      <c r="A276" s="82">
        <f>'A) Base RI'!A275</f>
        <v>5858</v>
      </c>
      <c r="B276" s="62" t="str">
        <f>'A) Base RI'!B275</f>
        <v>Luins</v>
      </c>
      <c r="C276" s="18">
        <f>'A) Base RI'!AN275</f>
        <v>608</v>
      </c>
      <c r="D276" s="61">
        <f t="shared" si="23"/>
        <v>608</v>
      </c>
      <c r="E276" s="18">
        <f t="shared" si="22"/>
        <v>0</v>
      </c>
      <c r="F276" s="18">
        <f t="shared" si="22"/>
        <v>0</v>
      </c>
      <c r="G276" s="18">
        <f t="shared" si="22"/>
        <v>0</v>
      </c>
      <c r="H276" s="18">
        <f t="shared" si="22"/>
        <v>0</v>
      </c>
      <c r="I276" s="73">
        <f t="shared" si="22"/>
        <v>0</v>
      </c>
      <c r="J276" s="18">
        <f t="shared" si="20"/>
        <v>0</v>
      </c>
      <c r="K276" s="98">
        <f t="shared" si="25"/>
        <v>60800</v>
      </c>
    </row>
    <row r="277" spans="1:11" x14ac:dyDescent="0.25">
      <c r="A277" s="82">
        <f>'A) Base RI'!A276</f>
        <v>5859</v>
      </c>
      <c r="B277" s="62" t="str">
        <f>'A) Base RI'!B276</f>
        <v>Mont-sur-Rolle</v>
      </c>
      <c r="C277" s="18">
        <f>'A) Base RI'!AN276</f>
        <v>2602</v>
      </c>
      <c r="D277" s="61">
        <f t="shared" si="23"/>
        <v>1000</v>
      </c>
      <c r="E277" s="18">
        <f t="shared" si="22"/>
        <v>1602</v>
      </c>
      <c r="F277" s="18">
        <f t="shared" si="22"/>
        <v>0</v>
      </c>
      <c r="G277" s="18">
        <f t="shared" si="22"/>
        <v>0</v>
      </c>
      <c r="H277" s="18">
        <f t="shared" si="22"/>
        <v>0</v>
      </c>
      <c r="I277" s="73">
        <f t="shared" si="22"/>
        <v>0</v>
      </c>
      <c r="J277" s="18">
        <f t="shared" si="20"/>
        <v>0</v>
      </c>
      <c r="K277" s="98">
        <f t="shared" si="25"/>
        <v>660700</v>
      </c>
    </row>
    <row r="278" spans="1:11" x14ac:dyDescent="0.25">
      <c r="A278" s="82">
        <f>'A) Base RI'!A277</f>
        <v>5860</v>
      </c>
      <c r="B278" s="62" t="str">
        <f>'A) Base RI'!B277</f>
        <v>Perroy</v>
      </c>
      <c r="C278" s="18">
        <f>'A) Base RI'!AN277</f>
        <v>1395</v>
      </c>
      <c r="D278" s="61">
        <f t="shared" si="23"/>
        <v>1000</v>
      </c>
      <c r="E278" s="18">
        <f t="shared" si="22"/>
        <v>395</v>
      </c>
      <c r="F278" s="18">
        <f t="shared" si="22"/>
        <v>0</v>
      </c>
      <c r="G278" s="18">
        <f t="shared" si="22"/>
        <v>0</v>
      </c>
      <c r="H278" s="18">
        <f t="shared" si="22"/>
        <v>0</v>
      </c>
      <c r="I278" s="73">
        <f t="shared" si="22"/>
        <v>0</v>
      </c>
      <c r="J278" s="18">
        <f t="shared" si="20"/>
        <v>0</v>
      </c>
      <c r="K278" s="98">
        <f t="shared" si="25"/>
        <v>238250</v>
      </c>
    </row>
    <row r="279" spans="1:11" x14ac:dyDescent="0.25">
      <c r="A279" s="82">
        <f>'A) Base RI'!A278</f>
        <v>5861</v>
      </c>
      <c r="B279" s="62" t="str">
        <f>'A) Base RI'!B278</f>
        <v>Rolle</v>
      </c>
      <c r="C279" s="18">
        <f>'A) Base RI'!AN278</f>
        <v>5900</v>
      </c>
      <c r="D279" s="61">
        <f t="shared" si="23"/>
        <v>1000</v>
      </c>
      <c r="E279" s="18">
        <f t="shared" si="22"/>
        <v>2000</v>
      </c>
      <c r="F279" s="18">
        <f t="shared" si="22"/>
        <v>2000</v>
      </c>
      <c r="G279" s="18">
        <f t="shared" si="22"/>
        <v>900</v>
      </c>
      <c r="H279" s="18">
        <f t="shared" si="22"/>
        <v>0</v>
      </c>
      <c r="I279" s="73">
        <f t="shared" si="22"/>
        <v>0</v>
      </c>
      <c r="J279" s="18">
        <f t="shared" si="20"/>
        <v>0</v>
      </c>
      <c r="K279" s="98">
        <f t="shared" si="25"/>
        <v>2340000</v>
      </c>
    </row>
    <row r="280" spans="1:11" x14ac:dyDescent="0.25">
      <c r="A280" s="82">
        <f>'A) Base RI'!A279</f>
        <v>5862</v>
      </c>
      <c r="B280" s="62" t="str">
        <f>'A) Base RI'!B279</f>
        <v>Tartegnin</v>
      </c>
      <c r="C280" s="18">
        <f>'A) Base RI'!AN279</f>
        <v>228</v>
      </c>
      <c r="D280" s="61">
        <f t="shared" si="23"/>
        <v>228</v>
      </c>
      <c r="E280" s="18">
        <f t="shared" si="22"/>
        <v>0</v>
      </c>
      <c r="F280" s="18">
        <f t="shared" si="22"/>
        <v>0</v>
      </c>
      <c r="G280" s="18">
        <f t="shared" si="22"/>
        <v>0</v>
      </c>
      <c r="H280" s="18">
        <f t="shared" si="22"/>
        <v>0</v>
      </c>
      <c r="I280" s="73">
        <f t="shared" si="22"/>
        <v>0</v>
      </c>
      <c r="J280" s="18">
        <f t="shared" si="20"/>
        <v>0</v>
      </c>
      <c r="K280" s="98">
        <f t="shared" si="25"/>
        <v>22800</v>
      </c>
    </row>
    <row r="281" spans="1:11" x14ac:dyDescent="0.25">
      <c r="A281" s="82">
        <f>'A) Base RI'!A280</f>
        <v>5863</v>
      </c>
      <c r="B281" s="62" t="str">
        <f>'A) Base RI'!B280</f>
        <v>Vinzel</v>
      </c>
      <c r="C281" s="18">
        <f>'A) Base RI'!AN280</f>
        <v>352</v>
      </c>
      <c r="D281" s="61">
        <f t="shared" si="23"/>
        <v>352</v>
      </c>
      <c r="E281" s="18">
        <f t="shared" si="22"/>
        <v>0</v>
      </c>
      <c r="F281" s="18">
        <f t="shared" si="22"/>
        <v>0</v>
      </c>
      <c r="G281" s="18">
        <f t="shared" si="22"/>
        <v>0</v>
      </c>
      <c r="H281" s="18">
        <f t="shared" si="22"/>
        <v>0</v>
      </c>
      <c r="I281" s="73">
        <f t="shared" si="22"/>
        <v>0</v>
      </c>
      <c r="J281" s="18">
        <f>IF(C281&gt;$J$4,C281-$J$4,0)</f>
        <v>0</v>
      </c>
      <c r="K281" s="98">
        <f t="shared" si="25"/>
        <v>35200</v>
      </c>
    </row>
    <row r="282" spans="1:11" x14ac:dyDescent="0.25">
      <c r="A282" s="82">
        <f>'A) Base RI'!A281</f>
        <v>5871</v>
      </c>
      <c r="B282" s="62" t="str">
        <f>'A) Base RI'!B281</f>
        <v>L'Abbaye</v>
      </c>
      <c r="C282" s="18">
        <f>'A) Base RI'!AN281</f>
        <v>1433</v>
      </c>
      <c r="D282" s="61">
        <f t="shared" si="23"/>
        <v>1000</v>
      </c>
      <c r="E282" s="18">
        <f t="shared" si="22"/>
        <v>433</v>
      </c>
      <c r="F282" s="18">
        <f t="shared" si="22"/>
        <v>0</v>
      </c>
      <c r="G282" s="18">
        <f t="shared" si="22"/>
        <v>0</v>
      </c>
      <c r="H282" s="18">
        <f t="shared" si="22"/>
        <v>0</v>
      </c>
      <c r="I282" s="73">
        <f t="shared" si="22"/>
        <v>0</v>
      </c>
      <c r="J282" s="18">
        <f t="shared" ref="J282:J284" si="26">IF(C282&gt;$J$4,C282-$J$4,0)</f>
        <v>0</v>
      </c>
      <c r="K282" s="98">
        <f t="shared" si="25"/>
        <v>251550</v>
      </c>
    </row>
    <row r="283" spans="1:11" x14ac:dyDescent="0.25">
      <c r="A283" s="82">
        <f>'A) Base RI'!A282</f>
        <v>5872</v>
      </c>
      <c r="B283" s="62" t="str">
        <f>'A) Base RI'!B282</f>
        <v>Le Chenit</v>
      </c>
      <c r="C283" s="18">
        <f>'A) Base RI'!AN282</f>
        <v>4496</v>
      </c>
      <c r="D283" s="61">
        <f t="shared" si="23"/>
        <v>1000</v>
      </c>
      <c r="E283" s="18">
        <f t="shared" si="22"/>
        <v>2000</v>
      </c>
      <c r="F283" s="18">
        <f t="shared" si="22"/>
        <v>1496</v>
      </c>
      <c r="G283" s="18">
        <f t="shared" si="22"/>
        <v>0</v>
      </c>
      <c r="H283" s="18">
        <f t="shared" si="22"/>
        <v>0</v>
      </c>
      <c r="I283" s="73">
        <f t="shared" si="22"/>
        <v>0</v>
      </c>
      <c r="J283" s="18">
        <f t="shared" si="26"/>
        <v>0</v>
      </c>
      <c r="K283" s="98">
        <f t="shared" si="25"/>
        <v>1548000</v>
      </c>
    </row>
    <row r="284" spans="1:11" x14ac:dyDescent="0.25">
      <c r="A284" s="82">
        <f>'A) Base RI'!A283</f>
        <v>5873</v>
      </c>
      <c r="B284" s="62" t="str">
        <f>'A) Base RI'!B283</f>
        <v>Le Lieu</v>
      </c>
      <c r="C284" s="18">
        <f>'A) Base RI'!AN283</f>
        <v>856</v>
      </c>
      <c r="D284" s="61">
        <f t="shared" si="23"/>
        <v>856</v>
      </c>
      <c r="E284" s="18">
        <f t="shared" si="22"/>
        <v>0</v>
      </c>
      <c r="F284" s="18">
        <f t="shared" si="22"/>
        <v>0</v>
      </c>
      <c r="G284" s="18">
        <f t="shared" si="22"/>
        <v>0</v>
      </c>
      <c r="H284" s="18">
        <f t="shared" si="22"/>
        <v>0</v>
      </c>
      <c r="I284" s="73">
        <f t="shared" si="22"/>
        <v>0</v>
      </c>
      <c r="J284" s="18">
        <f t="shared" si="26"/>
        <v>0</v>
      </c>
      <c r="K284" s="98">
        <f t="shared" si="25"/>
        <v>85600</v>
      </c>
    </row>
    <row r="285" spans="1:11" x14ac:dyDescent="0.25">
      <c r="A285" s="82">
        <f>'A) Base RI'!A284</f>
        <v>5881</v>
      </c>
      <c r="B285" s="62" t="str">
        <f>'A) Base RI'!B284</f>
        <v>Blonay</v>
      </c>
      <c r="C285" s="18">
        <f>'A) Base RI'!AN284</f>
        <v>6110</v>
      </c>
      <c r="D285" s="61">
        <f t="shared" si="23"/>
        <v>1000</v>
      </c>
      <c r="E285" s="18">
        <f t="shared" si="22"/>
        <v>2000</v>
      </c>
      <c r="F285" s="18">
        <f t="shared" si="22"/>
        <v>2000</v>
      </c>
      <c r="G285" s="18">
        <f t="shared" si="22"/>
        <v>1110</v>
      </c>
      <c r="H285" s="18">
        <f t="shared" si="22"/>
        <v>0</v>
      </c>
      <c r="I285" s="73">
        <f t="shared" si="22"/>
        <v>0</v>
      </c>
      <c r="J285" s="18">
        <f>IF(C285&gt;$J$4,C285-$J$4,0)</f>
        <v>0</v>
      </c>
      <c r="K285" s="98">
        <f t="shared" si="25"/>
        <v>2466000</v>
      </c>
    </row>
    <row r="286" spans="1:11" x14ac:dyDescent="0.25">
      <c r="A286" s="82">
        <f>'A) Base RI'!A285</f>
        <v>5882</v>
      </c>
      <c r="B286" s="62" t="str">
        <f>'A) Base RI'!B285</f>
        <v>Chardonne</v>
      </c>
      <c r="C286" s="18">
        <f>'A) Base RI'!AN285</f>
        <v>2835</v>
      </c>
      <c r="D286" s="61">
        <f t="shared" si="23"/>
        <v>1000</v>
      </c>
      <c r="E286" s="18">
        <f t="shared" si="22"/>
        <v>1835</v>
      </c>
      <c r="F286" s="18">
        <f t="shared" si="22"/>
        <v>0</v>
      </c>
      <c r="G286" s="18">
        <f t="shared" si="22"/>
        <v>0</v>
      </c>
      <c r="H286" s="18">
        <f t="shared" si="22"/>
        <v>0</v>
      </c>
      <c r="I286" s="73">
        <f t="shared" si="22"/>
        <v>0</v>
      </c>
      <c r="J286" s="18">
        <f>IF(C286&gt;$J$4,C286-$J$4,0)</f>
        <v>0</v>
      </c>
      <c r="K286" s="98">
        <f t="shared" si="25"/>
        <v>742250</v>
      </c>
    </row>
    <row r="287" spans="1:11" x14ac:dyDescent="0.25">
      <c r="A287" s="82">
        <f>'A) Base RI'!A286</f>
        <v>5883</v>
      </c>
      <c r="B287" s="62" t="str">
        <f>'A) Base RI'!B286</f>
        <v>Corseaux</v>
      </c>
      <c r="C287" s="18">
        <f>'A) Base RI'!AN286</f>
        <v>2172</v>
      </c>
      <c r="D287" s="61">
        <f t="shared" si="23"/>
        <v>1000</v>
      </c>
      <c r="E287" s="18">
        <f t="shared" si="22"/>
        <v>1172</v>
      </c>
      <c r="F287" s="18">
        <f t="shared" si="22"/>
        <v>0</v>
      </c>
      <c r="G287" s="18">
        <f t="shared" si="22"/>
        <v>0</v>
      </c>
      <c r="H287" s="18">
        <f t="shared" si="22"/>
        <v>0</v>
      </c>
      <c r="I287" s="73">
        <f t="shared" si="22"/>
        <v>0</v>
      </c>
      <c r="J287" s="18">
        <f t="shared" ref="J287:J325" si="27">IF(C287&gt;$J$4,C287-$J$4,0)</f>
        <v>0</v>
      </c>
      <c r="K287" s="98">
        <f t="shared" si="25"/>
        <v>510200</v>
      </c>
    </row>
    <row r="288" spans="1:11" x14ac:dyDescent="0.25">
      <c r="A288" s="82">
        <f>'A) Base RI'!A287</f>
        <v>5884</v>
      </c>
      <c r="B288" s="62" t="str">
        <f>'A) Base RI'!B287</f>
        <v>Corsier-sur-Vevey</v>
      </c>
      <c r="C288" s="18">
        <f>'A) Base RI'!AN287</f>
        <v>3393</v>
      </c>
      <c r="D288" s="61">
        <f t="shared" si="23"/>
        <v>1000</v>
      </c>
      <c r="E288" s="18">
        <f t="shared" si="22"/>
        <v>2000</v>
      </c>
      <c r="F288" s="18">
        <f t="shared" si="22"/>
        <v>393</v>
      </c>
      <c r="G288" s="18">
        <f t="shared" si="22"/>
        <v>0</v>
      </c>
      <c r="H288" s="18">
        <f t="shared" si="22"/>
        <v>0</v>
      </c>
      <c r="I288" s="73">
        <f t="shared" si="22"/>
        <v>0</v>
      </c>
      <c r="J288" s="18">
        <f t="shared" si="27"/>
        <v>0</v>
      </c>
      <c r="K288" s="98">
        <f t="shared" si="25"/>
        <v>996500</v>
      </c>
    </row>
    <row r="289" spans="1:11" x14ac:dyDescent="0.25">
      <c r="A289" s="82">
        <f>'A) Base RI'!A288</f>
        <v>5885</v>
      </c>
      <c r="B289" s="62" t="str">
        <f>'A) Base RI'!B288</f>
        <v>Jongny</v>
      </c>
      <c r="C289" s="18">
        <f>'A) Base RI'!AN288</f>
        <v>1475</v>
      </c>
      <c r="D289" s="61">
        <f t="shared" si="23"/>
        <v>1000</v>
      </c>
      <c r="E289" s="18">
        <f t="shared" si="22"/>
        <v>475</v>
      </c>
      <c r="F289" s="18">
        <f t="shared" si="22"/>
        <v>0</v>
      </c>
      <c r="G289" s="18">
        <f t="shared" si="22"/>
        <v>0</v>
      </c>
      <c r="H289" s="18">
        <f t="shared" si="22"/>
        <v>0</v>
      </c>
      <c r="I289" s="73">
        <f t="shared" si="22"/>
        <v>0</v>
      </c>
      <c r="J289" s="18">
        <f t="shared" si="27"/>
        <v>0</v>
      </c>
      <c r="K289" s="98">
        <f t="shared" si="25"/>
        <v>266250</v>
      </c>
    </row>
    <row r="290" spans="1:11" x14ac:dyDescent="0.25">
      <c r="A290" s="82">
        <f>'A) Base RI'!A289</f>
        <v>5886</v>
      </c>
      <c r="B290" s="62" t="str">
        <f>'A) Base RI'!B289</f>
        <v>Montreux</v>
      </c>
      <c r="C290" s="18">
        <f>'A) Base RI'!AN289</f>
        <v>26072</v>
      </c>
      <c r="D290" s="61">
        <f t="shared" si="23"/>
        <v>1000</v>
      </c>
      <c r="E290" s="18">
        <f t="shared" si="22"/>
        <v>2000</v>
      </c>
      <c r="F290" s="18">
        <f t="shared" si="22"/>
        <v>2000</v>
      </c>
      <c r="G290" s="18">
        <f t="shared" si="22"/>
        <v>4000</v>
      </c>
      <c r="H290" s="18">
        <f t="shared" si="22"/>
        <v>3000</v>
      </c>
      <c r="I290" s="73">
        <f t="shared" si="22"/>
        <v>3000</v>
      </c>
      <c r="J290" s="18">
        <f t="shared" si="27"/>
        <v>11072</v>
      </c>
      <c r="K290" s="98">
        <f t="shared" si="25"/>
        <v>21375600</v>
      </c>
    </row>
    <row r="291" spans="1:11" x14ac:dyDescent="0.25">
      <c r="A291" s="82">
        <f>'A) Base RI'!A290</f>
        <v>5888</v>
      </c>
      <c r="B291" s="62" t="str">
        <f>'A) Base RI'!B290</f>
        <v>St-Légier-La Chiésaz</v>
      </c>
      <c r="C291" s="18">
        <f>'A) Base RI'!AN290</f>
        <v>5084</v>
      </c>
      <c r="D291" s="61">
        <f t="shared" si="23"/>
        <v>1000</v>
      </c>
      <c r="E291" s="18">
        <f t="shared" si="22"/>
        <v>2000</v>
      </c>
      <c r="F291" s="18">
        <f t="shared" si="22"/>
        <v>2000</v>
      </c>
      <c r="G291" s="18">
        <f t="shared" si="22"/>
        <v>84</v>
      </c>
      <c r="H291" s="18">
        <f t="shared" si="22"/>
        <v>0</v>
      </c>
      <c r="I291" s="73">
        <f t="shared" si="22"/>
        <v>0</v>
      </c>
      <c r="J291" s="18">
        <f t="shared" si="27"/>
        <v>0</v>
      </c>
      <c r="K291" s="98">
        <f t="shared" si="25"/>
        <v>1850400</v>
      </c>
    </row>
    <row r="292" spans="1:11" x14ac:dyDescent="0.25">
      <c r="A292" s="82">
        <f>'A) Base RI'!A291</f>
        <v>5889</v>
      </c>
      <c r="B292" s="62" t="str">
        <f>'A) Base RI'!B291</f>
        <v>La Tour-de-Peilz</v>
      </c>
      <c r="C292" s="18">
        <f>'A) Base RI'!AN291</f>
        <v>11207</v>
      </c>
      <c r="D292" s="61">
        <f t="shared" si="23"/>
        <v>1000</v>
      </c>
      <c r="E292" s="18">
        <f t="shared" si="22"/>
        <v>2000</v>
      </c>
      <c r="F292" s="18">
        <f t="shared" si="22"/>
        <v>2000</v>
      </c>
      <c r="G292" s="18">
        <f t="shared" si="22"/>
        <v>4000</v>
      </c>
      <c r="H292" s="18">
        <f t="shared" si="22"/>
        <v>2207</v>
      </c>
      <c r="I292" s="73">
        <f t="shared" si="22"/>
        <v>0</v>
      </c>
      <c r="J292" s="18">
        <f t="shared" si="27"/>
        <v>0</v>
      </c>
      <c r="K292" s="98">
        <f t="shared" si="25"/>
        <v>6075950</v>
      </c>
    </row>
    <row r="293" spans="1:11" x14ac:dyDescent="0.25">
      <c r="A293" s="82">
        <f>'A) Base RI'!A292</f>
        <v>5890</v>
      </c>
      <c r="B293" s="62" t="str">
        <f>'A) Base RI'!B292</f>
        <v>Vevey</v>
      </c>
      <c r="C293" s="18">
        <f>'A) Base RI'!AN292</f>
        <v>18838</v>
      </c>
      <c r="D293" s="61">
        <f t="shared" si="23"/>
        <v>1000</v>
      </c>
      <c r="E293" s="18">
        <f t="shared" si="22"/>
        <v>2000</v>
      </c>
      <c r="F293" s="18">
        <f t="shared" si="22"/>
        <v>2000</v>
      </c>
      <c r="G293" s="18">
        <f t="shared" si="22"/>
        <v>4000</v>
      </c>
      <c r="H293" s="18">
        <f t="shared" si="22"/>
        <v>3000</v>
      </c>
      <c r="I293" s="73">
        <f t="shared" si="22"/>
        <v>3000</v>
      </c>
      <c r="J293" s="18">
        <f t="shared" si="27"/>
        <v>3838</v>
      </c>
      <c r="K293" s="98">
        <f t="shared" si="25"/>
        <v>13779900</v>
      </c>
    </row>
    <row r="294" spans="1:11" x14ac:dyDescent="0.25">
      <c r="A294" s="82">
        <f>'A) Base RI'!A293</f>
        <v>5891</v>
      </c>
      <c r="B294" s="62" t="str">
        <f>'A) Base RI'!B293</f>
        <v>Veytaux</v>
      </c>
      <c r="C294" s="18">
        <f>'A) Base RI'!AN293</f>
        <v>845</v>
      </c>
      <c r="D294" s="61">
        <f t="shared" si="23"/>
        <v>845</v>
      </c>
      <c r="E294" s="18">
        <f t="shared" si="22"/>
        <v>0</v>
      </c>
      <c r="F294" s="18">
        <f t="shared" si="22"/>
        <v>0</v>
      </c>
      <c r="G294" s="18">
        <f t="shared" si="22"/>
        <v>0</v>
      </c>
      <c r="H294" s="18">
        <f t="shared" si="22"/>
        <v>0</v>
      </c>
      <c r="I294" s="73">
        <f t="shared" si="22"/>
        <v>0</v>
      </c>
      <c r="J294" s="18">
        <f t="shared" si="27"/>
        <v>0</v>
      </c>
      <c r="K294" s="98">
        <f t="shared" si="25"/>
        <v>84500</v>
      </c>
    </row>
    <row r="295" spans="1:11" x14ac:dyDescent="0.25">
      <c r="A295" s="82">
        <f>'A) Base RI'!A294</f>
        <v>5902</v>
      </c>
      <c r="B295" s="62" t="str">
        <f>'A) Base RI'!B294</f>
        <v>Belmont-sur-Yverdon</v>
      </c>
      <c r="C295" s="18">
        <f>'A) Base RI'!AN294</f>
        <v>357</v>
      </c>
      <c r="D295" s="61">
        <f t="shared" ref="D295:D325" si="28">IF($C295&gt;D$4,IF($C295&lt;D$5,$C295-D$4,D$5-D$4),0)</f>
        <v>357</v>
      </c>
      <c r="E295" s="18">
        <f t="shared" si="22"/>
        <v>0</v>
      </c>
      <c r="F295" s="18">
        <f t="shared" si="22"/>
        <v>0</v>
      </c>
      <c r="G295" s="18">
        <f t="shared" si="22"/>
        <v>0</v>
      </c>
      <c r="H295" s="18">
        <f t="shared" si="22"/>
        <v>0</v>
      </c>
      <c r="I295" s="73">
        <f t="shared" si="22"/>
        <v>0</v>
      </c>
      <c r="J295" s="18">
        <f t="shared" si="27"/>
        <v>0</v>
      </c>
      <c r="K295" s="98">
        <f t="shared" si="25"/>
        <v>35700</v>
      </c>
    </row>
    <row r="296" spans="1:11" x14ac:dyDescent="0.25">
      <c r="A296" s="82">
        <f>'A) Base RI'!A295</f>
        <v>5903</v>
      </c>
      <c r="B296" s="62" t="str">
        <f>'A) Base RI'!B295</f>
        <v>Bioley-Magnoux</v>
      </c>
      <c r="C296" s="18">
        <f>'A) Base RI'!AN295</f>
        <v>196</v>
      </c>
      <c r="D296" s="61">
        <f t="shared" si="28"/>
        <v>196</v>
      </c>
      <c r="E296" s="18">
        <f t="shared" si="22"/>
        <v>0</v>
      </c>
      <c r="F296" s="18">
        <f t="shared" si="22"/>
        <v>0</v>
      </c>
      <c r="G296" s="18">
        <f t="shared" si="22"/>
        <v>0</v>
      </c>
      <c r="H296" s="18">
        <f t="shared" si="22"/>
        <v>0</v>
      </c>
      <c r="I296" s="73">
        <f t="shared" si="22"/>
        <v>0</v>
      </c>
      <c r="J296" s="18">
        <f t="shared" si="27"/>
        <v>0</v>
      </c>
      <c r="K296" s="98">
        <f t="shared" si="25"/>
        <v>19600</v>
      </c>
    </row>
    <row r="297" spans="1:11" x14ac:dyDescent="0.25">
      <c r="A297" s="82">
        <f>'A) Base RI'!A296</f>
        <v>5904</v>
      </c>
      <c r="B297" s="62" t="str">
        <f>'A) Base RI'!B296</f>
        <v>Chamblon</v>
      </c>
      <c r="C297" s="18">
        <f>'A) Base RI'!AN296</f>
        <v>590</v>
      </c>
      <c r="D297" s="61">
        <f t="shared" si="28"/>
        <v>590</v>
      </c>
      <c r="E297" s="18">
        <f t="shared" si="22"/>
        <v>0</v>
      </c>
      <c r="F297" s="18">
        <f t="shared" si="22"/>
        <v>0</v>
      </c>
      <c r="G297" s="18">
        <f t="shared" si="22"/>
        <v>0</v>
      </c>
      <c r="H297" s="18">
        <f t="shared" si="22"/>
        <v>0</v>
      </c>
      <c r="I297" s="73">
        <f t="shared" si="22"/>
        <v>0</v>
      </c>
      <c r="J297" s="18">
        <f t="shared" si="27"/>
        <v>0</v>
      </c>
      <c r="K297" s="98">
        <f t="shared" si="25"/>
        <v>59000</v>
      </c>
    </row>
    <row r="298" spans="1:11" x14ac:dyDescent="0.25">
      <c r="A298" s="82">
        <f>'A) Base RI'!A297</f>
        <v>5905</v>
      </c>
      <c r="B298" s="62" t="str">
        <f>'A) Base RI'!B297</f>
        <v>Champvent</v>
      </c>
      <c r="C298" s="18">
        <f>'A) Base RI'!AN297</f>
        <v>600</v>
      </c>
      <c r="D298" s="61">
        <f t="shared" si="28"/>
        <v>600</v>
      </c>
      <c r="E298" s="18">
        <f t="shared" si="22"/>
        <v>0</v>
      </c>
      <c r="F298" s="18">
        <f t="shared" si="22"/>
        <v>0</v>
      </c>
      <c r="G298" s="18">
        <f t="shared" si="22"/>
        <v>0</v>
      </c>
      <c r="H298" s="18">
        <f t="shared" si="22"/>
        <v>0</v>
      </c>
      <c r="I298" s="73">
        <f t="shared" si="22"/>
        <v>0</v>
      </c>
      <c r="J298" s="18">
        <f t="shared" si="27"/>
        <v>0</v>
      </c>
      <c r="K298" s="98">
        <f t="shared" si="25"/>
        <v>60000</v>
      </c>
    </row>
    <row r="299" spans="1:11" x14ac:dyDescent="0.25">
      <c r="A299" s="82">
        <f>'A) Base RI'!A298</f>
        <v>5907</v>
      </c>
      <c r="B299" s="62" t="str">
        <f>'A) Base RI'!B298</f>
        <v>Chavannes-le-Chêne</v>
      </c>
      <c r="C299" s="18">
        <f>'A) Base RI'!AN298</f>
        <v>274</v>
      </c>
      <c r="D299" s="61">
        <f t="shared" si="28"/>
        <v>274</v>
      </c>
      <c r="E299" s="18">
        <f t="shared" si="22"/>
        <v>0</v>
      </c>
      <c r="F299" s="18">
        <f t="shared" si="22"/>
        <v>0</v>
      </c>
      <c r="G299" s="18">
        <f t="shared" si="22"/>
        <v>0</v>
      </c>
      <c r="H299" s="18">
        <f t="shared" si="22"/>
        <v>0</v>
      </c>
      <c r="I299" s="73">
        <f t="shared" si="22"/>
        <v>0</v>
      </c>
      <c r="J299" s="18">
        <f t="shared" si="27"/>
        <v>0</v>
      </c>
      <c r="K299" s="98">
        <f t="shared" si="25"/>
        <v>27400</v>
      </c>
    </row>
    <row r="300" spans="1:11" x14ac:dyDescent="0.25">
      <c r="A300" s="82">
        <f>'A) Base RI'!A299</f>
        <v>5908</v>
      </c>
      <c r="B300" s="62" t="str">
        <f>'A) Base RI'!B299</f>
        <v>Chêne-Pâquier</v>
      </c>
      <c r="C300" s="18">
        <f>'A) Base RI'!AN299</f>
        <v>132</v>
      </c>
      <c r="D300" s="61">
        <f t="shared" si="28"/>
        <v>132</v>
      </c>
      <c r="E300" s="18">
        <f t="shared" si="22"/>
        <v>0</v>
      </c>
      <c r="F300" s="18">
        <f t="shared" si="22"/>
        <v>0</v>
      </c>
      <c r="G300" s="18">
        <f t="shared" si="22"/>
        <v>0</v>
      </c>
      <c r="H300" s="18">
        <f t="shared" si="22"/>
        <v>0</v>
      </c>
      <c r="I300" s="73">
        <f t="shared" si="22"/>
        <v>0</v>
      </c>
      <c r="J300" s="18">
        <f t="shared" si="27"/>
        <v>0</v>
      </c>
      <c r="K300" s="98">
        <f t="shared" si="25"/>
        <v>13200</v>
      </c>
    </row>
    <row r="301" spans="1:11" x14ac:dyDescent="0.25">
      <c r="A301" s="82">
        <f>'A) Base RI'!A300</f>
        <v>5909</v>
      </c>
      <c r="B301" s="62" t="str">
        <f>'A) Base RI'!B300</f>
        <v>Cheseaux-Noréaz</v>
      </c>
      <c r="C301" s="18">
        <f>'A) Base RI'!AN300</f>
        <v>663</v>
      </c>
      <c r="D301" s="61">
        <f t="shared" si="28"/>
        <v>663</v>
      </c>
      <c r="E301" s="18">
        <f t="shared" si="22"/>
        <v>0</v>
      </c>
      <c r="F301" s="18">
        <f t="shared" si="22"/>
        <v>0</v>
      </c>
      <c r="G301" s="18">
        <f t="shared" si="22"/>
        <v>0</v>
      </c>
      <c r="H301" s="18">
        <f t="shared" si="22"/>
        <v>0</v>
      </c>
      <c r="I301" s="73">
        <f t="shared" si="22"/>
        <v>0</v>
      </c>
      <c r="J301" s="18">
        <f t="shared" si="27"/>
        <v>0</v>
      </c>
      <c r="K301" s="98">
        <f t="shared" si="25"/>
        <v>66300</v>
      </c>
    </row>
    <row r="302" spans="1:11" x14ac:dyDescent="0.25">
      <c r="A302" s="82">
        <f>'A) Base RI'!A301</f>
        <v>5910</v>
      </c>
      <c r="B302" s="62" t="str">
        <f>'A) Base RI'!B301</f>
        <v>Cronay</v>
      </c>
      <c r="C302" s="18">
        <f>'A) Base RI'!AN301</f>
        <v>352</v>
      </c>
      <c r="D302" s="61">
        <f t="shared" si="28"/>
        <v>352</v>
      </c>
      <c r="E302" s="18">
        <f t="shared" si="22"/>
        <v>0</v>
      </c>
      <c r="F302" s="18">
        <f t="shared" si="22"/>
        <v>0</v>
      </c>
      <c r="G302" s="18">
        <f t="shared" si="22"/>
        <v>0</v>
      </c>
      <c r="H302" s="18">
        <f t="shared" si="22"/>
        <v>0</v>
      </c>
      <c r="I302" s="73">
        <f t="shared" ref="E302:I325" si="29">IF($C302&gt;I$4,IF($C302&lt;I$5,$C302-I$4,I$5-I$4),0)</f>
        <v>0</v>
      </c>
      <c r="J302" s="18">
        <f t="shared" si="27"/>
        <v>0</v>
      </c>
      <c r="K302" s="98">
        <f t="shared" si="25"/>
        <v>35200</v>
      </c>
    </row>
    <row r="303" spans="1:11" x14ac:dyDescent="0.25">
      <c r="A303" s="82">
        <f>'A) Base RI'!A302</f>
        <v>5911</v>
      </c>
      <c r="B303" s="62" t="str">
        <f>'A) Base RI'!B302</f>
        <v>Cuarny</v>
      </c>
      <c r="C303" s="18">
        <f>'A) Base RI'!AN302</f>
        <v>204</v>
      </c>
      <c r="D303" s="61">
        <f t="shared" si="28"/>
        <v>204</v>
      </c>
      <c r="E303" s="18">
        <f t="shared" si="29"/>
        <v>0</v>
      </c>
      <c r="F303" s="18">
        <f t="shared" si="29"/>
        <v>0</v>
      </c>
      <c r="G303" s="18">
        <f t="shared" si="29"/>
        <v>0</v>
      </c>
      <c r="H303" s="18">
        <f t="shared" si="29"/>
        <v>0</v>
      </c>
      <c r="I303" s="73">
        <f t="shared" si="29"/>
        <v>0</v>
      </c>
      <c r="J303" s="18">
        <f t="shared" si="27"/>
        <v>0</v>
      </c>
      <c r="K303" s="98">
        <f t="shared" si="25"/>
        <v>20400</v>
      </c>
    </row>
    <row r="304" spans="1:11" x14ac:dyDescent="0.25">
      <c r="A304" s="82">
        <f>'A) Base RI'!A303</f>
        <v>5912</v>
      </c>
      <c r="B304" s="62" t="str">
        <f>'A) Base RI'!B303</f>
        <v>Démoret</v>
      </c>
      <c r="C304" s="18">
        <f>'A) Base RI'!AN303</f>
        <v>126</v>
      </c>
      <c r="D304" s="61">
        <f t="shared" si="28"/>
        <v>126</v>
      </c>
      <c r="E304" s="18">
        <f t="shared" si="29"/>
        <v>0</v>
      </c>
      <c r="F304" s="18">
        <f t="shared" si="29"/>
        <v>0</v>
      </c>
      <c r="G304" s="18">
        <f t="shared" si="29"/>
        <v>0</v>
      </c>
      <c r="H304" s="18">
        <f t="shared" si="29"/>
        <v>0</v>
      </c>
      <c r="I304" s="73">
        <f t="shared" si="29"/>
        <v>0</v>
      </c>
      <c r="J304" s="18">
        <f t="shared" si="27"/>
        <v>0</v>
      </c>
      <c r="K304" s="98">
        <f t="shared" si="25"/>
        <v>12600</v>
      </c>
    </row>
    <row r="305" spans="1:11" x14ac:dyDescent="0.25">
      <c r="A305" s="82">
        <f>'A) Base RI'!A304</f>
        <v>5913</v>
      </c>
      <c r="B305" s="62" t="str">
        <f>'A) Base RI'!B304</f>
        <v>Donneloye</v>
      </c>
      <c r="C305" s="18">
        <f>'A) Base RI'!AN304</f>
        <v>728</v>
      </c>
      <c r="D305" s="61">
        <f t="shared" si="28"/>
        <v>728</v>
      </c>
      <c r="E305" s="18">
        <f t="shared" si="29"/>
        <v>0</v>
      </c>
      <c r="F305" s="18">
        <f t="shared" si="29"/>
        <v>0</v>
      </c>
      <c r="G305" s="18">
        <f t="shared" si="29"/>
        <v>0</v>
      </c>
      <c r="H305" s="18">
        <f t="shared" si="29"/>
        <v>0</v>
      </c>
      <c r="I305" s="73">
        <f t="shared" si="29"/>
        <v>0</v>
      </c>
      <c r="J305" s="18">
        <f t="shared" si="27"/>
        <v>0</v>
      </c>
      <c r="K305" s="98">
        <f t="shared" si="25"/>
        <v>72800</v>
      </c>
    </row>
    <row r="306" spans="1:11" x14ac:dyDescent="0.25">
      <c r="A306" s="82">
        <f>'A) Base RI'!A305</f>
        <v>5914</v>
      </c>
      <c r="B306" s="62" t="str">
        <f>'A) Base RI'!B305</f>
        <v>Ependes</v>
      </c>
      <c r="C306" s="18">
        <f>'A) Base RI'!AN305</f>
        <v>344</v>
      </c>
      <c r="D306" s="61">
        <f t="shared" si="28"/>
        <v>344</v>
      </c>
      <c r="E306" s="18">
        <f t="shared" si="29"/>
        <v>0</v>
      </c>
      <c r="F306" s="18">
        <f t="shared" si="29"/>
        <v>0</v>
      </c>
      <c r="G306" s="18">
        <f t="shared" si="29"/>
        <v>0</v>
      </c>
      <c r="H306" s="18">
        <f t="shared" si="29"/>
        <v>0</v>
      </c>
      <c r="I306" s="73">
        <f t="shared" si="29"/>
        <v>0</v>
      </c>
      <c r="J306" s="18">
        <f t="shared" si="27"/>
        <v>0</v>
      </c>
      <c r="K306" s="98">
        <f t="shared" si="25"/>
        <v>34400</v>
      </c>
    </row>
    <row r="307" spans="1:11" x14ac:dyDescent="0.25">
      <c r="A307" s="82">
        <f>'A) Base RI'!A306</f>
        <v>5915</v>
      </c>
      <c r="B307" s="62" t="str">
        <f>'A) Base RI'!B306</f>
        <v>Essert-Pittet</v>
      </c>
      <c r="C307" s="18">
        <f>'A) Base RI'!AN306</f>
        <v>151</v>
      </c>
      <c r="D307" s="61">
        <f t="shared" si="28"/>
        <v>151</v>
      </c>
      <c r="E307" s="18">
        <f t="shared" si="29"/>
        <v>0</v>
      </c>
      <c r="F307" s="18">
        <f t="shared" si="29"/>
        <v>0</v>
      </c>
      <c r="G307" s="18">
        <f t="shared" si="29"/>
        <v>0</v>
      </c>
      <c r="H307" s="18">
        <f t="shared" si="29"/>
        <v>0</v>
      </c>
      <c r="I307" s="73">
        <f t="shared" si="29"/>
        <v>0</v>
      </c>
      <c r="J307" s="18">
        <f t="shared" si="27"/>
        <v>0</v>
      </c>
      <c r="K307" s="98">
        <f t="shared" si="25"/>
        <v>15100</v>
      </c>
    </row>
    <row r="308" spans="1:11" x14ac:dyDescent="0.25">
      <c r="A308" s="82">
        <f>'A) Base RI'!A307</f>
        <v>5919</v>
      </c>
      <c r="B308" s="62" t="str">
        <f>'A) Base RI'!B307</f>
        <v>Mathod</v>
      </c>
      <c r="C308" s="18">
        <f>'A) Base RI'!AN307</f>
        <v>552</v>
      </c>
      <c r="D308" s="61">
        <f t="shared" si="28"/>
        <v>552</v>
      </c>
      <c r="E308" s="18">
        <f t="shared" si="29"/>
        <v>0</v>
      </c>
      <c r="F308" s="18">
        <f t="shared" si="29"/>
        <v>0</v>
      </c>
      <c r="G308" s="18">
        <f t="shared" si="29"/>
        <v>0</v>
      </c>
      <c r="H308" s="18">
        <f t="shared" si="29"/>
        <v>0</v>
      </c>
      <c r="I308" s="73">
        <f t="shared" si="29"/>
        <v>0</v>
      </c>
      <c r="J308" s="18">
        <f t="shared" si="27"/>
        <v>0</v>
      </c>
      <c r="K308" s="98">
        <f t="shared" si="25"/>
        <v>55200</v>
      </c>
    </row>
    <row r="309" spans="1:11" x14ac:dyDescent="0.25">
      <c r="A309" s="82">
        <f>'A) Base RI'!A308</f>
        <v>5921</v>
      </c>
      <c r="B309" s="62" t="str">
        <f>'A) Base RI'!B308</f>
        <v>Molondin</v>
      </c>
      <c r="C309" s="18">
        <f>'A) Base RI'!AN308</f>
        <v>228</v>
      </c>
      <c r="D309" s="61">
        <f t="shared" si="28"/>
        <v>228</v>
      </c>
      <c r="E309" s="18">
        <f t="shared" si="29"/>
        <v>0</v>
      </c>
      <c r="F309" s="18">
        <f t="shared" si="29"/>
        <v>0</v>
      </c>
      <c r="G309" s="18">
        <f t="shared" si="29"/>
        <v>0</v>
      </c>
      <c r="H309" s="18">
        <f t="shared" si="29"/>
        <v>0</v>
      </c>
      <c r="I309" s="73">
        <f t="shared" si="29"/>
        <v>0</v>
      </c>
      <c r="J309" s="18">
        <f t="shared" si="27"/>
        <v>0</v>
      </c>
      <c r="K309" s="98">
        <f t="shared" si="25"/>
        <v>22800</v>
      </c>
    </row>
    <row r="310" spans="1:11" x14ac:dyDescent="0.25">
      <c r="A310" s="82">
        <f>'A) Base RI'!A309</f>
        <v>5922</v>
      </c>
      <c r="B310" s="62" t="str">
        <f>'A) Base RI'!B309</f>
        <v>Montagny-près-Yverdon</v>
      </c>
      <c r="C310" s="18">
        <f>'A) Base RI'!AN309</f>
        <v>725</v>
      </c>
      <c r="D310" s="61">
        <f t="shared" si="28"/>
        <v>725</v>
      </c>
      <c r="E310" s="18">
        <f t="shared" si="29"/>
        <v>0</v>
      </c>
      <c r="F310" s="18">
        <f t="shared" si="29"/>
        <v>0</v>
      </c>
      <c r="G310" s="18">
        <f t="shared" si="29"/>
        <v>0</v>
      </c>
      <c r="H310" s="18">
        <f t="shared" si="29"/>
        <v>0</v>
      </c>
      <c r="I310" s="73">
        <f t="shared" si="29"/>
        <v>0</v>
      </c>
      <c r="J310" s="18">
        <f t="shared" si="27"/>
        <v>0</v>
      </c>
      <c r="K310" s="98">
        <f t="shared" si="25"/>
        <v>72500</v>
      </c>
    </row>
    <row r="311" spans="1:11" x14ac:dyDescent="0.25">
      <c r="A311" s="82">
        <f>'A) Base RI'!A310</f>
        <v>5923</v>
      </c>
      <c r="B311" s="62" t="str">
        <f>'A) Base RI'!B310</f>
        <v>Oppens</v>
      </c>
      <c r="C311" s="18">
        <f>'A) Base RI'!AN310</f>
        <v>176</v>
      </c>
      <c r="D311" s="61">
        <f t="shared" si="28"/>
        <v>176</v>
      </c>
      <c r="E311" s="18">
        <f t="shared" si="29"/>
        <v>0</v>
      </c>
      <c r="F311" s="18">
        <f t="shared" si="29"/>
        <v>0</v>
      </c>
      <c r="G311" s="18">
        <f t="shared" si="29"/>
        <v>0</v>
      </c>
      <c r="H311" s="18">
        <f t="shared" si="29"/>
        <v>0</v>
      </c>
      <c r="I311" s="73">
        <f t="shared" si="29"/>
        <v>0</v>
      </c>
      <c r="J311" s="18">
        <f t="shared" si="27"/>
        <v>0</v>
      </c>
      <c r="K311" s="98">
        <f t="shared" si="25"/>
        <v>17600</v>
      </c>
    </row>
    <row r="312" spans="1:11" x14ac:dyDescent="0.25">
      <c r="A312" s="82">
        <f>'A) Base RI'!A311</f>
        <v>5924</v>
      </c>
      <c r="B312" s="62" t="str">
        <f>'A) Base RI'!B311</f>
        <v>Orges</v>
      </c>
      <c r="C312" s="18">
        <f>'A) Base RI'!AN311</f>
        <v>274</v>
      </c>
      <c r="D312" s="61">
        <f t="shared" si="28"/>
        <v>274</v>
      </c>
      <c r="E312" s="18">
        <f t="shared" si="29"/>
        <v>0</v>
      </c>
      <c r="F312" s="18">
        <f t="shared" si="29"/>
        <v>0</v>
      </c>
      <c r="G312" s="18">
        <f t="shared" si="29"/>
        <v>0</v>
      </c>
      <c r="H312" s="18">
        <f t="shared" si="29"/>
        <v>0</v>
      </c>
      <c r="I312" s="73">
        <f t="shared" si="29"/>
        <v>0</v>
      </c>
      <c r="J312" s="18">
        <f t="shared" si="27"/>
        <v>0</v>
      </c>
      <c r="K312" s="98">
        <f t="shared" si="25"/>
        <v>27400</v>
      </c>
    </row>
    <row r="313" spans="1:11" x14ac:dyDescent="0.25">
      <c r="A313" s="82">
        <f>'A) Base RI'!A312</f>
        <v>5925</v>
      </c>
      <c r="B313" s="62" t="str">
        <f>'A) Base RI'!B312</f>
        <v>Orzens</v>
      </c>
      <c r="C313" s="18">
        <f>'A) Base RI'!AN312</f>
        <v>197</v>
      </c>
      <c r="D313" s="61">
        <f t="shared" si="28"/>
        <v>197</v>
      </c>
      <c r="E313" s="18">
        <f t="shared" si="29"/>
        <v>0</v>
      </c>
      <c r="F313" s="18">
        <f t="shared" si="29"/>
        <v>0</v>
      </c>
      <c r="G313" s="18">
        <f t="shared" si="29"/>
        <v>0</v>
      </c>
      <c r="H313" s="18">
        <f t="shared" si="29"/>
        <v>0</v>
      </c>
      <c r="I313" s="73">
        <f t="shared" si="29"/>
        <v>0</v>
      </c>
      <c r="J313" s="18">
        <f t="shared" si="27"/>
        <v>0</v>
      </c>
      <c r="K313" s="98">
        <f t="shared" si="25"/>
        <v>19700</v>
      </c>
    </row>
    <row r="314" spans="1:11" x14ac:dyDescent="0.25">
      <c r="A314" s="82">
        <f>'A) Base RI'!A313</f>
        <v>5926</v>
      </c>
      <c r="B314" s="62" t="str">
        <f>'A) Base RI'!B313</f>
        <v>Pomy</v>
      </c>
      <c r="C314" s="18">
        <f>'A) Base RI'!AN313</f>
        <v>735</v>
      </c>
      <c r="D314" s="61">
        <f t="shared" si="28"/>
        <v>735</v>
      </c>
      <c r="E314" s="18">
        <f t="shared" si="29"/>
        <v>0</v>
      </c>
      <c r="F314" s="18">
        <f t="shared" si="29"/>
        <v>0</v>
      </c>
      <c r="G314" s="18">
        <f t="shared" si="29"/>
        <v>0</v>
      </c>
      <c r="H314" s="18">
        <f t="shared" si="29"/>
        <v>0</v>
      </c>
      <c r="I314" s="73">
        <f t="shared" si="29"/>
        <v>0</v>
      </c>
      <c r="J314" s="18">
        <f t="shared" si="27"/>
        <v>0</v>
      </c>
      <c r="K314" s="98">
        <f t="shared" si="25"/>
        <v>73500</v>
      </c>
    </row>
    <row r="315" spans="1:11" x14ac:dyDescent="0.25">
      <c r="A315" s="82">
        <f>'A) Base RI'!A314</f>
        <v>5928</v>
      </c>
      <c r="B315" s="62" t="str">
        <f>'A) Base RI'!B314</f>
        <v>Rovray</v>
      </c>
      <c r="C315" s="18">
        <f>'A) Base RI'!AN314</f>
        <v>165</v>
      </c>
      <c r="D315" s="61">
        <f t="shared" si="28"/>
        <v>165</v>
      </c>
      <c r="E315" s="18">
        <f t="shared" si="29"/>
        <v>0</v>
      </c>
      <c r="F315" s="18">
        <f t="shared" si="29"/>
        <v>0</v>
      </c>
      <c r="G315" s="18">
        <f t="shared" si="29"/>
        <v>0</v>
      </c>
      <c r="H315" s="18">
        <f t="shared" si="29"/>
        <v>0</v>
      </c>
      <c r="I315" s="73">
        <f t="shared" si="29"/>
        <v>0</v>
      </c>
      <c r="J315" s="18">
        <f t="shared" si="27"/>
        <v>0</v>
      </c>
      <c r="K315" s="98">
        <f t="shared" si="25"/>
        <v>16500</v>
      </c>
    </row>
    <row r="316" spans="1:11" x14ac:dyDescent="0.25">
      <c r="A316" s="82">
        <f>'A) Base RI'!A315</f>
        <v>5929</v>
      </c>
      <c r="B316" s="62" t="str">
        <f>'A) Base RI'!B315</f>
        <v>Suchy</v>
      </c>
      <c r="C316" s="18">
        <f>'A) Base RI'!AN315</f>
        <v>525</v>
      </c>
      <c r="D316" s="61">
        <f t="shared" si="28"/>
        <v>525</v>
      </c>
      <c r="E316" s="18">
        <f t="shared" si="29"/>
        <v>0</v>
      </c>
      <c r="F316" s="18">
        <f t="shared" si="29"/>
        <v>0</v>
      </c>
      <c r="G316" s="18">
        <f t="shared" si="29"/>
        <v>0</v>
      </c>
      <c r="H316" s="18">
        <f t="shared" si="29"/>
        <v>0</v>
      </c>
      <c r="I316" s="73">
        <f t="shared" si="29"/>
        <v>0</v>
      </c>
      <c r="J316" s="18">
        <f t="shared" si="27"/>
        <v>0</v>
      </c>
      <c r="K316" s="98">
        <f t="shared" si="25"/>
        <v>52500</v>
      </c>
    </row>
    <row r="317" spans="1:11" x14ac:dyDescent="0.25">
      <c r="A317" s="82">
        <f>'A) Base RI'!A316</f>
        <v>5930</v>
      </c>
      <c r="B317" s="62" t="str">
        <f>'A) Base RI'!B316</f>
        <v>Suscévaz</v>
      </c>
      <c r="C317" s="18">
        <f>'A) Base RI'!AN316</f>
        <v>199</v>
      </c>
      <c r="D317" s="61">
        <f t="shared" si="28"/>
        <v>199</v>
      </c>
      <c r="E317" s="18">
        <f t="shared" si="29"/>
        <v>0</v>
      </c>
      <c r="F317" s="18">
        <f t="shared" si="29"/>
        <v>0</v>
      </c>
      <c r="G317" s="18">
        <f t="shared" si="29"/>
        <v>0</v>
      </c>
      <c r="H317" s="18">
        <f t="shared" si="29"/>
        <v>0</v>
      </c>
      <c r="I317" s="73">
        <f t="shared" si="29"/>
        <v>0</v>
      </c>
      <c r="J317" s="18">
        <f t="shared" si="27"/>
        <v>0</v>
      </c>
      <c r="K317" s="98">
        <f t="shared" si="25"/>
        <v>19900</v>
      </c>
    </row>
    <row r="318" spans="1:11" x14ac:dyDescent="0.25">
      <c r="A318" s="82">
        <f>'A) Base RI'!A317</f>
        <v>5931</v>
      </c>
      <c r="B318" s="62" t="str">
        <f>'A) Base RI'!B317</f>
        <v>Treycovagnes</v>
      </c>
      <c r="C318" s="18">
        <f>'A) Base RI'!AN317</f>
        <v>471</v>
      </c>
      <c r="D318" s="61">
        <f t="shared" si="28"/>
        <v>471</v>
      </c>
      <c r="E318" s="18">
        <f t="shared" si="29"/>
        <v>0</v>
      </c>
      <c r="F318" s="18">
        <f t="shared" si="29"/>
        <v>0</v>
      </c>
      <c r="G318" s="18">
        <f t="shared" si="29"/>
        <v>0</v>
      </c>
      <c r="H318" s="18">
        <f t="shared" si="29"/>
        <v>0</v>
      </c>
      <c r="I318" s="73">
        <f t="shared" si="29"/>
        <v>0</v>
      </c>
      <c r="J318" s="18">
        <f t="shared" si="27"/>
        <v>0</v>
      </c>
      <c r="K318" s="98">
        <f t="shared" si="25"/>
        <v>47100</v>
      </c>
    </row>
    <row r="319" spans="1:11" x14ac:dyDescent="0.25">
      <c r="A319" s="82">
        <f>'A) Base RI'!A318</f>
        <v>5932</v>
      </c>
      <c r="B319" s="62" t="str">
        <f>'A) Base RI'!B318</f>
        <v>Ursins</v>
      </c>
      <c r="C319" s="18">
        <f>'A) Base RI'!AN318</f>
        <v>208</v>
      </c>
      <c r="D319" s="61">
        <f t="shared" si="28"/>
        <v>208</v>
      </c>
      <c r="E319" s="18">
        <f t="shared" si="29"/>
        <v>0</v>
      </c>
      <c r="F319" s="18">
        <f t="shared" si="29"/>
        <v>0</v>
      </c>
      <c r="G319" s="18">
        <f t="shared" si="29"/>
        <v>0</v>
      </c>
      <c r="H319" s="18">
        <f t="shared" si="29"/>
        <v>0</v>
      </c>
      <c r="I319" s="73">
        <f t="shared" si="29"/>
        <v>0</v>
      </c>
      <c r="J319" s="18">
        <f t="shared" si="27"/>
        <v>0</v>
      </c>
      <c r="K319" s="98">
        <f t="shared" si="25"/>
        <v>20800</v>
      </c>
    </row>
    <row r="320" spans="1:11" x14ac:dyDescent="0.25">
      <c r="A320" s="82">
        <f>'A) Base RI'!A319</f>
        <v>5933</v>
      </c>
      <c r="B320" s="62" t="str">
        <f>'A) Base RI'!B319</f>
        <v>Valeyres-sous-Montagny</v>
      </c>
      <c r="C320" s="18">
        <f>'A) Base RI'!AN319</f>
        <v>642</v>
      </c>
      <c r="D320" s="61">
        <f t="shared" si="28"/>
        <v>642</v>
      </c>
      <c r="E320" s="18">
        <f t="shared" si="29"/>
        <v>0</v>
      </c>
      <c r="F320" s="18">
        <f t="shared" si="29"/>
        <v>0</v>
      </c>
      <c r="G320" s="18">
        <f t="shared" si="29"/>
        <v>0</v>
      </c>
      <c r="H320" s="18">
        <f t="shared" si="29"/>
        <v>0</v>
      </c>
      <c r="I320" s="73">
        <f t="shared" si="29"/>
        <v>0</v>
      </c>
      <c r="J320" s="18">
        <f t="shared" si="27"/>
        <v>0</v>
      </c>
      <c r="K320" s="98">
        <f t="shared" si="25"/>
        <v>64200</v>
      </c>
    </row>
    <row r="321" spans="1:11" x14ac:dyDescent="0.25">
      <c r="A321" s="82">
        <f>'A) Base RI'!A320</f>
        <v>5934</v>
      </c>
      <c r="B321" s="62" t="str">
        <f>'A) Base RI'!B320</f>
        <v>Valeyres-sous-Ursins</v>
      </c>
      <c r="C321" s="18">
        <f>'A) Base RI'!AN320</f>
        <v>241</v>
      </c>
      <c r="D321" s="61">
        <f t="shared" si="28"/>
        <v>241</v>
      </c>
      <c r="E321" s="18">
        <f t="shared" si="29"/>
        <v>0</v>
      </c>
      <c r="F321" s="18">
        <f t="shared" si="29"/>
        <v>0</v>
      </c>
      <c r="G321" s="18">
        <f t="shared" si="29"/>
        <v>0</v>
      </c>
      <c r="H321" s="18">
        <f t="shared" si="29"/>
        <v>0</v>
      </c>
      <c r="I321" s="73">
        <f t="shared" si="29"/>
        <v>0</v>
      </c>
      <c r="J321" s="18">
        <f t="shared" si="27"/>
        <v>0</v>
      </c>
      <c r="K321" s="98">
        <f t="shared" si="25"/>
        <v>24100</v>
      </c>
    </row>
    <row r="322" spans="1:11" x14ac:dyDescent="0.25">
      <c r="A322" s="82">
        <f>'A) Base RI'!A321</f>
        <v>5935</v>
      </c>
      <c r="B322" s="62" t="str">
        <f>'A) Base RI'!B321</f>
        <v>Villars-Epeney</v>
      </c>
      <c r="C322" s="18">
        <f>'A) Base RI'!AN321</f>
        <v>89</v>
      </c>
      <c r="D322" s="61">
        <f t="shared" si="28"/>
        <v>89</v>
      </c>
      <c r="E322" s="18">
        <f t="shared" si="29"/>
        <v>0</v>
      </c>
      <c r="F322" s="18">
        <f t="shared" si="29"/>
        <v>0</v>
      </c>
      <c r="G322" s="18">
        <f t="shared" si="29"/>
        <v>0</v>
      </c>
      <c r="H322" s="18">
        <f t="shared" si="29"/>
        <v>0</v>
      </c>
      <c r="I322" s="73">
        <f t="shared" si="29"/>
        <v>0</v>
      </c>
      <c r="J322" s="18">
        <f t="shared" si="27"/>
        <v>0</v>
      </c>
      <c r="K322" s="98">
        <f t="shared" si="25"/>
        <v>8900</v>
      </c>
    </row>
    <row r="323" spans="1:11" x14ac:dyDescent="0.25">
      <c r="A323" s="82">
        <f>'A) Base RI'!A322</f>
        <v>5937</v>
      </c>
      <c r="B323" s="62" t="str">
        <f>'A) Base RI'!B322</f>
        <v>Vugelles-La Mothe</v>
      </c>
      <c r="C323" s="18">
        <f>'A) Base RI'!AN322</f>
        <v>137</v>
      </c>
      <c r="D323" s="61">
        <f t="shared" si="28"/>
        <v>137</v>
      </c>
      <c r="E323" s="18">
        <f t="shared" si="29"/>
        <v>0</v>
      </c>
      <c r="F323" s="18">
        <f t="shared" si="29"/>
        <v>0</v>
      </c>
      <c r="G323" s="18">
        <f t="shared" si="29"/>
        <v>0</v>
      </c>
      <c r="H323" s="18">
        <f t="shared" si="29"/>
        <v>0</v>
      </c>
      <c r="I323" s="73">
        <f t="shared" si="29"/>
        <v>0</v>
      </c>
      <c r="J323" s="18">
        <f t="shared" si="27"/>
        <v>0</v>
      </c>
      <c r="K323" s="98">
        <f t="shared" si="25"/>
        <v>13700</v>
      </c>
    </row>
    <row r="324" spans="1:11" x14ac:dyDescent="0.25">
      <c r="A324" s="82">
        <f>'A) Base RI'!A323</f>
        <v>5938</v>
      </c>
      <c r="B324" s="62" t="str">
        <f>'A) Base RI'!B323</f>
        <v>Yverdon-les-Bains</v>
      </c>
      <c r="C324" s="18">
        <f>'A) Base RI'!AN323</f>
        <v>28972</v>
      </c>
      <c r="D324" s="61">
        <f t="shared" si="28"/>
        <v>1000</v>
      </c>
      <c r="E324" s="18">
        <f t="shared" si="29"/>
        <v>2000</v>
      </c>
      <c r="F324" s="18">
        <f t="shared" si="29"/>
        <v>2000</v>
      </c>
      <c r="G324" s="18">
        <f t="shared" si="29"/>
        <v>4000</v>
      </c>
      <c r="H324" s="18">
        <f t="shared" si="29"/>
        <v>3000</v>
      </c>
      <c r="I324" s="73">
        <f t="shared" si="29"/>
        <v>3000</v>
      </c>
      <c r="J324" s="18">
        <f t="shared" si="27"/>
        <v>13972</v>
      </c>
      <c r="K324" s="98">
        <f t="shared" si="25"/>
        <v>24420600</v>
      </c>
    </row>
    <row r="325" spans="1:11" x14ac:dyDescent="0.25">
      <c r="A325" s="84">
        <f>'A) Base RI'!A324</f>
        <v>5939</v>
      </c>
      <c r="B325" s="85" t="str">
        <f>'A) Base RI'!B324</f>
        <v>Yvonand</v>
      </c>
      <c r="C325" s="43">
        <f>'A) Base RI'!AN324</f>
        <v>3095</v>
      </c>
      <c r="D325" s="185">
        <f t="shared" si="28"/>
        <v>1000</v>
      </c>
      <c r="E325" s="43">
        <f t="shared" si="29"/>
        <v>2000</v>
      </c>
      <c r="F325" s="43">
        <f t="shared" si="29"/>
        <v>95</v>
      </c>
      <c r="G325" s="43">
        <f t="shared" si="29"/>
        <v>0</v>
      </c>
      <c r="H325" s="43">
        <f t="shared" si="29"/>
        <v>0</v>
      </c>
      <c r="I325" s="126">
        <f t="shared" si="29"/>
        <v>0</v>
      </c>
      <c r="J325" s="43">
        <f t="shared" si="27"/>
        <v>0</v>
      </c>
      <c r="K325" s="172">
        <f t="shared" si="25"/>
        <v>847500</v>
      </c>
    </row>
    <row r="326" spans="1:11" x14ac:dyDescent="0.25">
      <c r="B326" s="99">
        <f>COUNTA(B8:B325)</f>
        <v>318</v>
      </c>
      <c r="C326" s="43">
        <f>SUM(C8:C325)</f>
        <v>755369</v>
      </c>
      <c r="D326" s="21">
        <f t="shared" ref="D326:J326" si="30">SUM(D8:D325)</f>
        <v>213052</v>
      </c>
      <c r="E326" s="21">
        <f t="shared" si="30"/>
        <v>157641</v>
      </c>
      <c r="F326" s="21">
        <f t="shared" si="30"/>
        <v>79067</v>
      </c>
      <c r="G326" s="21">
        <f t="shared" si="30"/>
        <v>83948</v>
      </c>
      <c r="H326" s="21">
        <f t="shared" si="30"/>
        <v>36657</v>
      </c>
      <c r="I326" s="21">
        <f t="shared" si="30"/>
        <v>24663</v>
      </c>
      <c r="J326" s="43">
        <f t="shared" si="30"/>
        <v>160341</v>
      </c>
      <c r="K326" s="172">
        <f>SUM(K8:K325)</f>
        <v>390561350</v>
      </c>
    </row>
    <row r="327" spans="1:11" x14ac:dyDescent="0.25">
      <c r="C327" s="130"/>
    </row>
    <row r="337" spans="3:3" x14ac:dyDescent="0.25">
      <c r="C337" s="103"/>
    </row>
  </sheetData>
  <sheetProtection sheet="1" objects="1" scenarios="1"/>
  <mergeCells count="6">
    <mergeCell ref="K6:K7"/>
    <mergeCell ref="C3:J3"/>
    <mergeCell ref="A6:A7"/>
    <mergeCell ref="B6:B7"/>
    <mergeCell ref="C6:C7"/>
    <mergeCell ref="D6:J6"/>
  </mergeCells>
  <phoneticPr fontId="6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323"/>
  <sheetViews>
    <sheetView workbookViewId="0"/>
  </sheetViews>
  <sheetFormatPr baseColWidth="10" defaultColWidth="11" defaultRowHeight="15" x14ac:dyDescent="0.25"/>
  <cols>
    <col min="1" max="1" width="7.25" style="24" customWidth="1"/>
    <col min="2" max="2" width="25.375" style="24" customWidth="1"/>
    <col min="3" max="3" width="10" style="24" customWidth="1"/>
    <col min="4" max="4" width="13.625" style="24" customWidth="1"/>
    <col min="5" max="5" width="10.5" style="24" customWidth="1"/>
    <col min="6" max="6" width="12.25" style="25" customWidth="1"/>
    <col min="7" max="7" width="11" style="27"/>
    <col min="8" max="8" width="11" style="24"/>
    <col min="9" max="9" width="13.375" style="9" customWidth="1"/>
    <col min="10" max="12" width="11" style="24"/>
    <col min="13" max="13" width="11.625" style="27" bestFit="1" customWidth="1"/>
    <col min="14" max="16384" width="11" style="24"/>
  </cols>
  <sheetData>
    <row r="1" spans="1:12" ht="21" x14ac:dyDescent="0.25">
      <c r="A1" s="86" t="s">
        <v>526</v>
      </c>
      <c r="B1" s="74"/>
      <c r="C1" s="156"/>
      <c r="D1" s="156"/>
    </row>
    <row r="3" spans="1:12" ht="60" x14ac:dyDescent="0.25">
      <c r="A3" s="435" t="s">
        <v>53</v>
      </c>
      <c r="B3" s="435" t="s">
        <v>123</v>
      </c>
      <c r="C3" s="435" t="s">
        <v>350</v>
      </c>
      <c r="D3" s="435" t="s">
        <v>4</v>
      </c>
      <c r="E3" s="203" t="s">
        <v>402</v>
      </c>
      <c r="F3" s="438" t="s">
        <v>358</v>
      </c>
      <c r="G3" s="459" t="s">
        <v>94</v>
      </c>
      <c r="H3" s="435" t="s">
        <v>400</v>
      </c>
      <c r="I3" s="438" t="s">
        <v>401</v>
      </c>
    </row>
    <row r="4" spans="1:12" x14ac:dyDescent="0.25">
      <c r="A4" s="437"/>
      <c r="B4" s="437"/>
      <c r="C4" s="437"/>
      <c r="D4" s="436"/>
      <c r="E4" s="204">
        <f>+Paramètres!B28</f>
        <v>0.27</v>
      </c>
      <c r="F4" s="440"/>
      <c r="G4" s="460"/>
      <c r="H4" s="437"/>
      <c r="I4" s="440"/>
    </row>
    <row r="5" spans="1:12" x14ac:dyDescent="0.25">
      <c r="A5" s="78">
        <f>'A) Base RI'!A7</f>
        <v>5401</v>
      </c>
      <c r="B5" s="152" t="str">
        <f>'A) Base RI'!B7</f>
        <v>Aigle</v>
      </c>
      <c r="C5" s="157">
        <f>'A) Base RI'!AN7</f>
        <v>9771</v>
      </c>
      <c r="D5" s="198">
        <f>'D) Ecrêtage'!O5</f>
        <v>26.232158220786893</v>
      </c>
      <c r="E5" s="187">
        <f t="shared" ref="E5:E15" si="0">IF($D$323-D5&lt;0,0,$D$323-D5)</f>
        <v>17.623672944073874</v>
      </c>
      <c r="F5" s="202">
        <f t="shared" ref="F5:F68" si="1">(C5*E5*G5)*$E$4</f>
        <v>3138361.5544335479</v>
      </c>
      <c r="G5" s="182">
        <f>'A) Base RI'!AM7</f>
        <v>67.5</v>
      </c>
      <c r="H5" s="188">
        <f>G5/$G$323</f>
        <v>0.99436512080671746</v>
      </c>
      <c r="I5" s="205">
        <f>F5*H5</f>
        <v>3120677.2662094724</v>
      </c>
      <c r="J5" s="81"/>
      <c r="K5" s="189"/>
      <c r="L5" s="27"/>
    </row>
    <row r="6" spans="1:12" x14ac:dyDescent="0.25">
      <c r="A6" s="82">
        <f>'A) Base RI'!A8</f>
        <v>5402</v>
      </c>
      <c r="B6" s="14" t="str">
        <f>'A) Base RI'!B8</f>
        <v>Bex</v>
      </c>
      <c r="C6" s="158">
        <f>'A) Base RI'!AN8</f>
        <v>7007</v>
      </c>
      <c r="D6" s="199">
        <f>'D) Ecrêtage'!O6</f>
        <v>23.365845381982201</v>
      </c>
      <c r="E6" s="64">
        <f t="shared" si="0"/>
        <v>20.489985782878566</v>
      </c>
      <c r="F6" s="202">
        <f t="shared" si="1"/>
        <v>2752300.7433966794</v>
      </c>
      <c r="G6" s="183">
        <f>'A) Base RI'!AM8</f>
        <v>71</v>
      </c>
      <c r="H6" s="191">
        <f t="shared" ref="H6:H69" si="2">G6/$G$323</f>
        <v>1.0459247937374361</v>
      </c>
      <c r="I6" s="206">
        <f t="shared" ref="I6:I61" si="3">F6*H6</f>
        <v>2878699.587340564</v>
      </c>
      <c r="J6" s="81"/>
      <c r="L6" s="192"/>
    </row>
    <row r="7" spans="1:12" x14ac:dyDescent="0.25">
      <c r="A7" s="82">
        <f>'A) Base RI'!A9</f>
        <v>5403</v>
      </c>
      <c r="B7" s="14" t="str">
        <f>'A) Base RI'!B9</f>
        <v>Chessel</v>
      </c>
      <c r="C7" s="158">
        <f>'A) Base RI'!AN9</f>
        <v>362</v>
      </c>
      <c r="D7" s="199">
        <f>'D) Ecrêtage'!O7</f>
        <v>21.620531041000294</v>
      </c>
      <c r="E7" s="64">
        <f t="shared" si="0"/>
        <v>22.235300123860473</v>
      </c>
      <c r="F7" s="202">
        <f t="shared" si="1"/>
        <v>165169.14579206533</v>
      </c>
      <c r="G7" s="183">
        <f>'A) Base RI'!AM9</f>
        <v>76</v>
      </c>
      <c r="H7" s="191">
        <f t="shared" si="2"/>
        <v>1.1195814693527486</v>
      </c>
      <c r="I7" s="206">
        <f t="shared" si="3"/>
        <v>184920.31493761885</v>
      </c>
      <c r="J7" s="81"/>
      <c r="L7" s="192"/>
    </row>
    <row r="8" spans="1:12" x14ac:dyDescent="0.25">
      <c r="A8" s="82">
        <f>'A) Base RI'!A10</f>
        <v>5404</v>
      </c>
      <c r="B8" s="14" t="str">
        <f>'A) Base RI'!B10</f>
        <v>Corbeyrier</v>
      </c>
      <c r="C8" s="158">
        <f>'A) Base RI'!AN10</f>
        <v>421</v>
      </c>
      <c r="D8" s="199">
        <f>'D) Ecrêtage'!O8</f>
        <v>20.813693812917091</v>
      </c>
      <c r="E8" s="64">
        <f t="shared" si="0"/>
        <v>23.042137351943676</v>
      </c>
      <c r="F8" s="202">
        <f t="shared" si="1"/>
        <v>183343.98269568066</v>
      </c>
      <c r="G8" s="183">
        <f>'A) Base RI'!AM10</f>
        <v>70</v>
      </c>
      <c r="H8" s="191">
        <f t="shared" si="2"/>
        <v>1.0311934586143736</v>
      </c>
      <c r="I8" s="206">
        <f t="shared" si="3"/>
        <v>189063.11563209281</v>
      </c>
    </row>
    <row r="9" spans="1:12" x14ac:dyDescent="0.25">
      <c r="A9" s="82">
        <f>'A) Base RI'!A11</f>
        <v>5405</v>
      </c>
      <c r="B9" s="14" t="str">
        <f>'A) Base RI'!B11</f>
        <v>Gryon</v>
      </c>
      <c r="C9" s="158">
        <f>'A) Base RI'!AN11</f>
        <v>1248</v>
      </c>
      <c r="D9" s="199">
        <f>'D) Ecrêtage'!O9</f>
        <v>53.836299501424492</v>
      </c>
      <c r="E9" s="64">
        <f t="shared" si="0"/>
        <v>0</v>
      </c>
      <c r="F9" s="202">
        <f t="shared" si="1"/>
        <v>0</v>
      </c>
      <c r="G9" s="183">
        <f>'A) Base RI'!AM11</f>
        <v>75</v>
      </c>
      <c r="H9" s="191">
        <f t="shared" si="2"/>
        <v>1.1048501342296861</v>
      </c>
      <c r="I9" s="206">
        <f t="shared" si="3"/>
        <v>0</v>
      </c>
    </row>
    <row r="10" spans="1:12" x14ac:dyDescent="0.25">
      <c r="A10" s="82">
        <f>'A) Base RI'!A12</f>
        <v>5406</v>
      </c>
      <c r="B10" s="14" t="str">
        <f>'A) Base RI'!B12</f>
        <v>Lavey-Morcles</v>
      </c>
      <c r="C10" s="158">
        <f>'A) Base RI'!AN12</f>
        <v>885</v>
      </c>
      <c r="D10" s="199">
        <f>'D) Ecrêtage'!O10</f>
        <v>21.706159795802197</v>
      </c>
      <c r="E10" s="64">
        <f t="shared" si="0"/>
        <v>22.14967136905857</v>
      </c>
      <c r="F10" s="202">
        <f t="shared" si="1"/>
        <v>375779.14212819468</v>
      </c>
      <c r="G10" s="183">
        <f>'A) Base RI'!AM12</f>
        <v>71</v>
      </c>
      <c r="H10" s="191">
        <f t="shared" si="2"/>
        <v>1.0459247937374361</v>
      </c>
      <c r="I10" s="206">
        <f t="shared" si="3"/>
        <v>393036.72172126267</v>
      </c>
    </row>
    <row r="11" spans="1:12" x14ac:dyDescent="0.25">
      <c r="A11" s="82">
        <f>'A) Base RI'!A13</f>
        <v>5407</v>
      </c>
      <c r="B11" s="14" t="str">
        <f>'A) Base RI'!B13</f>
        <v>Leysin</v>
      </c>
      <c r="C11" s="158">
        <f>'A) Base RI'!AN13</f>
        <v>4050</v>
      </c>
      <c r="D11" s="199">
        <f>'D) Ecrêtage'!O11</f>
        <v>24.622489638071123</v>
      </c>
      <c r="E11" s="64">
        <f t="shared" si="0"/>
        <v>19.233341526789644</v>
      </c>
      <c r="F11" s="202">
        <f t="shared" si="1"/>
        <v>1640469.3988444691</v>
      </c>
      <c r="G11" s="183">
        <f>'A) Base RI'!AM13</f>
        <v>78</v>
      </c>
      <c r="H11" s="191">
        <f t="shared" si="2"/>
        <v>1.1490441395988735</v>
      </c>
      <c r="I11" s="206">
        <f t="shared" si="3"/>
        <v>1884971.7489335244</v>
      </c>
    </row>
    <row r="12" spans="1:12" x14ac:dyDescent="0.25">
      <c r="A12" s="82">
        <f>'A) Base RI'!A14</f>
        <v>5408</v>
      </c>
      <c r="B12" s="14" t="str">
        <f>'A) Base RI'!B14</f>
        <v>Noville</v>
      </c>
      <c r="C12" s="158">
        <f>'A) Base RI'!AN14</f>
        <v>971</v>
      </c>
      <c r="D12" s="199">
        <f>'D) Ecrêtage'!O12</f>
        <v>28.611814903977557</v>
      </c>
      <c r="E12" s="64">
        <f t="shared" si="0"/>
        <v>15.24401626088321</v>
      </c>
      <c r="F12" s="202">
        <f t="shared" si="1"/>
        <v>313727.11383458652</v>
      </c>
      <c r="G12" s="183">
        <f>'A) Base RI'!AM14</f>
        <v>78.5</v>
      </c>
      <c r="H12" s="191">
        <f t="shared" si="2"/>
        <v>1.1564098071604048</v>
      </c>
      <c r="I12" s="206">
        <f t="shared" si="3"/>
        <v>362797.11121044453</v>
      </c>
    </row>
    <row r="13" spans="1:12" x14ac:dyDescent="0.25">
      <c r="A13" s="82">
        <f>'A) Base RI'!A15</f>
        <v>5409</v>
      </c>
      <c r="B13" s="14" t="str">
        <f>'A) Base RI'!B15</f>
        <v>Ollon</v>
      </c>
      <c r="C13" s="158">
        <f>'A) Base RI'!AN15</f>
        <v>7152</v>
      </c>
      <c r="D13" s="199">
        <f>'D) Ecrêtage'!O13</f>
        <v>52.155489726317718</v>
      </c>
      <c r="E13" s="64">
        <f t="shared" si="0"/>
        <v>0</v>
      </c>
      <c r="F13" s="202">
        <f t="shared" si="1"/>
        <v>0</v>
      </c>
      <c r="G13" s="183">
        <f>'A) Base RI'!AM15</f>
        <v>68</v>
      </c>
      <c r="H13" s="191">
        <f t="shared" si="2"/>
        <v>1.0017307883682487</v>
      </c>
      <c r="I13" s="206">
        <f t="shared" si="3"/>
        <v>0</v>
      </c>
    </row>
    <row r="14" spans="1:12" x14ac:dyDescent="0.25">
      <c r="A14" s="82">
        <f>'A) Base RI'!A16</f>
        <v>5410</v>
      </c>
      <c r="B14" s="14" t="str">
        <f>'A) Base RI'!B16</f>
        <v>Ormont-Dessous</v>
      </c>
      <c r="C14" s="158">
        <f>'A) Base RI'!AN16</f>
        <v>1072</v>
      </c>
      <c r="D14" s="199">
        <f>'D) Ecrêtage'!O14</f>
        <v>29.509694521025445</v>
      </c>
      <c r="E14" s="64">
        <f t="shared" si="0"/>
        <v>14.346136643835322</v>
      </c>
      <c r="F14" s="202">
        <f t="shared" si="1"/>
        <v>325959.14453004813</v>
      </c>
      <c r="G14" s="183">
        <f>'A) Base RI'!AM16</f>
        <v>78.5</v>
      </c>
      <c r="H14" s="191">
        <f t="shared" si="2"/>
        <v>1.1564098071604048</v>
      </c>
      <c r="I14" s="206">
        <f t="shared" si="3"/>
        <v>376942.35146816348</v>
      </c>
    </row>
    <row r="15" spans="1:12" x14ac:dyDescent="0.25">
      <c r="A15" s="82">
        <f>'A) Base RI'!A17</f>
        <v>5411</v>
      </c>
      <c r="B15" s="14" t="str">
        <f>'A) Base RI'!B17</f>
        <v>Ormont-Dessus</v>
      </c>
      <c r="C15" s="158">
        <f>'A) Base RI'!AN17</f>
        <v>1457</v>
      </c>
      <c r="D15" s="199">
        <f>'D) Ecrêtage'!O15</f>
        <v>46.686383442467864</v>
      </c>
      <c r="E15" s="64">
        <f t="shared" si="0"/>
        <v>0</v>
      </c>
      <c r="F15" s="202">
        <f t="shared" si="1"/>
        <v>0</v>
      </c>
      <c r="G15" s="183">
        <f>'A) Base RI'!AM17</f>
        <v>74</v>
      </c>
      <c r="H15" s="191">
        <f t="shared" si="2"/>
        <v>1.0901187991066237</v>
      </c>
      <c r="I15" s="206">
        <f t="shared" si="3"/>
        <v>0</v>
      </c>
    </row>
    <row r="16" spans="1:12" x14ac:dyDescent="0.25">
      <c r="A16" s="82">
        <f>'A) Base RI'!A18</f>
        <v>5412</v>
      </c>
      <c r="B16" s="14" t="str">
        <f>'A) Base RI'!B18</f>
        <v>Rennaz</v>
      </c>
      <c r="C16" s="158">
        <f>'A) Base RI'!AN18</f>
        <v>802</v>
      </c>
      <c r="D16" s="199">
        <f>'D) Ecrêtage'!O16</f>
        <v>30.610552359259326</v>
      </c>
      <c r="E16" s="64">
        <f t="shared" ref="E16:E79" si="4">IF($D$323-D16&lt;0,0,$D$323-D16)</f>
        <v>13.245278805601441</v>
      </c>
      <c r="F16" s="202">
        <f t="shared" si="1"/>
        <v>182126.42470787343</v>
      </c>
      <c r="G16" s="183">
        <f>'A) Base RI'!AM18</f>
        <v>63.5</v>
      </c>
      <c r="H16" s="191">
        <f t="shared" si="2"/>
        <v>0.93543978031446751</v>
      </c>
      <c r="I16" s="206">
        <f t="shared" si="3"/>
        <v>170368.30271819254</v>
      </c>
    </row>
    <row r="17" spans="1:9" x14ac:dyDescent="0.25">
      <c r="A17" s="82">
        <f>'A) Base RI'!A19</f>
        <v>5413</v>
      </c>
      <c r="B17" s="14" t="str">
        <f>'A) Base RI'!B19</f>
        <v>Roche</v>
      </c>
      <c r="C17" s="158">
        <f>'A) Base RI'!AN19</f>
        <v>1499</v>
      </c>
      <c r="D17" s="199">
        <f>'D) Ecrêtage'!O17</f>
        <v>23.605017266412901</v>
      </c>
      <c r="E17" s="64">
        <f t="shared" si="4"/>
        <v>20.250813898447866</v>
      </c>
      <c r="F17" s="202">
        <f t="shared" si="1"/>
        <v>557335.60982007871</v>
      </c>
      <c r="G17" s="183">
        <f>'A) Base RI'!AM19</f>
        <v>68</v>
      </c>
      <c r="H17" s="191">
        <f t="shared" si="2"/>
        <v>1.0017307883682487</v>
      </c>
      <c r="I17" s="206">
        <f t="shared" si="3"/>
        <v>558300.23981076607</v>
      </c>
    </row>
    <row r="18" spans="1:9" x14ac:dyDescent="0.25">
      <c r="A18" s="82">
        <f>'A) Base RI'!A20</f>
        <v>5414</v>
      </c>
      <c r="B18" s="14" t="str">
        <f>'A) Base RI'!B20</f>
        <v>Villeneuve</v>
      </c>
      <c r="C18" s="158">
        <f>'A) Base RI'!AN20</f>
        <v>5188</v>
      </c>
      <c r="D18" s="199">
        <f>'D) Ecrêtage'!O18</f>
        <v>34.38086168750629</v>
      </c>
      <c r="E18" s="64">
        <f t="shared" si="4"/>
        <v>9.4749694773544775</v>
      </c>
      <c r="F18" s="202">
        <f t="shared" si="1"/>
        <v>915778.91891183495</v>
      </c>
      <c r="G18" s="183">
        <f>'A) Base RI'!AM20</f>
        <v>69</v>
      </c>
      <c r="H18" s="191">
        <f t="shared" si="2"/>
        <v>1.0164621234913112</v>
      </c>
      <c r="I18" s="206">
        <f t="shared" si="3"/>
        <v>930854.58456570096</v>
      </c>
    </row>
    <row r="19" spans="1:9" x14ac:dyDescent="0.25">
      <c r="A19" s="82">
        <f>'A) Base RI'!A21</f>
        <v>5415</v>
      </c>
      <c r="B19" s="14" t="str">
        <f>'A) Base RI'!B21</f>
        <v>Yvorne</v>
      </c>
      <c r="C19" s="158">
        <f>'A) Base RI'!AN21</f>
        <v>1039</v>
      </c>
      <c r="D19" s="199">
        <f>'D) Ecrêtage'!O19</f>
        <v>38.569318570869896</v>
      </c>
      <c r="E19" s="64">
        <f t="shared" si="4"/>
        <v>5.2865125939908708</v>
      </c>
      <c r="F19" s="202">
        <f t="shared" si="1"/>
        <v>101587.23839246975</v>
      </c>
      <c r="G19" s="183">
        <f>'A) Base RI'!AM21</f>
        <v>68.5</v>
      </c>
      <c r="H19" s="191">
        <f t="shared" si="2"/>
        <v>1.0090964559297799</v>
      </c>
      <c r="I19" s="206">
        <f t="shared" si="3"/>
        <v>102511.3222295349</v>
      </c>
    </row>
    <row r="20" spans="1:9" x14ac:dyDescent="0.25">
      <c r="A20" s="82">
        <f>'A) Base RI'!A22</f>
        <v>5421</v>
      </c>
      <c r="B20" s="14" t="str">
        <f>'A) Base RI'!B22</f>
        <v>Apples</v>
      </c>
      <c r="C20" s="158">
        <f>'A) Base RI'!AN22</f>
        <v>1341</v>
      </c>
      <c r="D20" s="199">
        <f>'D) Ecrêtage'!O20</f>
        <v>36.670271817332029</v>
      </c>
      <c r="E20" s="64">
        <f t="shared" si="4"/>
        <v>7.1855593475287378</v>
      </c>
      <c r="F20" s="202">
        <f t="shared" si="1"/>
        <v>184718.95858014084</v>
      </c>
      <c r="G20" s="183">
        <f>'A) Base RI'!AM22</f>
        <v>71</v>
      </c>
      <c r="H20" s="191">
        <f t="shared" si="2"/>
        <v>1.0459247937374361</v>
      </c>
      <c r="I20" s="206">
        <f t="shared" si="3"/>
        <v>193202.13865232782</v>
      </c>
    </row>
    <row r="21" spans="1:9" x14ac:dyDescent="0.25">
      <c r="A21" s="82">
        <f>'A) Base RI'!A23</f>
        <v>5422</v>
      </c>
      <c r="B21" s="14" t="str">
        <f>'A) Base RI'!B23</f>
        <v>Aubonne</v>
      </c>
      <c r="C21" s="158">
        <f>'A) Base RI'!AN23</f>
        <v>3051</v>
      </c>
      <c r="D21" s="199">
        <f>'D) Ecrêtage'!O21</f>
        <v>72.210583049266035</v>
      </c>
      <c r="E21" s="64">
        <f t="shared" si="4"/>
        <v>0</v>
      </c>
      <c r="F21" s="202">
        <f t="shared" si="1"/>
        <v>0</v>
      </c>
      <c r="G21" s="183">
        <f>'A) Base RI'!AM23</f>
        <v>68</v>
      </c>
      <c r="H21" s="191">
        <f t="shared" si="2"/>
        <v>1.0017307883682487</v>
      </c>
      <c r="I21" s="206">
        <f t="shared" si="3"/>
        <v>0</v>
      </c>
    </row>
    <row r="22" spans="1:9" x14ac:dyDescent="0.25">
      <c r="A22" s="82">
        <f>'A) Base RI'!A24</f>
        <v>5423</v>
      </c>
      <c r="B22" s="14" t="str">
        <f>'A) Base RI'!B24</f>
        <v>Ballens</v>
      </c>
      <c r="C22" s="158">
        <f>'A) Base RI'!AN24</f>
        <v>507</v>
      </c>
      <c r="D22" s="199">
        <f>'D) Ecrêtage'!O22</f>
        <v>31.668871737701174</v>
      </c>
      <c r="E22" s="64">
        <f t="shared" si="4"/>
        <v>12.186959427159593</v>
      </c>
      <c r="F22" s="202">
        <f t="shared" si="1"/>
        <v>115110.8284428875</v>
      </c>
      <c r="G22" s="183">
        <f>'A) Base RI'!AM24</f>
        <v>69</v>
      </c>
      <c r="H22" s="191">
        <f t="shared" si="2"/>
        <v>1.0164621234913112</v>
      </c>
      <c r="I22" s="206">
        <f t="shared" si="3"/>
        <v>117005.79711590146</v>
      </c>
    </row>
    <row r="23" spans="1:9" x14ac:dyDescent="0.25">
      <c r="A23" s="82">
        <f>'A) Base RI'!A25</f>
        <v>5424</v>
      </c>
      <c r="B23" s="14" t="str">
        <f>'A) Base RI'!B25</f>
        <v>Berolle</v>
      </c>
      <c r="C23" s="158">
        <f>'A) Base RI'!AN25</f>
        <v>302</v>
      </c>
      <c r="D23" s="199">
        <f>'D) Ecrêtage'!O23</f>
        <v>30.986831082824459</v>
      </c>
      <c r="E23" s="64">
        <f t="shared" si="4"/>
        <v>12.869000082036308</v>
      </c>
      <c r="F23" s="202">
        <f t="shared" si="1"/>
        <v>80799.046535071524</v>
      </c>
      <c r="G23" s="183">
        <f>'A) Base RI'!AM25</f>
        <v>77</v>
      </c>
      <c r="H23" s="191">
        <f t="shared" si="2"/>
        <v>1.1343128044758111</v>
      </c>
      <c r="I23" s="206">
        <f t="shared" si="3"/>
        <v>91651.393074168547</v>
      </c>
    </row>
    <row r="24" spans="1:9" x14ac:dyDescent="0.25">
      <c r="A24" s="82">
        <f>'A) Base RI'!A26</f>
        <v>5425</v>
      </c>
      <c r="B24" s="14" t="str">
        <f>'A) Base RI'!B26</f>
        <v>Bière</v>
      </c>
      <c r="C24" s="158">
        <f>'A) Base RI'!AN26</f>
        <v>1526</v>
      </c>
      <c r="D24" s="199">
        <f>'D) Ecrêtage'!O24</f>
        <v>24.329241191889597</v>
      </c>
      <c r="E24" s="64">
        <f t="shared" si="4"/>
        <v>19.52658997297117</v>
      </c>
      <c r="F24" s="202">
        <f t="shared" si="1"/>
        <v>547083.50084512355</v>
      </c>
      <c r="G24" s="183">
        <f>'A) Base RI'!AM26</f>
        <v>68</v>
      </c>
      <c r="H24" s="191">
        <f t="shared" si="2"/>
        <v>1.0017307883682487</v>
      </c>
      <c r="I24" s="206">
        <f t="shared" si="3"/>
        <v>548030.38660484704</v>
      </c>
    </row>
    <row r="25" spans="1:9" x14ac:dyDescent="0.25">
      <c r="A25" s="82">
        <f>'A) Base RI'!A27</f>
        <v>5426</v>
      </c>
      <c r="B25" s="14" t="str">
        <f>'A) Base RI'!B27</f>
        <v>Bougy-Villars</v>
      </c>
      <c r="C25" s="158">
        <f>'A) Base RI'!AN27</f>
        <v>444</v>
      </c>
      <c r="D25" s="199">
        <f>'D) Ecrêtage'!O25</f>
        <v>88.290013950314389</v>
      </c>
      <c r="E25" s="64">
        <f t="shared" si="4"/>
        <v>0</v>
      </c>
      <c r="F25" s="202">
        <f t="shared" si="1"/>
        <v>0</v>
      </c>
      <c r="G25" s="183">
        <f>'A) Base RI'!AM27</f>
        <v>62</v>
      </c>
      <c r="H25" s="191">
        <f t="shared" si="2"/>
        <v>0.91334277762987381</v>
      </c>
      <c r="I25" s="206">
        <f t="shared" si="3"/>
        <v>0</v>
      </c>
    </row>
    <row r="26" spans="1:9" x14ac:dyDescent="0.25">
      <c r="A26" s="82">
        <f>'A) Base RI'!A28</f>
        <v>5427</v>
      </c>
      <c r="B26" s="14" t="str">
        <f>'A) Base RI'!B28</f>
        <v>Féchy</v>
      </c>
      <c r="C26" s="158">
        <f>'A) Base RI'!AN28</f>
        <v>857</v>
      </c>
      <c r="D26" s="199">
        <f>'D) Ecrêtage'!O26</f>
        <v>74.074177820737944</v>
      </c>
      <c r="E26" s="64">
        <f t="shared" si="4"/>
        <v>0</v>
      </c>
      <c r="F26" s="202">
        <f t="shared" si="1"/>
        <v>0</v>
      </c>
      <c r="G26" s="183">
        <f>'A) Base RI'!AM28</f>
        <v>64</v>
      </c>
      <c r="H26" s="191">
        <f t="shared" si="2"/>
        <v>0.94280544787599874</v>
      </c>
      <c r="I26" s="206">
        <f t="shared" si="3"/>
        <v>0</v>
      </c>
    </row>
    <row r="27" spans="1:9" x14ac:dyDescent="0.25">
      <c r="A27" s="82">
        <f>'A) Base RI'!A29</f>
        <v>5428</v>
      </c>
      <c r="B27" s="14" t="str">
        <f>'A) Base RI'!B29</f>
        <v>Gimel</v>
      </c>
      <c r="C27" s="158">
        <f>'A) Base RI'!AN29</f>
        <v>1923</v>
      </c>
      <c r="D27" s="199">
        <f>'D) Ecrêtage'!O27</f>
        <v>28.208467708405308</v>
      </c>
      <c r="E27" s="64">
        <f t="shared" si="4"/>
        <v>15.647363456455459</v>
      </c>
      <c r="F27" s="202">
        <f t="shared" si="1"/>
        <v>580885.13198617613</v>
      </c>
      <c r="G27" s="183">
        <f>'A) Base RI'!AM29</f>
        <v>71.5</v>
      </c>
      <c r="H27" s="191">
        <f t="shared" si="2"/>
        <v>1.0532904612989673</v>
      </c>
      <c r="I27" s="206">
        <f t="shared" si="3"/>
        <v>611840.76863143092</v>
      </c>
    </row>
    <row r="28" spans="1:9" x14ac:dyDescent="0.25">
      <c r="A28" s="82">
        <f>'A) Base RI'!A30</f>
        <v>5429</v>
      </c>
      <c r="B28" s="14" t="str">
        <f>'A) Base RI'!B30</f>
        <v>Longirod</v>
      </c>
      <c r="C28" s="158">
        <f>'A) Base RI'!AN30</f>
        <v>441</v>
      </c>
      <c r="D28" s="199">
        <f>'D) Ecrêtage'!O28</f>
        <v>33.155887573136241</v>
      </c>
      <c r="E28" s="64">
        <f t="shared" si="4"/>
        <v>10.699943591724526</v>
      </c>
      <c r="F28" s="202">
        <f t="shared" si="1"/>
        <v>103197.42496079781</v>
      </c>
      <c r="G28" s="183">
        <f>'A) Base RI'!AM30</f>
        <v>81</v>
      </c>
      <c r="H28" s="191">
        <f t="shared" si="2"/>
        <v>1.1932381449680609</v>
      </c>
      <c r="I28" s="206">
        <f t="shared" si="3"/>
        <v>123139.10392570305</v>
      </c>
    </row>
    <row r="29" spans="1:9" x14ac:dyDescent="0.25">
      <c r="A29" s="82">
        <f>'A) Base RI'!A31</f>
        <v>5430</v>
      </c>
      <c r="B29" s="14" t="str">
        <f>'A) Base RI'!B31</f>
        <v>Marchissy</v>
      </c>
      <c r="C29" s="158">
        <f>'A) Base RI'!AN31</f>
        <v>444</v>
      </c>
      <c r="D29" s="199">
        <f>'D) Ecrêtage'!O29</f>
        <v>29.435536647758859</v>
      </c>
      <c r="E29" s="64">
        <f t="shared" si="4"/>
        <v>14.420294517101908</v>
      </c>
      <c r="F29" s="202">
        <f t="shared" si="1"/>
        <v>140025.09744352431</v>
      </c>
      <c r="G29" s="183">
        <f>'A) Base RI'!AM31</f>
        <v>81</v>
      </c>
      <c r="H29" s="191">
        <f t="shared" si="2"/>
        <v>1.1932381449680609</v>
      </c>
      <c r="I29" s="206">
        <f t="shared" si="3"/>
        <v>167083.28752248292</v>
      </c>
    </row>
    <row r="30" spans="1:9" x14ac:dyDescent="0.25">
      <c r="A30" s="82">
        <f>'A) Base RI'!A32</f>
        <v>5431</v>
      </c>
      <c r="B30" s="14" t="str">
        <f>'A) Base RI'!B32</f>
        <v>Mollens</v>
      </c>
      <c r="C30" s="158">
        <f>'A) Base RI'!AN32</f>
        <v>288</v>
      </c>
      <c r="D30" s="199">
        <f>'D) Ecrêtage'!O30</f>
        <v>27.862200168918918</v>
      </c>
      <c r="E30" s="64">
        <f t="shared" si="4"/>
        <v>15.993630995941849</v>
      </c>
      <c r="F30" s="202">
        <f t="shared" si="1"/>
        <v>92031.191222088441</v>
      </c>
      <c r="G30" s="183">
        <f>'A) Base RI'!AM32</f>
        <v>74</v>
      </c>
      <c r="H30" s="191">
        <f t="shared" si="2"/>
        <v>1.0901187991066237</v>
      </c>
      <c r="I30" s="206">
        <f t="shared" si="3"/>
        <v>100324.9316553751</v>
      </c>
    </row>
    <row r="31" spans="1:9" x14ac:dyDescent="0.25">
      <c r="A31" s="82">
        <f>'A) Base RI'!A33</f>
        <v>5432</v>
      </c>
      <c r="B31" s="14" t="str">
        <f>'A) Base RI'!B33</f>
        <v>Montherod</v>
      </c>
      <c r="C31" s="158">
        <f>'A) Base RI'!AN33</f>
        <v>521</v>
      </c>
      <c r="D31" s="199">
        <f>'D) Ecrêtage'!O31</f>
        <v>34.163974166104687</v>
      </c>
      <c r="E31" s="64">
        <f t="shared" si="4"/>
        <v>9.6918569987560801</v>
      </c>
      <c r="F31" s="202">
        <f t="shared" si="1"/>
        <v>100888.16077711133</v>
      </c>
      <c r="G31" s="183">
        <f>'A) Base RI'!AM33</f>
        <v>74</v>
      </c>
      <c r="H31" s="191">
        <f t="shared" si="2"/>
        <v>1.0901187991066237</v>
      </c>
      <c r="I31" s="206">
        <f t="shared" si="3"/>
        <v>109980.08067042058</v>
      </c>
    </row>
    <row r="32" spans="1:9" x14ac:dyDescent="0.25">
      <c r="A32" s="82">
        <f>'A) Base RI'!A34</f>
        <v>5434</v>
      </c>
      <c r="B32" s="14" t="str">
        <f>'A) Base RI'!B34</f>
        <v>Saint-George</v>
      </c>
      <c r="C32" s="158">
        <f>'A) Base RI'!AN34</f>
        <v>951</v>
      </c>
      <c r="D32" s="199">
        <f>'D) Ecrêtage'!O32</f>
        <v>36.945425406986118</v>
      </c>
      <c r="E32" s="64">
        <f t="shared" si="4"/>
        <v>6.9104057578746492</v>
      </c>
      <c r="F32" s="202">
        <f t="shared" si="1"/>
        <v>121545.36472178895</v>
      </c>
      <c r="G32" s="183">
        <f>'A) Base RI'!AM34</f>
        <v>68.5</v>
      </c>
      <c r="H32" s="191">
        <f t="shared" si="2"/>
        <v>1.0090964559297799</v>
      </c>
      <c r="I32" s="206">
        <f t="shared" si="3"/>
        <v>122650.99677544973</v>
      </c>
    </row>
    <row r="33" spans="1:9" x14ac:dyDescent="0.25">
      <c r="A33" s="82">
        <f>'A) Base RI'!A35</f>
        <v>5435</v>
      </c>
      <c r="B33" s="14" t="str">
        <f>'A) Base RI'!B35</f>
        <v>Saint-Livres</v>
      </c>
      <c r="C33" s="158">
        <f>'A) Base RI'!AN35</f>
        <v>699</v>
      </c>
      <c r="D33" s="199">
        <f>'D) Ecrêtage'!O33</f>
        <v>30.84227322676287</v>
      </c>
      <c r="E33" s="64">
        <f t="shared" si="4"/>
        <v>13.013557938097897</v>
      </c>
      <c r="F33" s="202">
        <f t="shared" si="1"/>
        <v>169467.36648634792</v>
      </c>
      <c r="G33" s="183">
        <f>'A) Base RI'!AM35</f>
        <v>69</v>
      </c>
      <c r="H33" s="191">
        <f t="shared" si="2"/>
        <v>1.0164621234913112</v>
      </c>
      <c r="I33" s="206">
        <f t="shared" si="3"/>
        <v>172257.15920119346</v>
      </c>
    </row>
    <row r="34" spans="1:9" x14ac:dyDescent="0.25">
      <c r="A34" s="82">
        <f>'A) Base RI'!A36</f>
        <v>5436</v>
      </c>
      <c r="B34" s="14" t="str">
        <f>'A) Base RI'!B36</f>
        <v>Saint-Oyens</v>
      </c>
      <c r="C34" s="158">
        <f>'A) Base RI'!AN36</f>
        <v>326</v>
      </c>
      <c r="D34" s="199">
        <f>'D) Ecrêtage'!O34</f>
        <v>34.875699651594346</v>
      </c>
      <c r="E34" s="64">
        <f t="shared" si="4"/>
        <v>8.9801315132664215</v>
      </c>
      <c r="F34" s="202">
        <f t="shared" si="1"/>
        <v>64024.925239614546</v>
      </c>
      <c r="G34" s="183">
        <f>'A) Base RI'!AM36</f>
        <v>81</v>
      </c>
      <c r="H34" s="191">
        <f t="shared" si="2"/>
        <v>1.1932381449680609</v>
      </c>
      <c r="I34" s="206">
        <f t="shared" si="3"/>
        <v>76396.983024636444</v>
      </c>
    </row>
    <row r="35" spans="1:9" x14ac:dyDescent="0.25">
      <c r="A35" s="82">
        <f>'A) Base RI'!A37</f>
        <v>5437</v>
      </c>
      <c r="B35" s="14" t="str">
        <f>'A) Base RI'!B37</f>
        <v>Saubraz</v>
      </c>
      <c r="C35" s="158">
        <f>'A) Base RI'!AN37</f>
        <v>385</v>
      </c>
      <c r="D35" s="199">
        <f>'D) Ecrêtage'!O35</f>
        <v>21.3215265216711</v>
      </c>
      <c r="E35" s="64">
        <f t="shared" si="4"/>
        <v>22.534304643189667</v>
      </c>
      <c r="F35" s="202">
        <f t="shared" si="1"/>
        <v>194422.60031574397</v>
      </c>
      <c r="G35" s="183">
        <f>'A) Base RI'!AM37</f>
        <v>83</v>
      </c>
      <c r="H35" s="191">
        <f t="shared" si="2"/>
        <v>1.2227008152141858</v>
      </c>
      <c r="I35" s="206">
        <f t="shared" si="3"/>
        <v>237720.67190212198</v>
      </c>
    </row>
    <row r="36" spans="1:9" x14ac:dyDescent="0.25">
      <c r="A36" s="82">
        <f>'A) Base RI'!A38</f>
        <v>5451</v>
      </c>
      <c r="B36" s="14" t="str">
        <f>'A) Base RI'!B38</f>
        <v>Avenches</v>
      </c>
      <c r="C36" s="158">
        <f>'A) Base RI'!AN38</f>
        <v>4030</v>
      </c>
      <c r="D36" s="199">
        <f>'D) Ecrêtage'!O36</f>
        <v>25.744535797693768</v>
      </c>
      <c r="E36" s="64">
        <f t="shared" si="4"/>
        <v>18.111295367166999</v>
      </c>
      <c r="F36" s="202">
        <f t="shared" si="1"/>
        <v>1340069.23325298</v>
      </c>
      <c r="G36" s="183">
        <f>'A) Base RI'!AM38</f>
        <v>68</v>
      </c>
      <c r="H36" s="191">
        <f t="shared" si="2"/>
        <v>1.0017307883682487</v>
      </c>
      <c r="I36" s="206">
        <f t="shared" si="3"/>
        <v>1342388.6094945422</v>
      </c>
    </row>
    <row r="37" spans="1:9" x14ac:dyDescent="0.25">
      <c r="A37" s="82">
        <f>'A) Base RI'!A39</f>
        <v>5456</v>
      </c>
      <c r="B37" s="14" t="str">
        <f>'A) Base RI'!B39</f>
        <v>Cudrefin</v>
      </c>
      <c r="C37" s="158">
        <f>'A) Base RI'!AN39</f>
        <v>1464</v>
      </c>
      <c r="D37" s="199">
        <f>'D) Ecrêtage'!O37</f>
        <v>30.915576510450432</v>
      </c>
      <c r="E37" s="64">
        <f t="shared" si="4"/>
        <v>12.940254654410335</v>
      </c>
      <c r="F37" s="202">
        <f t="shared" si="1"/>
        <v>301786.40772792377</v>
      </c>
      <c r="G37" s="183">
        <f>'A) Base RI'!AM39</f>
        <v>59</v>
      </c>
      <c r="H37" s="191">
        <f t="shared" si="2"/>
        <v>0.86914877226068632</v>
      </c>
      <c r="I37" s="206">
        <f t="shared" si="3"/>
        <v>262297.28576168785</v>
      </c>
    </row>
    <row r="38" spans="1:9" x14ac:dyDescent="0.25">
      <c r="A38" s="82">
        <f>'A) Base RI'!A40</f>
        <v>5458</v>
      </c>
      <c r="B38" s="14" t="str">
        <f>'A) Base RI'!B40</f>
        <v>Faoug</v>
      </c>
      <c r="C38" s="158">
        <f>'A) Base RI'!AN40</f>
        <v>825</v>
      </c>
      <c r="D38" s="199">
        <f>'D) Ecrêtage'!O38</f>
        <v>32.402221361152506</v>
      </c>
      <c r="E38" s="64">
        <f t="shared" si="4"/>
        <v>11.453609803708261</v>
      </c>
      <c r="F38" s="202">
        <f t="shared" si="1"/>
        <v>155628.78661033695</v>
      </c>
      <c r="G38" s="183">
        <f>'A) Base RI'!AM40</f>
        <v>61</v>
      </c>
      <c r="H38" s="191">
        <f t="shared" si="2"/>
        <v>0.89861144250681135</v>
      </c>
      <c r="I38" s="206">
        <f t="shared" si="3"/>
        <v>139849.80843149961</v>
      </c>
    </row>
    <row r="39" spans="1:9" x14ac:dyDescent="0.25">
      <c r="A39" s="82">
        <f>'A) Base RI'!A41</f>
        <v>5464</v>
      </c>
      <c r="B39" s="14" t="str">
        <f>'A) Base RI'!B41</f>
        <v>Vully-les-Lacs</v>
      </c>
      <c r="C39" s="158">
        <f>'A) Base RI'!AN41</f>
        <v>2798</v>
      </c>
      <c r="D39" s="199">
        <f>'D) Ecrêtage'!O39</f>
        <v>32.748359915931431</v>
      </c>
      <c r="E39" s="64">
        <f t="shared" si="4"/>
        <v>11.107471248929336</v>
      </c>
      <c r="F39" s="202">
        <f t="shared" si="1"/>
        <v>562213.7653909825</v>
      </c>
      <c r="G39" s="183">
        <f>'A) Base RI'!AM41</f>
        <v>67</v>
      </c>
      <c r="H39" s="191">
        <f t="shared" si="2"/>
        <v>0.98699945324518623</v>
      </c>
      <c r="I39" s="206">
        <f t="shared" si="3"/>
        <v>554904.67904781713</v>
      </c>
    </row>
    <row r="40" spans="1:9" x14ac:dyDescent="0.25">
      <c r="A40" s="82">
        <f>'A) Base RI'!A42</f>
        <v>5471</v>
      </c>
      <c r="B40" s="14" t="str">
        <f>'A) Base RI'!B42</f>
        <v>Bettens</v>
      </c>
      <c r="C40" s="158">
        <f>'A) Base RI'!AN42</f>
        <v>531</v>
      </c>
      <c r="D40" s="199">
        <f>'D) Ecrêtage'!O40</f>
        <v>35.156835231518833</v>
      </c>
      <c r="E40" s="64">
        <f t="shared" si="4"/>
        <v>8.6989959333419336</v>
      </c>
      <c r="F40" s="202">
        <f t="shared" si="1"/>
        <v>87302.253287426312</v>
      </c>
      <c r="G40" s="183">
        <f>'A) Base RI'!AM42</f>
        <v>70</v>
      </c>
      <c r="H40" s="191">
        <f t="shared" si="2"/>
        <v>1.0311934586143736</v>
      </c>
      <c r="I40" s="206">
        <f t="shared" si="3"/>
        <v>90025.512512289206</v>
      </c>
    </row>
    <row r="41" spans="1:9" x14ac:dyDescent="0.25">
      <c r="A41" s="82">
        <f>'A) Base RI'!A43</f>
        <v>5472</v>
      </c>
      <c r="B41" s="14" t="str">
        <f>'A) Base RI'!B43</f>
        <v>Bournens</v>
      </c>
      <c r="C41" s="158">
        <f>'A) Base RI'!AN43</f>
        <v>362</v>
      </c>
      <c r="D41" s="199">
        <f>'D) Ecrêtage'!O41</f>
        <v>35.45488743093923</v>
      </c>
      <c r="E41" s="64">
        <f t="shared" si="4"/>
        <v>8.4009437339215367</v>
      </c>
      <c r="F41" s="202">
        <f t="shared" si="1"/>
        <v>65688.65924427929</v>
      </c>
      <c r="G41" s="183">
        <f>'A) Base RI'!AM43</f>
        <v>80</v>
      </c>
      <c r="H41" s="191">
        <f t="shared" si="2"/>
        <v>1.1785068098449984</v>
      </c>
      <c r="I41" s="206">
        <f t="shared" si="3"/>
        <v>77414.532248970747</v>
      </c>
    </row>
    <row r="42" spans="1:9" x14ac:dyDescent="0.25">
      <c r="A42" s="82">
        <f>'A) Base RI'!A44</f>
        <v>5473</v>
      </c>
      <c r="B42" s="14" t="str">
        <f>'A) Base RI'!B44</f>
        <v>Boussens</v>
      </c>
      <c r="C42" s="158">
        <f>'A) Base RI'!AN44</f>
        <v>944</v>
      </c>
      <c r="D42" s="199">
        <f>'D) Ecrêtage'!O42</f>
        <v>34.856470001228203</v>
      </c>
      <c r="E42" s="64">
        <f t="shared" si="4"/>
        <v>8.9993611636325639</v>
      </c>
      <c r="F42" s="202">
        <f t="shared" si="1"/>
        <v>158269.2449636801</v>
      </c>
      <c r="G42" s="183">
        <f>'A) Base RI'!AM44</f>
        <v>69</v>
      </c>
      <c r="H42" s="191">
        <f t="shared" si="2"/>
        <v>1.0164621234913112</v>
      </c>
      <c r="I42" s="206">
        <f t="shared" si="3"/>
        <v>160874.69281914877</v>
      </c>
    </row>
    <row r="43" spans="1:9" x14ac:dyDescent="0.25">
      <c r="A43" s="82">
        <f>'A) Base RI'!A45</f>
        <v>5474</v>
      </c>
      <c r="B43" s="14" t="str">
        <f>'A) Base RI'!B45</f>
        <v>La Chaux (Cossonay)</v>
      </c>
      <c r="C43" s="158">
        <f>'A) Base RI'!AN45</f>
        <v>422</v>
      </c>
      <c r="D43" s="199">
        <f>'D) Ecrêtage'!O43</f>
        <v>30.669125479575715</v>
      </c>
      <c r="E43" s="64">
        <f t="shared" si="4"/>
        <v>13.186705685285052</v>
      </c>
      <c r="F43" s="202">
        <f t="shared" si="1"/>
        <v>115691.97992516618</v>
      </c>
      <c r="G43" s="183">
        <f>'A) Base RI'!AM45</f>
        <v>77</v>
      </c>
      <c r="H43" s="191">
        <f t="shared" si="2"/>
        <v>1.1343128044758111</v>
      </c>
      <c r="I43" s="206">
        <f t="shared" si="3"/>
        <v>131230.89420427449</v>
      </c>
    </row>
    <row r="44" spans="1:9" x14ac:dyDescent="0.25">
      <c r="A44" s="82">
        <f>'A) Base RI'!A46</f>
        <v>5475</v>
      </c>
      <c r="B44" s="14" t="str">
        <f>'A) Base RI'!B46</f>
        <v>Chavannes-le-Veyron</v>
      </c>
      <c r="C44" s="158">
        <f>'A) Base RI'!AN46</f>
        <v>127</v>
      </c>
      <c r="D44" s="199">
        <f>'D) Ecrêtage'!O44</f>
        <v>22.653157787094795</v>
      </c>
      <c r="E44" s="64">
        <f t="shared" si="4"/>
        <v>21.202673377765972</v>
      </c>
      <c r="F44" s="202">
        <f t="shared" si="1"/>
        <v>55982.054599516829</v>
      </c>
      <c r="G44" s="183">
        <f>'A) Base RI'!AM46</f>
        <v>77</v>
      </c>
      <c r="H44" s="191">
        <f t="shared" si="2"/>
        <v>1.1343128044758111</v>
      </c>
      <c r="I44" s="206">
        <f t="shared" si="3"/>
        <v>63501.161353095915</v>
      </c>
    </row>
    <row r="45" spans="1:9" x14ac:dyDescent="0.25">
      <c r="A45" s="82">
        <f>'A) Base RI'!A47</f>
        <v>5476</v>
      </c>
      <c r="B45" s="14" t="str">
        <f>'A) Base RI'!B47</f>
        <v>Chevilly</v>
      </c>
      <c r="C45" s="158">
        <f>'A) Base RI'!AN47</f>
        <v>249</v>
      </c>
      <c r="D45" s="199">
        <f>'D) Ecrêtage'!O45</f>
        <v>29.263714859437755</v>
      </c>
      <c r="E45" s="64">
        <f t="shared" si="4"/>
        <v>14.592116305423012</v>
      </c>
      <c r="F45" s="202">
        <f t="shared" si="1"/>
        <v>72596.070461805604</v>
      </c>
      <c r="G45" s="183">
        <f>'A) Base RI'!AM47</f>
        <v>74</v>
      </c>
      <c r="H45" s="191">
        <f t="shared" si="2"/>
        <v>1.0901187991066237</v>
      </c>
      <c r="I45" s="206">
        <f t="shared" si="3"/>
        <v>79138.341151683358</v>
      </c>
    </row>
    <row r="46" spans="1:9" x14ac:dyDescent="0.25">
      <c r="A46" s="82">
        <f>'A) Base RI'!A48</f>
        <v>5477</v>
      </c>
      <c r="B46" s="14" t="str">
        <f>'A) Base RI'!B48</f>
        <v>Cossonay</v>
      </c>
      <c r="C46" s="158">
        <f>'A) Base RI'!AN48</f>
        <v>3608</v>
      </c>
      <c r="D46" s="199">
        <f>'D) Ecrêtage'!O46</f>
        <v>34.849772546067349</v>
      </c>
      <c r="E46" s="64">
        <f t="shared" si="4"/>
        <v>9.0060586187934177</v>
      </c>
      <c r="F46" s="202">
        <f t="shared" si="1"/>
        <v>590445.92091283947</v>
      </c>
      <c r="G46" s="183">
        <f>'A) Base RI'!AM48</f>
        <v>67.3</v>
      </c>
      <c r="H46" s="191">
        <f t="shared" si="2"/>
        <v>0.99141885378210493</v>
      </c>
      <c r="I46" s="206">
        <f t="shared" si="3"/>
        <v>585379.21813172672</v>
      </c>
    </row>
    <row r="47" spans="1:9" x14ac:dyDescent="0.25">
      <c r="A47" s="82">
        <f>'A) Base RI'!A49</f>
        <v>5478</v>
      </c>
      <c r="B47" s="14" t="str">
        <f>'A) Base RI'!B49</f>
        <v>Cottens</v>
      </c>
      <c r="C47" s="158">
        <f>'A) Base RI'!AN49</f>
        <v>472</v>
      </c>
      <c r="D47" s="199">
        <f>'D) Ecrêtage'!O47</f>
        <v>33.079236405367233</v>
      </c>
      <c r="E47" s="64">
        <f t="shared" si="4"/>
        <v>10.776594759493534</v>
      </c>
      <c r="F47" s="202">
        <f t="shared" si="1"/>
        <v>98882.585002789638</v>
      </c>
      <c r="G47" s="183">
        <f>'A) Base RI'!AM49</f>
        <v>72</v>
      </c>
      <c r="H47" s="191">
        <f t="shared" si="2"/>
        <v>1.0606561288604985</v>
      </c>
      <c r="I47" s="206">
        <f t="shared" si="3"/>
        <v>104880.41982077804</v>
      </c>
    </row>
    <row r="48" spans="1:9" x14ac:dyDescent="0.25">
      <c r="A48" s="82">
        <f>'A) Base RI'!A50</f>
        <v>5479</v>
      </c>
      <c r="B48" s="14" t="str">
        <f>'A) Base RI'!B50</f>
        <v>Cuarnens</v>
      </c>
      <c r="C48" s="158">
        <f>'A) Base RI'!AN50</f>
        <v>435</v>
      </c>
      <c r="D48" s="199">
        <f>'D) Ecrêtage'!O48</f>
        <v>28.688490222421258</v>
      </c>
      <c r="E48" s="64">
        <f t="shared" si="4"/>
        <v>15.167340942439509</v>
      </c>
      <c r="F48" s="202">
        <f t="shared" si="1"/>
        <v>137168.12291409308</v>
      </c>
      <c r="G48" s="183">
        <f>'A) Base RI'!AM50</f>
        <v>77</v>
      </c>
      <c r="H48" s="191">
        <f t="shared" si="2"/>
        <v>1.1343128044758111</v>
      </c>
      <c r="I48" s="206">
        <f t="shared" si="3"/>
        <v>155591.55818736769</v>
      </c>
    </row>
    <row r="49" spans="1:9" x14ac:dyDescent="0.25">
      <c r="A49" s="82">
        <f>'A) Base RI'!A51</f>
        <v>5480</v>
      </c>
      <c r="B49" s="14" t="str">
        <f>'A) Base RI'!B51</f>
        <v>Daillens</v>
      </c>
      <c r="C49" s="158">
        <f>'A) Base RI'!AN51</f>
        <v>940</v>
      </c>
      <c r="D49" s="199">
        <f>'D) Ecrêtage'!O49</f>
        <v>40.931292478273903</v>
      </c>
      <c r="E49" s="64">
        <f t="shared" si="4"/>
        <v>2.9245386865868639</v>
      </c>
      <c r="F49" s="202">
        <f t="shared" si="1"/>
        <v>52699.602224557973</v>
      </c>
      <c r="G49" s="183">
        <f>'A) Base RI'!AM51</f>
        <v>71</v>
      </c>
      <c r="H49" s="191">
        <f t="shared" si="2"/>
        <v>1.0459247937374361</v>
      </c>
      <c r="I49" s="206">
        <f t="shared" si="3"/>
        <v>55119.820586765723</v>
      </c>
    </row>
    <row r="50" spans="1:9" x14ac:dyDescent="0.25">
      <c r="A50" s="82">
        <f>'A) Base RI'!A52</f>
        <v>5481</v>
      </c>
      <c r="B50" s="14" t="str">
        <f>'A) Base RI'!B52</f>
        <v>Dizy</v>
      </c>
      <c r="C50" s="158">
        <f>'A) Base RI'!AN52</f>
        <v>224</v>
      </c>
      <c r="D50" s="199">
        <f>'D) Ecrêtage'!O50</f>
        <v>36.027683397683404</v>
      </c>
      <c r="E50" s="64">
        <f t="shared" si="4"/>
        <v>7.8281477671773629</v>
      </c>
      <c r="F50" s="202">
        <f t="shared" si="1"/>
        <v>35035.031894957632</v>
      </c>
      <c r="G50" s="183">
        <f>'A) Base RI'!AM52</f>
        <v>74</v>
      </c>
      <c r="H50" s="191">
        <f t="shared" si="2"/>
        <v>1.0901187991066237</v>
      </c>
      <c r="I50" s="206">
        <f t="shared" si="3"/>
        <v>38192.346895993469</v>
      </c>
    </row>
    <row r="51" spans="1:9" x14ac:dyDescent="0.25">
      <c r="A51" s="82">
        <f>'A) Base RI'!A53</f>
        <v>5482</v>
      </c>
      <c r="B51" s="14" t="str">
        <f>'A) Base RI'!B53</f>
        <v>Eclépens</v>
      </c>
      <c r="C51" s="158">
        <f>'A) Base RI'!AN53</f>
        <v>1010</v>
      </c>
      <c r="D51" s="199">
        <f>'D) Ecrêtage'!O51</f>
        <v>63.282450846522593</v>
      </c>
      <c r="E51" s="64">
        <f t="shared" si="4"/>
        <v>0</v>
      </c>
      <c r="F51" s="202">
        <f t="shared" si="1"/>
        <v>0</v>
      </c>
      <c r="G51" s="183">
        <f>'A) Base RI'!AM53</f>
        <v>46</v>
      </c>
      <c r="H51" s="191">
        <f t="shared" si="2"/>
        <v>0.6776414156608741</v>
      </c>
      <c r="I51" s="206">
        <f t="shared" si="3"/>
        <v>0</v>
      </c>
    </row>
    <row r="52" spans="1:9" x14ac:dyDescent="0.25">
      <c r="A52" s="82">
        <f>'A) Base RI'!A54</f>
        <v>5483</v>
      </c>
      <c r="B52" s="14" t="str">
        <f>'A) Base RI'!B54</f>
        <v>Ferreyres</v>
      </c>
      <c r="C52" s="158">
        <f>'A) Base RI'!AN54</f>
        <v>302</v>
      </c>
      <c r="D52" s="199">
        <f>'D) Ecrêtage'!O52</f>
        <v>33.257805855698848</v>
      </c>
      <c r="E52" s="64">
        <f t="shared" si="4"/>
        <v>10.598025309161919</v>
      </c>
      <c r="F52" s="202">
        <f t="shared" si="1"/>
        <v>65676.386761888789</v>
      </c>
      <c r="G52" s="183">
        <f>'A) Base RI'!AM54</f>
        <v>76</v>
      </c>
      <c r="H52" s="191">
        <f t="shared" si="2"/>
        <v>1.1195814693527486</v>
      </c>
      <c r="I52" s="206">
        <f t="shared" si="3"/>
        <v>73530.065592654864</v>
      </c>
    </row>
    <row r="53" spans="1:9" x14ac:dyDescent="0.25">
      <c r="A53" s="82">
        <f>'A) Base RI'!A55</f>
        <v>5484</v>
      </c>
      <c r="B53" s="14" t="str">
        <f>'A) Base RI'!B55</f>
        <v>Gollion</v>
      </c>
      <c r="C53" s="158">
        <f>'A) Base RI'!AN55</f>
        <v>813</v>
      </c>
      <c r="D53" s="199">
        <f>'D) Ecrêtage'!O53</f>
        <v>30.074814500847712</v>
      </c>
      <c r="E53" s="64">
        <f t="shared" si="4"/>
        <v>13.781016664013055</v>
      </c>
      <c r="F53" s="202">
        <f t="shared" si="1"/>
        <v>223855.25162589544</v>
      </c>
      <c r="G53" s="183">
        <f>'A) Base RI'!AM55</f>
        <v>74</v>
      </c>
      <c r="H53" s="191">
        <f t="shared" si="2"/>
        <v>1.0901187991066237</v>
      </c>
      <c r="I53" s="206">
        <f t="shared" si="3"/>
        <v>244028.81807613221</v>
      </c>
    </row>
    <row r="54" spans="1:9" x14ac:dyDescent="0.25">
      <c r="A54" s="82">
        <f>'A) Base RI'!A56</f>
        <v>5485</v>
      </c>
      <c r="B54" s="14" t="str">
        <f>'A) Base RI'!B56</f>
        <v>Grancy</v>
      </c>
      <c r="C54" s="158">
        <f>'A) Base RI'!AN56</f>
        <v>388</v>
      </c>
      <c r="D54" s="199">
        <f>'D) Ecrêtage'!O54</f>
        <v>46.422673048600885</v>
      </c>
      <c r="E54" s="64">
        <f t="shared" si="4"/>
        <v>0</v>
      </c>
      <c r="F54" s="202">
        <f t="shared" si="1"/>
        <v>0</v>
      </c>
      <c r="G54" s="183">
        <f>'A) Base RI'!AM56</f>
        <v>70</v>
      </c>
      <c r="H54" s="191">
        <f t="shared" si="2"/>
        <v>1.0311934586143736</v>
      </c>
      <c r="I54" s="206">
        <f t="shared" si="3"/>
        <v>0</v>
      </c>
    </row>
    <row r="55" spans="1:9" x14ac:dyDescent="0.25">
      <c r="A55" s="82">
        <f>'A) Base RI'!A57</f>
        <v>5486</v>
      </c>
      <c r="B55" s="14" t="str">
        <f>'A) Base RI'!B57</f>
        <v>L'Isle</v>
      </c>
      <c r="C55" s="158">
        <f>'A) Base RI'!AN57</f>
        <v>1004</v>
      </c>
      <c r="D55" s="199">
        <f>'D) Ecrêtage'!O55</f>
        <v>26.52170332558654</v>
      </c>
      <c r="E55" s="64">
        <f t="shared" si="4"/>
        <v>17.334127839274228</v>
      </c>
      <c r="F55" s="202">
        <f t="shared" si="1"/>
        <v>338323.34697627299</v>
      </c>
      <c r="G55" s="183">
        <f>'A) Base RI'!AM57</f>
        <v>72</v>
      </c>
      <c r="H55" s="191">
        <f t="shared" si="2"/>
        <v>1.0606561288604985</v>
      </c>
      <c r="I55" s="206">
        <f t="shared" si="3"/>
        <v>358844.73150698096</v>
      </c>
    </row>
    <row r="56" spans="1:9" x14ac:dyDescent="0.25">
      <c r="A56" s="82">
        <f>'A) Base RI'!A58</f>
        <v>5487</v>
      </c>
      <c r="B56" s="14" t="str">
        <f>'A) Base RI'!B58</f>
        <v>Lussery-Villars</v>
      </c>
      <c r="C56" s="158">
        <f>'A) Base RI'!AN58</f>
        <v>404</v>
      </c>
      <c r="D56" s="199">
        <f>'D) Ecrêtage'!O56</f>
        <v>35.053376237623766</v>
      </c>
      <c r="E56" s="64">
        <f t="shared" si="4"/>
        <v>8.802454927237001</v>
      </c>
      <c r="F56" s="202">
        <f t="shared" si="1"/>
        <v>62411.165925095789</v>
      </c>
      <c r="G56" s="183">
        <f>'A) Base RI'!AM58</f>
        <v>65</v>
      </c>
      <c r="H56" s="191">
        <f t="shared" si="2"/>
        <v>0.95753678299906131</v>
      </c>
      <c r="I56" s="206">
        <f t="shared" si="3"/>
        <v>59760.987043136854</v>
      </c>
    </row>
    <row r="57" spans="1:9" x14ac:dyDescent="0.25">
      <c r="A57" s="82">
        <f>'A) Base RI'!A59</f>
        <v>5488</v>
      </c>
      <c r="B57" s="14" t="str">
        <f>'A) Base RI'!B59</f>
        <v>Mauraz</v>
      </c>
      <c r="C57" s="158">
        <f>'A) Base RI'!AN59</f>
        <v>49</v>
      </c>
      <c r="D57" s="199">
        <f>'D) Ecrêtage'!O57</f>
        <v>33.640865968008825</v>
      </c>
      <c r="E57" s="64">
        <f t="shared" si="4"/>
        <v>10.214965196851942</v>
      </c>
      <c r="F57" s="202">
        <f t="shared" si="1"/>
        <v>10000.655227021989</v>
      </c>
      <c r="G57" s="183">
        <f>'A) Base RI'!AM59</f>
        <v>74</v>
      </c>
      <c r="H57" s="191">
        <f t="shared" si="2"/>
        <v>1.0901187991066237</v>
      </c>
      <c r="I57" s="206">
        <f t="shared" si="3"/>
        <v>10901.90226636059</v>
      </c>
    </row>
    <row r="58" spans="1:9" x14ac:dyDescent="0.25">
      <c r="A58" s="82">
        <f>'A) Base RI'!A60</f>
        <v>5489</v>
      </c>
      <c r="B58" s="14" t="str">
        <f>'A) Base RI'!B60</f>
        <v>Mex</v>
      </c>
      <c r="C58" s="158">
        <f>'A) Base RI'!AN60</f>
        <v>670</v>
      </c>
      <c r="D58" s="199">
        <f>'D) Ecrêtage'!O58</f>
        <v>70.246836395985554</v>
      </c>
      <c r="E58" s="64">
        <f t="shared" si="4"/>
        <v>0</v>
      </c>
      <c r="F58" s="202">
        <f t="shared" si="1"/>
        <v>0</v>
      </c>
      <c r="G58" s="183">
        <f>'A) Base RI'!AM60</f>
        <v>61</v>
      </c>
      <c r="H58" s="191">
        <f t="shared" si="2"/>
        <v>0.89861144250681135</v>
      </c>
      <c r="I58" s="206">
        <f t="shared" si="3"/>
        <v>0</v>
      </c>
    </row>
    <row r="59" spans="1:9" x14ac:dyDescent="0.25">
      <c r="A59" s="82">
        <f>'A) Base RI'!A61</f>
        <v>5490</v>
      </c>
      <c r="B59" s="14" t="str">
        <f>'A) Base RI'!B61</f>
        <v>Moiry</v>
      </c>
      <c r="C59" s="158">
        <f>'A) Base RI'!AN61</f>
        <v>263</v>
      </c>
      <c r="D59" s="199">
        <f>'D) Ecrêtage'!O59</f>
        <v>27.187170821011126</v>
      </c>
      <c r="E59" s="64">
        <f t="shared" si="4"/>
        <v>16.668660343849641</v>
      </c>
      <c r="F59" s="202">
        <f t="shared" si="1"/>
        <v>95874.967252357819</v>
      </c>
      <c r="G59" s="183">
        <f>'A) Base RI'!AM61</f>
        <v>81</v>
      </c>
      <c r="H59" s="191">
        <f t="shared" si="2"/>
        <v>1.1932381449680609</v>
      </c>
      <c r="I59" s="206">
        <f t="shared" si="3"/>
        <v>114401.66807307703</v>
      </c>
    </row>
    <row r="60" spans="1:9" x14ac:dyDescent="0.25">
      <c r="A60" s="82">
        <f>'A) Base RI'!A62</f>
        <v>5491</v>
      </c>
      <c r="B60" s="14" t="str">
        <f>'A) Base RI'!B62</f>
        <v>Mont-la-Ville</v>
      </c>
      <c r="C60" s="158">
        <f>'A) Base RI'!AN62</f>
        <v>372</v>
      </c>
      <c r="D60" s="199">
        <f>'D) Ecrêtage'!O60</f>
        <v>24.618417515563099</v>
      </c>
      <c r="E60" s="64">
        <f t="shared" si="4"/>
        <v>19.237413649297668</v>
      </c>
      <c r="F60" s="202">
        <f t="shared" si="1"/>
        <v>146847.6428470948</v>
      </c>
      <c r="G60" s="183">
        <f>'A) Base RI'!AM62</f>
        <v>76</v>
      </c>
      <c r="H60" s="191">
        <f t="shared" si="2"/>
        <v>1.1195814693527486</v>
      </c>
      <c r="I60" s="206">
        <f t="shared" si="3"/>
        <v>164407.89974973805</v>
      </c>
    </row>
    <row r="61" spans="1:9" x14ac:dyDescent="0.25">
      <c r="A61" s="82">
        <f>'A) Base RI'!A63</f>
        <v>5492</v>
      </c>
      <c r="B61" s="14" t="str">
        <f>'A) Base RI'!B63</f>
        <v>Montricher</v>
      </c>
      <c r="C61" s="158">
        <f>'A) Base RI'!AN63</f>
        <v>930</v>
      </c>
      <c r="D61" s="199">
        <f>'D) Ecrêtage'!O61</f>
        <v>104.79670674868308</v>
      </c>
      <c r="E61" s="64">
        <f t="shared" si="4"/>
        <v>0</v>
      </c>
      <c r="F61" s="202">
        <f t="shared" si="1"/>
        <v>0</v>
      </c>
      <c r="G61" s="183">
        <f>'A) Base RI'!AM63</f>
        <v>64</v>
      </c>
      <c r="H61" s="191">
        <f t="shared" si="2"/>
        <v>0.94280544787599874</v>
      </c>
      <c r="I61" s="206">
        <f t="shared" si="3"/>
        <v>0</v>
      </c>
    </row>
    <row r="62" spans="1:9" x14ac:dyDescent="0.25">
      <c r="A62" s="82">
        <f>'A) Base RI'!A64</f>
        <v>5493</v>
      </c>
      <c r="B62" s="14" t="str">
        <f>'A) Base RI'!B64</f>
        <v>Orny</v>
      </c>
      <c r="C62" s="158">
        <f>'A) Base RI'!AN64</f>
        <v>364</v>
      </c>
      <c r="D62" s="199">
        <f>'D) Ecrêtage'!O62</f>
        <v>26.030150100163276</v>
      </c>
      <c r="E62" s="64">
        <f t="shared" si="4"/>
        <v>17.825681064697491</v>
      </c>
      <c r="F62" s="202">
        <f t="shared" si="1"/>
        <v>127889.27925780829</v>
      </c>
      <c r="G62" s="183">
        <f>'A) Base RI'!AM64</f>
        <v>73</v>
      </c>
      <c r="H62" s="191">
        <f t="shared" si="2"/>
        <v>1.075387463983561</v>
      </c>
      <c r="I62" s="206">
        <f t="shared" ref="I62:I116" si="5">F62*H62</f>
        <v>137530.52769173987</v>
      </c>
    </row>
    <row r="63" spans="1:9" x14ac:dyDescent="0.25">
      <c r="A63" s="82">
        <f>'A) Base RI'!A65</f>
        <v>5494</v>
      </c>
      <c r="B63" s="14" t="str">
        <f>'A) Base RI'!B65</f>
        <v>Pampigny</v>
      </c>
      <c r="C63" s="158">
        <f>'A) Base RI'!AN65</f>
        <v>1104</v>
      </c>
      <c r="D63" s="199">
        <f>'D) Ecrêtage'!O63</f>
        <v>31.629367655854612</v>
      </c>
      <c r="E63" s="64">
        <f t="shared" si="4"/>
        <v>12.226463509006155</v>
      </c>
      <c r="F63" s="202">
        <f t="shared" si="1"/>
        <v>273334.81820734165</v>
      </c>
      <c r="G63" s="183">
        <f>'A) Base RI'!AM65</f>
        <v>75</v>
      </c>
      <c r="H63" s="191">
        <f t="shared" si="2"/>
        <v>1.1048501342296861</v>
      </c>
      <c r="I63" s="206">
        <f t="shared" si="5"/>
        <v>301994.01058602828</v>
      </c>
    </row>
    <row r="64" spans="1:9" x14ac:dyDescent="0.25">
      <c r="A64" s="82">
        <f>'A) Base RI'!A66</f>
        <v>5495</v>
      </c>
      <c r="B64" s="14" t="str">
        <f>'A) Base RI'!B66</f>
        <v>Penthalaz</v>
      </c>
      <c r="C64" s="158">
        <f>'A) Base RI'!AN66</f>
        <v>3150</v>
      </c>
      <c r="D64" s="199">
        <f>'D) Ecrêtage'!O64</f>
        <v>27.846366795366798</v>
      </c>
      <c r="E64" s="64">
        <f t="shared" si="4"/>
        <v>16.009464369493969</v>
      </c>
      <c r="F64" s="202">
        <f t="shared" si="1"/>
        <v>1007587.659022842</v>
      </c>
      <c r="G64" s="183">
        <f>'A) Base RI'!AM66</f>
        <v>74</v>
      </c>
      <c r="H64" s="191">
        <f t="shared" si="2"/>
        <v>1.0901187991066237</v>
      </c>
      <c r="I64" s="206">
        <f t="shared" si="5"/>
        <v>1098390.2488486348</v>
      </c>
    </row>
    <row r="65" spans="1:9" x14ac:dyDescent="0.25">
      <c r="A65" s="82">
        <f>'A) Base RI'!A67</f>
        <v>5496</v>
      </c>
      <c r="B65" s="14" t="str">
        <f>'A) Base RI'!B67</f>
        <v>Penthaz</v>
      </c>
      <c r="C65" s="158">
        <f>'A) Base RI'!AN67</f>
        <v>1666</v>
      </c>
      <c r="D65" s="199">
        <f>'D) Ecrêtage'!O65</f>
        <v>30.952201021253572</v>
      </c>
      <c r="E65" s="64">
        <f t="shared" si="4"/>
        <v>12.903630143607195</v>
      </c>
      <c r="F65" s="202">
        <f t="shared" si="1"/>
        <v>412106.07469501463</v>
      </c>
      <c r="G65" s="183">
        <f>'A) Base RI'!AM67</f>
        <v>71</v>
      </c>
      <c r="H65" s="191">
        <f t="shared" si="2"/>
        <v>1.0459247937374361</v>
      </c>
      <c r="I65" s="206">
        <f t="shared" si="5"/>
        <v>431031.96117332758</v>
      </c>
    </row>
    <row r="66" spans="1:9" x14ac:dyDescent="0.25">
      <c r="A66" s="82">
        <f>'A) Base RI'!A68</f>
        <v>5497</v>
      </c>
      <c r="B66" s="14" t="str">
        <f>'A) Base RI'!B68</f>
        <v>Pompaples</v>
      </c>
      <c r="C66" s="158">
        <f>'A) Base RI'!AN68</f>
        <v>839</v>
      </c>
      <c r="D66" s="199">
        <f>'D) Ecrêtage'!O66</f>
        <v>24.194653086285982</v>
      </c>
      <c r="E66" s="64">
        <f t="shared" si="4"/>
        <v>19.661178078574785</v>
      </c>
      <c r="F66" s="202">
        <f t="shared" si="1"/>
        <v>293953.88022921007</v>
      </c>
      <c r="G66" s="183">
        <f>'A) Base RI'!AM68</f>
        <v>66</v>
      </c>
      <c r="H66" s="191">
        <f t="shared" si="2"/>
        <v>0.97226811812212377</v>
      </c>
      <c r="I66" s="206">
        <f t="shared" si="5"/>
        <v>285801.98594515026</v>
      </c>
    </row>
    <row r="67" spans="1:9" x14ac:dyDescent="0.25">
      <c r="A67" s="82">
        <f>'A) Base RI'!A69</f>
        <v>5498</v>
      </c>
      <c r="B67" s="14" t="str">
        <f>'A) Base RI'!B69</f>
        <v>La Sarraz</v>
      </c>
      <c r="C67" s="158">
        <f>'A) Base RI'!AN69</f>
        <v>2510</v>
      </c>
      <c r="D67" s="199">
        <f>'D) Ecrêtage'!O67</f>
        <v>28.803435694721117</v>
      </c>
      <c r="E67" s="64">
        <f t="shared" si="4"/>
        <v>15.052395470139651</v>
      </c>
      <c r="F67" s="202">
        <f t="shared" si="1"/>
        <v>652864.53824727307</v>
      </c>
      <c r="G67" s="183">
        <f>'A) Base RI'!AM69</f>
        <v>64</v>
      </c>
      <c r="H67" s="191">
        <f t="shared" si="2"/>
        <v>0.94280544787599874</v>
      </c>
      <c r="I67" s="206">
        <f t="shared" si="5"/>
        <v>615524.24338457745</v>
      </c>
    </row>
    <row r="68" spans="1:9" x14ac:dyDescent="0.25">
      <c r="A68" s="82">
        <f>'A) Base RI'!A70</f>
        <v>5499</v>
      </c>
      <c r="B68" s="14" t="str">
        <f>'A) Base RI'!B70</f>
        <v>Senarclens</v>
      </c>
      <c r="C68" s="158">
        <f>'A) Base RI'!AN70</f>
        <v>435</v>
      </c>
      <c r="D68" s="199">
        <f>'D) Ecrêtage'!O68</f>
        <v>40.135776826915013</v>
      </c>
      <c r="E68" s="64">
        <f t="shared" si="4"/>
        <v>3.7200543379457542</v>
      </c>
      <c r="F68" s="202">
        <f t="shared" si="1"/>
        <v>29929.046166433429</v>
      </c>
      <c r="G68" s="183">
        <f>'A) Base RI'!AM70</f>
        <v>68.5</v>
      </c>
      <c r="H68" s="191">
        <f t="shared" si="2"/>
        <v>1.0090964559297799</v>
      </c>
      <c r="I68" s="206">
        <f t="shared" si="5"/>
        <v>30201.294415906741</v>
      </c>
    </row>
    <row r="69" spans="1:9" x14ac:dyDescent="0.25">
      <c r="A69" s="82">
        <f>'A) Base RI'!A71</f>
        <v>5500</v>
      </c>
      <c r="B69" s="14" t="str">
        <f>'A) Base RI'!B71</f>
        <v>Sévery</v>
      </c>
      <c r="C69" s="158">
        <f>'A) Base RI'!AN71</f>
        <v>223</v>
      </c>
      <c r="D69" s="199">
        <f>'D) Ecrêtage'!O69</f>
        <v>27.363353167758991</v>
      </c>
      <c r="E69" s="64">
        <f t="shared" si="4"/>
        <v>16.492477997101776</v>
      </c>
      <c r="F69" s="202">
        <f t="shared" ref="F69:F132" si="6">(C69*E69*G69)*$E$4</f>
        <v>77454.943816028841</v>
      </c>
      <c r="G69" s="183">
        <f>'A) Base RI'!AM71</f>
        <v>78</v>
      </c>
      <c r="H69" s="191">
        <f t="shared" si="2"/>
        <v>1.1490441395988735</v>
      </c>
      <c r="I69" s="206">
        <f t="shared" si="5"/>
        <v>88999.149274767944</v>
      </c>
    </row>
    <row r="70" spans="1:9" x14ac:dyDescent="0.25">
      <c r="A70" s="82">
        <f>'A) Base RI'!A72</f>
        <v>5501</v>
      </c>
      <c r="B70" s="14" t="str">
        <f>'A) Base RI'!B72</f>
        <v>Sullens</v>
      </c>
      <c r="C70" s="158">
        <f>'A) Base RI'!AN72</f>
        <v>902</v>
      </c>
      <c r="D70" s="199">
        <f>'D) Ecrêtage'!O70</f>
        <v>41.893455284552836</v>
      </c>
      <c r="E70" s="64">
        <f t="shared" si="4"/>
        <v>1.9623758803079312</v>
      </c>
      <c r="F70" s="202">
        <f t="shared" si="6"/>
        <v>34410.02557609394</v>
      </c>
      <c r="G70" s="183">
        <f>'A) Base RI'!AM72</f>
        <v>72</v>
      </c>
      <c r="H70" s="191">
        <f t="shared" ref="H70:H133" si="7">G70/$G$323</f>
        <v>1.0606561288604985</v>
      </c>
      <c r="I70" s="206">
        <f t="shared" si="5"/>
        <v>36497.204521530548</v>
      </c>
    </row>
    <row r="71" spans="1:9" x14ac:dyDescent="0.25">
      <c r="A71" s="82">
        <f>'A) Base RI'!A73</f>
        <v>5503</v>
      </c>
      <c r="B71" s="14" t="str">
        <f>'A) Base RI'!B73</f>
        <v>Vufflens-la-Ville</v>
      </c>
      <c r="C71" s="158">
        <f>'A) Base RI'!AN73</f>
        <v>1226</v>
      </c>
      <c r="D71" s="199">
        <f>'D) Ecrêtage'!O71</f>
        <v>47.155784596592888</v>
      </c>
      <c r="E71" s="64">
        <f t="shared" si="4"/>
        <v>0</v>
      </c>
      <c r="F71" s="202">
        <f t="shared" si="6"/>
        <v>0</v>
      </c>
      <c r="G71" s="183">
        <f>'A) Base RI'!AM73</f>
        <v>67</v>
      </c>
      <c r="H71" s="191">
        <f t="shared" si="7"/>
        <v>0.98699945324518623</v>
      </c>
      <c r="I71" s="206">
        <f t="shared" si="5"/>
        <v>0</v>
      </c>
    </row>
    <row r="72" spans="1:9" x14ac:dyDescent="0.25">
      <c r="A72" s="82">
        <f>'A) Base RI'!A74</f>
        <v>5511</v>
      </c>
      <c r="B72" s="14" t="str">
        <f>'A) Base RI'!B74</f>
        <v>Assens</v>
      </c>
      <c r="C72" s="158">
        <f>'A) Base RI'!AN74</f>
        <v>1024</v>
      </c>
      <c r="D72" s="199">
        <f>'D) Ecrêtage'!O72</f>
        <v>38.851165597098209</v>
      </c>
      <c r="E72" s="64">
        <f t="shared" si="4"/>
        <v>5.004665567762558</v>
      </c>
      <c r="F72" s="202">
        <f t="shared" si="6"/>
        <v>96858.295532249438</v>
      </c>
      <c r="G72" s="183">
        <f>'A) Base RI'!AM74</f>
        <v>70</v>
      </c>
      <c r="H72" s="191">
        <f t="shared" si="7"/>
        <v>1.0311934586143736</v>
      </c>
      <c r="I72" s="206">
        <f t="shared" si="5"/>
        <v>99879.640765393429</v>
      </c>
    </row>
    <row r="73" spans="1:9" x14ac:dyDescent="0.25">
      <c r="A73" s="82">
        <f>'A) Base RI'!A75</f>
        <v>5512</v>
      </c>
      <c r="B73" s="14" t="str">
        <f>'A) Base RI'!B75</f>
        <v>Bercher</v>
      </c>
      <c r="C73" s="158">
        <f>'A) Base RI'!AN75</f>
        <v>1143</v>
      </c>
      <c r="D73" s="199">
        <f>'D) Ecrêtage'!O73</f>
        <v>32.040877437788637</v>
      </c>
      <c r="E73" s="64">
        <f t="shared" si="4"/>
        <v>11.81495372707213</v>
      </c>
      <c r="F73" s="202">
        <f t="shared" si="6"/>
        <v>288050.81670722668</v>
      </c>
      <c r="G73" s="183">
        <f>'A) Base RI'!AM75</f>
        <v>79</v>
      </c>
      <c r="H73" s="191">
        <f t="shared" si="7"/>
        <v>1.163775474721936</v>
      </c>
      <c r="I73" s="206">
        <f t="shared" si="5"/>
        <v>335226.47595749411</v>
      </c>
    </row>
    <row r="74" spans="1:9" x14ac:dyDescent="0.25">
      <c r="A74" s="82">
        <f>'A) Base RI'!A76</f>
        <v>5513</v>
      </c>
      <c r="B74" s="14" t="str">
        <f>'A) Base RI'!B76</f>
        <v>Bioley-Orjulaz</v>
      </c>
      <c r="C74" s="158">
        <f>'A) Base RI'!AN76</f>
        <v>460</v>
      </c>
      <c r="D74" s="199">
        <f>'D) Ecrêtage'!O74</f>
        <v>62.320199849248965</v>
      </c>
      <c r="E74" s="64">
        <f t="shared" si="4"/>
        <v>0</v>
      </c>
      <c r="F74" s="202">
        <f t="shared" si="6"/>
        <v>0</v>
      </c>
      <c r="G74" s="183">
        <f>'A) Base RI'!AM76</f>
        <v>66</v>
      </c>
      <c r="H74" s="191">
        <f t="shared" si="7"/>
        <v>0.97226811812212377</v>
      </c>
      <c r="I74" s="206">
        <f t="shared" si="5"/>
        <v>0</v>
      </c>
    </row>
    <row r="75" spans="1:9" x14ac:dyDescent="0.25">
      <c r="A75" s="82">
        <f>'A) Base RI'!A77</f>
        <v>5514</v>
      </c>
      <c r="B75" s="14" t="str">
        <f>'A) Base RI'!B77</f>
        <v>Bottens</v>
      </c>
      <c r="C75" s="158">
        <f>'A) Base RI'!AN77</f>
        <v>1281</v>
      </c>
      <c r="D75" s="199">
        <f>'D) Ecrêtage'!O75</f>
        <v>33.447346534717468</v>
      </c>
      <c r="E75" s="64">
        <f t="shared" si="4"/>
        <v>10.408484630143299</v>
      </c>
      <c r="F75" s="202">
        <f t="shared" si="6"/>
        <v>248398.79795290876</v>
      </c>
      <c r="G75" s="183">
        <f>'A) Base RI'!AM77</f>
        <v>69</v>
      </c>
      <c r="H75" s="191">
        <f t="shared" si="7"/>
        <v>1.0164621234913112</v>
      </c>
      <c r="I75" s="206">
        <f t="shared" si="5"/>
        <v>252487.96963990279</v>
      </c>
    </row>
    <row r="76" spans="1:9" x14ac:dyDescent="0.25">
      <c r="A76" s="82">
        <f>'A) Base RI'!A78</f>
        <v>5515</v>
      </c>
      <c r="B76" s="14" t="str">
        <f>'A) Base RI'!B78</f>
        <v>Bretigny-sur-Morrens</v>
      </c>
      <c r="C76" s="158">
        <f>'A) Base RI'!AN78</f>
        <v>785</v>
      </c>
      <c r="D76" s="199">
        <f>'D) Ecrêtage'!O76</f>
        <v>28.310407468807259</v>
      </c>
      <c r="E76" s="64">
        <f t="shared" si="4"/>
        <v>15.545423696053508</v>
      </c>
      <c r="F76" s="202">
        <f t="shared" si="6"/>
        <v>240524.23632363349</v>
      </c>
      <c r="G76" s="183">
        <f>'A) Base RI'!AM78</f>
        <v>73</v>
      </c>
      <c r="H76" s="191">
        <f t="shared" si="7"/>
        <v>1.075387463983561</v>
      </c>
      <c r="I76" s="206">
        <f t="shared" si="5"/>
        <v>258656.74852665493</v>
      </c>
    </row>
    <row r="77" spans="1:9" x14ac:dyDescent="0.25">
      <c r="A77" s="82">
        <f>'A) Base RI'!A79</f>
        <v>5516</v>
      </c>
      <c r="B77" s="14" t="str">
        <f>'A) Base RI'!B79</f>
        <v>Cugy</v>
      </c>
      <c r="C77" s="158">
        <f>'A) Base RI'!AN79</f>
        <v>2738</v>
      </c>
      <c r="D77" s="199">
        <f>'D) Ecrêtage'!O77</f>
        <v>42.962527119697356</v>
      </c>
      <c r="E77" s="64">
        <f t="shared" si="4"/>
        <v>0.89330404516341133</v>
      </c>
      <c r="F77" s="202">
        <f t="shared" si="6"/>
        <v>44245.724544642741</v>
      </c>
      <c r="G77" s="183">
        <f>'A) Base RI'!AM79</f>
        <v>67</v>
      </c>
      <c r="H77" s="191">
        <f t="shared" si="7"/>
        <v>0.98699945324518623</v>
      </c>
      <c r="I77" s="206">
        <f t="shared" si="5"/>
        <v>43670.505933999499</v>
      </c>
    </row>
    <row r="78" spans="1:9" x14ac:dyDescent="0.25">
      <c r="A78" s="82">
        <f>'A) Base RI'!A80</f>
        <v>5518</v>
      </c>
      <c r="B78" s="14" t="str">
        <f>'A) Base RI'!B80</f>
        <v>Echallens</v>
      </c>
      <c r="C78" s="158">
        <f>'A) Base RI'!AN80</f>
        <v>5485</v>
      </c>
      <c r="D78" s="199">
        <f>'D) Ecrêtage'!O78</f>
        <v>31.569051122225236</v>
      </c>
      <c r="E78" s="64">
        <f t="shared" si="4"/>
        <v>12.286780042635531</v>
      </c>
      <c r="F78" s="202">
        <f t="shared" si="6"/>
        <v>1346511.9109064406</v>
      </c>
      <c r="G78" s="183">
        <f>'A) Base RI'!AM80</f>
        <v>74</v>
      </c>
      <c r="H78" s="191">
        <f t="shared" si="7"/>
        <v>1.0901187991066237</v>
      </c>
      <c r="I78" s="206">
        <f t="shared" si="5"/>
        <v>1467857.9473000939</v>
      </c>
    </row>
    <row r="79" spans="1:9" x14ac:dyDescent="0.25">
      <c r="A79" s="82">
        <f>'A) Base RI'!A81</f>
        <v>5520</v>
      </c>
      <c r="B79" s="14" t="str">
        <f>'A) Base RI'!B81</f>
        <v>Essertines-sur-Yverdon</v>
      </c>
      <c r="C79" s="158">
        <f>'A) Base RI'!AN81</f>
        <v>908</v>
      </c>
      <c r="D79" s="199">
        <f>'D) Ecrêtage'!O79</f>
        <v>30.818594683483191</v>
      </c>
      <c r="E79" s="64">
        <f t="shared" si="4"/>
        <v>13.037236481377576</v>
      </c>
      <c r="F79" s="202">
        <f t="shared" si="6"/>
        <v>233323.24939154048</v>
      </c>
      <c r="G79" s="183">
        <f>'A) Base RI'!AM81</f>
        <v>73</v>
      </c>
      <c r="H79" s="191">
        <f t="shared" si="7"/>
        <v>1.075387463983561</v>
      </c>
      <c r="I79" s="206">
        <f t="shared" si="5"/>
        <v>250912.89745157264</v>
      </c>
    </row>
    <row r="80" spans="1:9" x14ac:dyDescent="0.25">
      <c r="A80" s="82">
        <f>'A) Base RI'!A82</f>
        <v>5521</v>
      </c>
      <c r="B80" s="14" t="str">
        <f>'A) Base RI'!B82</f>
        <v>Etagnières</v>
      </c>
      <c r="C80" s="158">
        <f>'A) Base RI'!AN82</f>
        <v>1106</v>
      </c>
      <c r="D80" s="199">
        <f>'D) Ecrêtage'!O80</f>
        <v>32.821138249647007</v>
      </c>
      <c r="E80" s="64">
        <f t="shared" ref="E80:E143" si="8">IF($D$323-D80&lt;0,0,$D$323-D80)</f>
        <v>11.034692915213761</v>
      </c>
      <c r="F80" s="202">
        <f t="shared" si="6"/>
        <v>240548.13987890273</v>
      </c>
      <c r="G80" s="183">
        <f>'A) Base RI'!AM82</f>
        <v>73</v>
      </c>
      <c r="H80" s="191">
        <f t="shared" si="7"/>
        <v>1.075387463983561</v>
      </c>
      <c r="I80" s="206">
        <f t="shared" si="5"/>
        <v>258682.45411033611</v>
      </c>
    </row>
    <row r="81" spans="1:9" x14ac:dyDescent="0.25">
      <c r="A81" s="82">
        <f>'A) Base RI'!A83</f>
        <v>5522</v>
      </c>
      <c r="B81" s="14" t="str">
        <f>'A) Base RI'!B83</f>
        <v>Fey</v>
      </c>
      <c r="C81" s="158">
        <f>'A) Base RI'!AN83</f>
        <v>620</v>
      </c>
      <c r="D81" s="199">
        <f>'D) Ecrêtage'!O81</f>
        <v>26.063515698924732</v>
      </c>
      <c r="E81" s="64">
        <f t="shared" si="8"/>
        <v>17.792315465936035</v>
      </c>
      <c r="F81" s="202">
        <f t="shared" si="6"/>
        <v>223382.52067482693</v>
      </c>
      <c r="G81" s="183">
        <f>'A) Base RI'!AM83</f>
        <v>75</v>
      </c>
      <c r="H81" s="191">
        <f t="shared" si="7"/>
        <v>1.1048501342296861</v>
      </c>
      <c r="I81" s="206">
        <f t="shared" si="5"/>
        <v>246804.20795214816</v>
      </c>
    </row>
    <row r="82" spans="1:9" x14ac:dyDescent="0.25">
      <c r="A82" s="82">
        <f>'A) Base RI'!A84</f>
        <v>5523</v>
      </c>
      <c r="B82" s="14" t="str">
        <f>'A) Base RI'!B84</f>
        <v>Froideville</v>
      </c>
      <c r="C82" s="158">
        <f>'A) Base RI'!AN84</f>
        <v>2305</v>
      </c>
      <c r="D82" s="199">
        <f>'D) Ecrêtage'!O82</f>
        <v>31.341811736499597</v>
      </c>
      <c r="E82" s="64">
        <f t="shared" si="8"/>
        <v>12.51401942836117</v>
      </c>
      <c r="F82" s="202">
        <f t="shared" si="6"/>
        <v>591895.59933428373</v>
      </c>
      <c r="G82" s="183">
        <f>'A) Base RI'!AM84</f>
        <v>76</v>
      </c>
      <c r="H82" s="191">
        <f t="shared" si="7"/>
        <v>1.1195814693527486</v>
      </c>
      <c r="I82" s="206">
        <f t="shared" si="5"/>
        <v>662675.34480610315</v>
      </c>
    </row>
    <row r="83" spans="1:9" x14ac:dyDescent="0.25">
      <c r="A83" s="82">
        <f>'A) Base RI'!A85</f>
        <v>5527</v>
      </c>
      <c r="B83" s="14" t="str">
        <f>'A) Base RI'!B85</f>
        <v>Morrens</v>
      </c>
      <c r="C83" s="158">
        <f>'A) Base RI'!AN85</f>
        <v>1048</v>
      </c>
      <c r="D83" s="199">
        <f>'D) Ecrêtage'!O83</f>
        <v>36.030230082786808</v>
      </c>
      <c r="E83" s="64">
        <f t="shared" si="8"/>
        <v>7.825601082073959</v>
      </c>
      <c r="F83" s="202">
        <f t="shared" si="6"/>
        <v>157217.57783503897</v>
      </c>
      <c r="G83" s="183">
        <f>'A) Base RI'!AM85</f>
        <v>71</v>
      </c>
      <c r="H83" s="191">
        <f t="shared" si="7"/>
        <v>1.0459247937374361</v>
      </c>
      <c r="I83" s="206">
        <f t="shared" si="5"/>
        <v>164437.76266901245</v>
      </c>
    </row>
    <row r="84" spans="1:9" x14ac:dyDescent="0.25">
      <c r="A84" s="82">
        <f>'A) Base RI'!A86</f>
        <v>5529</v>
      </c>
      <c r="B84" s="14" t="str">
        <f>'A) Base RI'!B86</f>
        <v>Oulens-sous-Echallens</v>
      </c>
      <c r="C84" s="158">
        <f>'A) Base RI'!AN86</f>
        <v>529</v>
      </c>
      <c r="D84" s="199">
        <f>'D) Ecrêtage'!O84</f>
        <v>36.668506105349209</v>
      </c>
      <c r="E84" s="64">
        <f t="shared" si="8"/>
        <v>7.1873250595115579</v>
      </c>
      <c r="F84" s="202">
        <f t="shared" si="6"/>
        <v>75965.857230502661</v>
      </c>
      <c r="G84" s="183">
        <f>'A) Base RI'!AM86</f>
        <v>74</v>
      </c>
      <c r="H84" s="191">
        <f t="shared" si="7"/>
        <v>1.0901187991066237</v>
      </c>
      <c r="I84" s="206">
        <f t="shared" si="5"/>
        <v>82811.809057220788</v>
      </c>
    </row>
    <row r="85" spans="1:9" x14ac:dyDescent="0.25">
      <c r="A85" s="82">
        <f>'A) Base RI'!A87</f>
        <v>5530</v>
      </c>
      <c r="B85" s="14" t="str">
        <f>'A) Base RI'!B87</f>
        <v>Pailly</v>
      </c>
      <c r="C85" s="158">
        <f>'A) Base RI'!AN87</f>
        <v>524</v>
      </c>
      <c r="D85" s="199">
        <f>'D) Ecrêtage'!O85</f>
        <v>26.539088976442585</v>
      </c>
      <c r="E85" s="64">
        <f t="shared" si="8"/>
        <v>17.316742188418182</v>
      </c>
      <c r="F85" s="202">
        <f t="shared" si="6"/>
        <v>189872.88307334887</v>
      </c>
      <c r="G85" s="183">
        <f>'A) Base RI'!AM87</f>
        <v>77.5</v>
      </c>
      <c r="H85" s="191">
        <f t="shared" si="7"/>
        <v>1.1416784720373423</v>
      </c>
      <c r="I85" s="206">
        <f t="shared" si="5"/>
        <v>216773.78302850589</v>
      </c>
    </row>
    <row r="86" spans="1:9" x14ac:dyDescent="0.25">
      <c r="A86" s="82">
        <f>'A) Base RI'!A88</f>
        <v>5531</v>
      </c>
      <c r="B86" s="14" t="str">
        <f>'A) Base RI'!B88</f>
        <v>Penthéréaz</v>
      </c>
      <c r="C86" s="158">
        <f>'A) Base RI'!AN88</f>
        <v>387</v>
      </c>
      <c r="D86" s="199">
        <f>'D) Ecrêtage'!O86</f>
        <v>34.078839528258129</v>
      </c>
      <c r="E86" s="64">
        <f t="shared" si="8"/>
        <v>9.7769916366026379</v>
      </c>
      <c r="F86" s="202">
        <f t="shared" si="6"/>
        <v>79684.632776471553</v>
      </c>
      <c r="G86" s="183">
        <f>'A) Base RI'!AM88</f>
        <v>78</v>
      </c>
      <c r="H86" s="191">
        <f t="shared" si="7"/>
        <v>1.1490441395988735</v>
      </c>
      <c r="I86" s="206">
        <f t="shared" si="5"/>
        <v>91561.160307892947</v>
      </c>
    </row>
    <row r="87" spans="1:9" x14ac:dyDescent="0.25">
      <c r="A87" s="82">
        <f>'A) Base RI'!A89</f>
        <v>5533</v>
      </c>
      <c r="B87" s="14" t="str">
        <f>'A) Base RI'!B89</f>
        <v>Poliez-Pittet</v>
      </c>
      <c r="C87" s="158">
        <f>'A) Base RI'!AN89</f>
        <v>802</v>
      </c>
      <c r="D87" s="199">
        <f>'D) Ecrêtage'!O87</f>
        <v>29.025179773570766</v>
      </c>
      <c r="E87" s="64">
        <f t="shared" si="8"/>
        <v>14.830651391290001</v>
      </c>
      <c r="F87" s="202">
        <f t="shared" si="6"/>
        <v>228011.47691116555</v>
      </c>
      <c r="G87" s="183">
        <f>'A) Base RI'!AM89</f>
        <v>71</v>
      </c>
      <c r="H87" s="191">
        <f t="shared" si="7"/>
        <v>1.0459247937374361</v>
      </c>
      <c r="I87" s="206">
        <f t="shared" si="5"/>
        <v>238482.85695807901</v>
      </c>
    </row>
    <row r="88" spans="1:9" x14ac:dyDescent="0.25">
      <c r="A88" s="82">
        <f>'A) Base RI'!A90</f>
        <v>5534</v>
      </c>
      <c r="B88" s="14" t="str">
        <f>'A) Base RI'!B90</f>
        <v>Rueyres</v>
      </c>
      <c r="C88" s="158">
        <f>'A) Base RI'!AN90</f>
        <v>261</v>
      </c>
      <c r="D88" s="199">
        <f>'D) Ecrêtage'!O88</f>
        <v>28.704391959271508</v>
      </c>
      <c r="E88" s="64">
        <f t="shared" si="8"/>
        <v>15.151439205589259</v>
      </c>
      <c r="F88" s="202">
        <f t="shared" si="6"/>
        <v>77943.700219704901</v>
      </c>
      <c r="G88" s="183">
        <f>'A) Base RI'!AM90</f>
        <v>73</v>
      </c>
      <c r="H88" s="191">
        <f t="shared" si="7"/>
        <v>1.075387463983561</v>
      </c>
      <c r="I88" s="206">
        <f t="shared" si="5"/>
        <v>83819.678112763373</v>
      </c>
    </row>
    <row r="89" spans="1:9" x14ac:dyDescent="0.25">
      <c r="A89" s="82">
        <f>'A) Base RI'!A91</f>
        <v>5535</v>
      </c>
      <c r="B89" s="14" t="str">
        <f>'A) Base RI'!B91</f>
        <v>Saint-Barthélemy</v>
      </c>
      <c r="C89" s="158">
        <f>'A) Base RI'!AN91</f>
        <v>776</v>
      </c>
      <c r="D89" s="199">
        <f>'D) Ecrêtage'!O89</f>
        <v>26.208047596733163</v>
      </c>
      <c r="E89" s="64">
        <f t="shared" si="8"/>
        <v>17.647783568127604</v>
      </c>
      <c r="F89" s="202">
        <f t="shared" si="6"/>
        <v>284712.3982159454</v>
      </c>
      <c r="G89" s="183">
        <f>'A) Base RI'!AM91</f>
        <v>77</v>
      </c>
      <c r="H89" s="191">
        <f t="shared" si="7"/>
        <v>1.1343128044758111</v>
      </c>
      <c r="I89" s="206">
        <f t="shared" si="5"/>
        <v>322952.91888936295</v>
      </c>
    </row>
    <row r="90" spans="1:9" x14ac:dyDescent="0.25">
      <c r="A90" s="82">
        <f>'A) Base RI'!A92</f>
        <v>5537</v>
      </c>
      <c r="B90" s="14" t="str">
        <f>'A) Base RI'!B92</f>
        <v>Villars-le-Terroir</v>
      </c>
      <c r="C90" s="158">
        <f>'A) Base RI'!AN92</f>
        <v>944</v>
      </c>
      <c r="D90" s="199">
        <f>'D) Ecrêtage'!O90</f>
        <v>30.076271404109587</v>
      </c>
      <c r="E90" s="64">
        <f t="shared" si="8"/>
        <v>13.77955976075118</v>
      </c>
      <c r="F90" s="202">
        <f t="shared" si="6"/>
        <v>256385.79600287907</v>
      </c>
      <c r="G90" s="183">
        <f>'A) Base RI'!AM92</f>
        <v>73</v>
      </c>
      <c r="H90" s="191">
        <f t="shared" si="7"/>
        <v>1.075387463983561</v>
      </c>
      <c r="I90" s="206">
        <f t="shared" si="5"/>
        <v>275714.07096494274</v>
      </c>
    </row>
    <row r="91" spans="1:9" x14ac:dyDescent="0.25">
      <c r="A91" s="82">
        <f>'A) Base RI'!A93</f>
        <v>5539</v>
      </c>
      <c r="B91" s="14" t="str">
        <f>'A) Base RI'!B93</f>
        <v>Vuarrens</v>
      </c>
      <c r="C91" s="158">
        <f>'A) Base RI'!AN93</f>
        <v>930</v>
      </c>
      <c r="D91" s="199">
        <f>'D) Ecrêtage'!O91</f>
        <v>24.425607598566309</v>
      </c>
      <c r="E91" s="64">
        <f t="shared" si="8"/>
        <v>19.430223566294458</v>
      </c>
      <c r="F91" s="202">
        <f t="shared" si="6"/>
        <v>365919.68531224044</v>
      </c>
      <c r="G91" s="183">
        <f>'A) Base RI'!AM93</f>
        <v>75</v>
      </c>
      <c r="H91" s="191">
        <f t="shared" si="7"/>
        <v>1.1048501342296861</v>
      </c>
      <c r="I91" s="206">
        <f t="shared" si="5"/>
        <v>404286.41343451338</v>
      </c>
    </row>
    <row r="92" spans="1:9" x14ac:dyDescent="0.25">
      <c r="A92" s="82">
        <f>'A) Base RI'!A94</f>
        <v>5540</v>
      </c>
      <c r="B92" s="14" t="str">
        <f>'A) Base RI'!B94</f>
        <v>Montilliez</v>
      </c>
      <c r="C92" s="158">
        <f>'A) Base RI'!AN94</f>
        <v>1635</v>
      </c>
      <c r="D92" s="199">
        <f>'D) Ecrêtage'!O92</f>
        <v>30.109535354161508</v>
      </c>
      <c r="E92" s="64">
        <f t="shared" si="8"/>
        <v>13.746295810699259</v>
      </c>
      <c r="F92" s="202">
        <f t="shared" si="6"/>
        <v>449054.36913685594</v>
      </c>
      <c r="G92" s="183">
        <f>'A) Base RI'!AM94</f>
        <v>74</v>
      </c>
      <c r="H92" s="191">
        <f t="shared" si="7"/>
        <v>1.0901187991066237</v>
      </c>
      <c r="I92" s="206">
        <f>F92*H92</f>
        <v>489522.6096170519</v>
      </c>
    </row>
    <row r="93" spans="1:9" x14ac:dyDescent="0.25">
      <c r="A93" s="82">
        <f>'A) Base RI'!A95</f>
        <v>5541</v>
      </c>
      <c r="B93" s="14" t="str">
        <f>'A) Base RI'!B95</f>
        <v>Goumoëns</v>
      </c>
      <c r="C93" s="158">
        <f>'A) Base RI'!AN95</f>
        <v>962</v>
      </c>
      <c r="D93" s="199">
        <f>'D) Ecrêtage'!O93</f>
        <v>29.541840861840861</v>
      </c>
      <c r="E93" s="64">
        <f t="shared" si="8"/>
        <v>14.313990303019906</v>
      </c>
      <c r="F93" s="202">
        <f t="shared" si="6"/>
        <v>286279.51978059212</v>
      </c>
      <c r="G93" s="183">
        <f>'A) Base RI'!AM95</f>
        <v>77</v>
      </c>
      <c r="H93" s="191">
        <f t="shared" si="7"/>
        <v>1.1343128044758111</v>
      </c>
      <c r="I93" s="206">
        <f>F93*H93</f>
        <v>324730.5249463119</v>
      </c>
    </row>
    <row r="94" spans="1:9" x14ac:dyDescent="0.25">
      <c r="A94" s="82">
        <f>'A) Base RI'!A96</f>
        <v>5551</v>
      </c>
      <c r="B94" s="14" t="str">
        <f>'A) Base RI'!B96</f>
        <v>Bonvillars</v>
      </c>
      <c r="C94" s="158">
        <f>'A) Base RI'!AN96</f>
        <v>514</v>
      </c>
      <c r="D94" s="199">
        <f>'D) Ecrêtage'!O94</f>
        <v>40.190401839405737</v>
      </c>
      <c r="E94" s="64">
        <f t="shared" si="8"/>
        <v>3.6654293254550296</v>
      </c>
      <c r="F94" s="202">
        <f t="shared" si="6"/>
        <v>27977.855498265701</v>
      </c>
      <c r="G94" s="183">
        <f>'A) Base RI'!AM96</f>
        <v>55</v>
      </c>
      <c r="H94" s="191">
        <f t="shared" si="7"/>
        <v>0.81022343176843648</v>
      </c>
      <c r="I94" s="206">
        <f t="shared" si="5"/>
        <v>22668.314095326255</v>
      </c>
    </row>
    <row r="95" spans="1:9" x14ac:dyDescent="0.25">
      <c r="A95" s="82">
        <f>'A) Base RI'!A97</f>
        <v>5552</v>
      </c>
      <c r="B95" s="14" t="str">
        <f>'A) Base RI'!B97</f>
        <v>Bullet</v>
      </c>
      <c r="C95" s="158">
        <f>'A) Base RI'!AN97</f>
        <v>596</v>
      </c>
      <c r="D95" s="199">
        <f>'D) Ecrêtage'!O95</f>
        <v>25.745033557046977</v>
      </c>
      <c r="E95" s="64">
        <f t="shared" si="8"/>
        <v>18.11079760781379</v>
      </c>
      <c r="F95" s="202">
        <f t="shared" si="6"/>
        <v>204007.26857345767</v>
      </c>
      <c r="G95" s="183">
        <f>'A) Base RI'!AM97</f>
        <v>70</v>
      </c>
      <c r="H95" s="191">
        <f t="shared" si="7"/>
        <v>1.0311934586143736</v>
      </c>
      <c r="I95" s="206">
        <f t="shared" si="5"/>
        <v>210370.96086273523</v>
      </c>
    </row>
    <row r="96" spans="1:9" x14ac:dyDescent="0.25">
      <c r="A96" s="82">
        <f>'A) Base RI'!A98</f>
        <v>5553</v>
      </c>
      <c r="B96" s="14" t="str">
        <f>'A) Base RI'!B98</f>
        <v>Champagne</v>
      </c>
      <c r="C96" s="158">
        <f>'A) Base RI'!AN98</f>
        <v>1005</v>
      </c>
      <c r="D96" s="199">
        <f>'D) Ecrêtage'!O96</f>
        <v>34.390009002606021</v>
      </c>
      <c r="E96" s="64">
        <f t="shared" si="8"/>
        <v>9.4658221622547458</v>
      </c>
      <c r="F96" s="202">
        <f t="shared" si="6"/>
        <v>161818.70315485299</v>
      </c>
      <c r="G96" s="183">
        <f>'A) Base RI'!AM98</f>
        <v>63</v>
      </c>
      <c r="H96" s="191">
        <f t="shared" si="7"/>
        <v>0.92807411275293628</v>
      </c>
      <c r="I96" s="206">
        <f t="shared" si="5"/>
        <v>150179.74935727095</v>
      </c>
    </row>
    <row r="97" spans="1:9" x14ac:dyDescent="0.25">
      <c r="A97" s="82">
        <f>'A) Base RI'!A99</f>
        <v>5554</v>
      </c>
      <c r="B97" s="14" t="str">
        <f>'A) Base RI'!B99</f>
        <v>Concise</v>
      </c>
      <c r="C97" s="158">
        <f>'A) Base RI'!AN99</f>
        <v>932</v>
      </c>
      <c r="D97" s="199">
        <f>'D) Ecrêtage'!O97</f>
        <v>31.038397567954224</v>
      </c>
      <c r="E97" s="64">
        <f t="shared" si="8"/>
        <v>12.817433596906543</v>
      </c>
      <c r="F97" s="202">
        <f t="shared" si="6"/>
        <v>241903.42427441722</v>
      </c>
      <c r="G97" s="183">
        <f>'A) Base RI'!AM99</f>
        <v>75</v>
      </c>
      <c r="H97" s="191">
        <f t="shared" si="7"/>
        <v>1.1048501342296861</v>
      </c>
      <c r="I97" s="206">
        <f t="shared" si="5"/>
        <v>267267.03078021057</v>
      </c>
    </row>
    <row r="98" spans="1:9" x14ac:dyDescent="0.25">
      <c r="A98" s="82">
        <f>'A) Base RI'!A100</f>
        <v>5555</v>
      </c>
      <c r="B98" s="14" t="str">
        <f>'A) Base RI'!B100</f>
        <v>Corcelles-près-Concise</v>
      </c>
      <c r="C98" s="158">
        <f>'A) Base RI'!AN100</f>
        <v>331</v>
      </c>
      <c r="D98" s="199">
        <f>'D) Ecrêtage'!O98</f>
        <v>28.863952172247984</v>
      </c>
      <c r="E98" s="64">
        <f t="shared" si="8"/>
        <v>14.991878992612783</v>
      </c>
      <c r="F98" s="202">
        <f t="shared" si="6"/>
        <v>95127.520015456132</v>
      </c>
      <c r="G98" s="183">
        <f>'A) Base RI'!AM100</f>
        <v>71</v>
      </c>
      <c r="H98" s="191">
        <f t="shared" si="7"/>
        <v>1.0459247937374361</v>
      </c>
      <c r="I98" s="206">
        <f t="shared" si="5"/>
        <v>99496.231750919775</v>
      </c>
    </row>
    <row r="99" spans="1:9" x14ac:dyDescent="0.25">
      <c r="A99" s="82">
        <f>'A) Base RI'!A101</f>
        <v>5556</v>
      </c>
      <c r="B99" s="14" t="str">
        <f>'A) Base RI'!B101</f>
        <v>Fiez</v>
      </c>
      <c r="C99" s="158">
        <f>'A) Base RI'!AN101</f>
        <v>411</v>
      </c>
      <c r="D99" s="199">
        <f>'D) Ecrêtage'!O99</f>
        <v>26.594635271577513</v>
      </c>
      <c r="E99" s="64">
        <f t="shared" si="8"/>
        <v>17.261195893283254</v>
      </c>
      <c r="F99" s="202">
        <f t="shared" si="6"/>
        <v>132167.76867115736</v>
      </c>
      <c r="G99" s="183">
        <f>'A) Base RI'!AM101</f>
        <v>69</v>
      </c>
      <c r="H99" s="191">
        <f t="shared" si="7"/>
        <v>1.0164621234913112</v>
      </c>
      <c r="I99" s="206">
        <f t="shared" si="5"/>
        <v>134343.530800593</v>
      </c>
    </row>
    <row r="100" spans="1:9" x14ac:dyDescent="0.25">
      <c r="A100" s="82">
        <f>'A) Base RI'!A102</f>
        <v>5557</v>
      </c>
      <c r="B100" s="14" t="str">
        <f>'A) Base RI'!B102</f>
        <v>Fontaines-sur-Grandson</v>
      </c>
      <c r="C100" s="158">
        <f>'A) Base RI'!AN102</f>
        <v>183</v>
      </c>
      <c r="D100" s="199">
        <f>'D) Ecrêtage'!O100</f>
        <v>25.108369367228953</v>
      </c>
      <c r="E100" s="64">
        <f t="shared" si="8"/>
        <v>18.747461797631814</v>
      </c>
      <c r="F100" s="202">
        <f t="shared" si="6"/>
        <v>63915.53403204817</v>
      </c>
      <c r="G100" s="183">
        <f>'A) Base RI'!AM102</f>
        <v>69</v>
      </c>
      <c r="H100" s="191">
        <f t="shared" si="7"/>
        <v>1.0164621234913112</v>
      </c>
      <c r="I100" s="206">
        <f t="shared" si="5"/>
        <v>64967.719446296847</v>
      </c>
    </row>
    <row r="101" spans="1:9" x14ac:dyDescent="0.25">
      <c r="A101" s="82">
        <f>'A) Base RI'!A103</f>
        <v>5559</v>
      </c>
      <c r="B101" s="14" t="str">
        <f>'A) Base RI'!B103</f>
        <v>Giez</v>
      </c>
      <c r="C101" s="158">
        <f>'A) Base RI'!AN103</f>
        <v>384</v>
      </c>
      <c r="D101" s="199">
        <f>'D) Ecrêtage'!O101</f>
        <v>38.408357402146464</v>
      </c>
      <c r="E101" s="64">
        <f t="shared" si="8"/>
        <v>5.4474737627143028</v>
      </c>
      <c r="F101" s="202">
        <f t="shared" si="6"/>
        <v>37276.409261402448</v>
      </c>
      <c r="G101" s="183">
        <f>'A) Base RI'!AM103</f>
        <v>66</v>
      </c>
      <c r="H101" s="191">
        <f t="shared" si="7"/>
        <v>0.97226811812212377</v>
      </c>
      <c r="I101" s="206">
        <f t="shared" si="5"/>
        <v>36242.664282933867</v>
      </c>
    </row>
    <row r="102" spans="1:9" x14ac:dyDescent="0.25">
      <c r="A102" s="82">
        <f>'A) Base RI'!A104</f>
        <v>5560</v>
      </c>
      <c r="B102" s="14" t="str">
        <f>'A) Base RI'!B104</f>
        <v>Grandevent</v>
      </c>
      <c r="C102" s="158">
        <f>'A) Base RI'!AN104</f>
        <v>226</v>
      </c>
      <c r="D102" s="199">
        <f>'D) Ecrêtage'!O102</f>
        <v>27.067089702333067</v>
      </c>
      <c r="E102" s="64">
        <f t="shared" si="8"/>
        <v>16.7887414625277</v>
      </c>
      <c r="F102" s="202">
        <f t="shared" si="6"/>
        <v>67613.634266867055</v>
      </c>
      <c r="G102" s="183">
        <f>'A) Base RI'!AM104</f>
        <v>66</v>
      </c>
      <c r="H102" s="191">
        <f t="shared" si="7"/>
        <v>0.97226811812212377</v>
      </c>
      <c r="I102" s="206">
        <f t="shared" si="5"/>
        <v>65738.580948044371</v>
      </c>
    </row>
    <row r="103" spans="1:9" x14ac:dyDescent="0.25">
      <c r="A103" s="82">
        <f>'A) Base RI'!A105</f>
        <v>5561</v>
      </c>
      <c r="B103" s="14" t="str">
        <f>'A) Base RI'!B105</f>
        <v>Grandson</v>
      </c>
      <c r="C103" s="158">
        <f>'A) Base RI'!AN105</f>
        <v>3244</v>
      </c>
      <c r="D103" s="199">
        <f>'D) Ecrêtage'!O103</f>
        <v>33.457216846262448</v>
      </c>
      <c r="E103" s="64">
        <f t="shared" si="8"/>
        <v>10.39861431859832</v>
      </c>
      <c r="F103" s="202">
        <f t="shared" si="6"/>
        <v>628447.74334679882</v>
      </c>
      <c r="G103" s="183">
        <f>'A) Base RI'!AM105</f>
        <v>69</v>
      </c>
      <c r="H103" s="191">
        <f t="shared" si="7"/>
        <v>1.0164621234913112</v>
      </c>
      <c r="I103" s="206">
        <f t="shared" si="5"/>
        <v>638793.32770560961</v>
      </c>
    </row>
    <row r="104" spans="1:9" x14ac:dyDescent="0.25">
      <c r="A104" s="82">
        <f>'A) Base RI'!A106</f>
        <v>5562</v>
      </c>
      <c r="B104" s="14" t="str">
        <f>'A) Base RI'!B106</f>
        <v>Mauborget</v>
      </c>
      <c r="C104" s="158">
        <f>'A) Base RI'!AN106</f>
        <v>110</v>
      </c>
      <c r="D104" s="199">
        <f>'D) Ecrêtage'!O104</f>
        <v>30.709099134199132</v>
      </c>
      <c r="E104" s="64">
        <f t="shared" si="8"/>
        <v>13.146732030661635</v>
      </c>
      <c r="F104" s="202">
        <f t="shared" si="6"/>
        <v>27332.055891745542</v>
      </c>
      <c r="G104" s="183">
        <f>'A) Base RI'!AM106</f>
        <v>70</v>
      </c>
      <c r="H104" s="191">
        <f t="shared" si="7"/>
        <v>1.0311934586143736</v>
      </c>
      <c r="I104" s="206">
        <f t="shared" si="5"/>
        <v>28184.637246050454</v>
      </c>
    </row>
    <row r="105" spans="1:9" x14ac:dyDescent="0.25">
      <c r="A105" s="82">
        <f>'A) Base RI'!A107</f>
        <v>5563</v>
      </c>
      <c r="B105" s="14" t="str">
        <f>'A) Base RI'!B107</f>
        <v>Mutrux</v>
      </c>
      <c r="C105" s="158">
        <f>'A) Base RI'!AN107</f>
        <v>149</v>
      </c>
      <c r="D105" s="199">
        <f>'D) Ecrêtage'!O105</f>
        <v>25.058089171974522</v>
      </c>
      <c r="E105" s="64">
        <f t="shared" si="8"/>
        <v>18.797741992886245</v>
      </c>
      <c r="F105" s="202">
        <f t="shared" si="6"/>
        <v>59364.303089344372</v>
      </c>
      <c r="G105" s="183">
        <f>'A) Base RI'!AM107</f>
        <v>78.5</v>
      </c>
      <c r="H105" s="191">
        <f t="shared" si="7"/>
        <v>1.1564098071604048</v>
      </c>
      <c r="I105" s="206">
        <f t="shared" si="5"/>
        <v>68649.462287760543</v>
      </c>
    </row>
    <row r="106" spans="1:9" x14ac:dyDescent="0.25">
      <c r="A106" s="82">
        <f>'A) Base RI'!A108</f>
        <v>5564</v>
      </c>
      <c r="B106" s="14" t="str">
        <f>'A) Base RI'!B108</f>
        <v>Novalles</v>
      </c>
      <c r="C106" s="158">
        <f>'A) Base RI'!AN108</f>
        <v>102</v>
      </c>
      <c r="D106" s="199">
        <f>'D) Ecrêtage'!O106</f>
        <v>23.52526541537668</v>
      </c>
      <c r="E106" s="64">
        <f t="shared" si="8"/>
        <v>20.330565749484087</v>
      </c>
      <c r="F106" s="202">
        <f t="shared" si="6"/>
        <v>42552.687336300172</v>
      </c>
      <c r="G106" s="183">
        <f>'A) Base RI'!AM108</f>
        <v>76</v>
      </c>
      <c r="H106" s="191">
        <f t="shared" si="7"/>
        <v>1.1195814693527486</v>
      </c>
      <c r="I106" s="206">
        <f t="shared" si="5"/>
        <v>47641.200212883043</v>
      </c>
    </row>
    <row r="107" spans="1:9" x14ac:dyDescent="0.25">
      <c r="A107" s="82">
        <f>'A) Base RI'!A109</f>
        <v>5565</v>
      </c>
      <c r="B107" s="14" t="str">
        <f>'A) Base RI'!B109</f>
        <v>Onnens</v>
      </c>
      <c r="C107" s="158">
        <f>'A) Base RI'!AN109</f>
        <v>500</v>
      </c>
      <c r="D107" s="199">
        <f>'D) Ecrêtage'!O107</f>
        <v>36.056081230769223</v>
      </c>
      <c r="E107" s="64">
        <f t="shared" si="8"/>
        <v>7.7997499340915439</v>
      </c>
      <c r="F107" s="202">
        <f t="shared" si="6"/>
        <v>68442.805671653303</v>
      </c>
      <c r="G107" s="183">
        <f>'A) Base RI'!AM109</f>
        <v>65</v>
      </c>
      <c r="H107" s="191">
        <f t="shared" si="7"/>
        <v>0.95753678299906131</v>
      </c>
      <c r="I107" s="206">
        <f t="shared" si="5"/>
        <v>65536.503962264818</v>
      </c>
    </row>
    <row r="108" spans="1:9" x14ac:dyDescent="0.25">
      <c r="A108" s="82">
        <f>'A) Base RI'!A110</f>
        <v>5566</v>
      </c>
      <c r="B108" s="14" t="str">
        <f>'A) Base RI'!B110</f>
        <v>Provence</v>
      </c>
      <c r="C108" s="158">
        <f>'A) Base RI'!AN110</f>
        <v>373</v>
      </c>
      <c r="D108" s="199">
        <f>'D) Ecrêtage'!O108</f>
        <v>18.642160659318836</v>
      </c>
      <c r="E108" s="64">
        <f t="shared" si="8"/>
        <v>25.213670505541931</v>
      </c>
      <c r="F108" s="202">
        <f t="shared" si="6"/>
        <v>205680.76928566338</v>
      </c>
      <c r="G108" s="183">
        <f>'A) Base RI'!AM110</f>
        <v>81</v>
      </c>
      <c r="H108" s="191">
        <f t="shared" si="7"/>
        <v>1.1932381449680609</v>
      </c>
      <c r="I108" s="206">
        <f t="shared" si="5"/>
        <v>245426.13959802868</v>
      </c>
    </row>
    <row r="109" spans="1:9" x14ac:dyDescent="0.25">
      <c r="A109" s="82">
        <f>'A) Base RI'!A111</f>
        <v>5568</v>
      </c>
      <c r="B109" s="14" t="str">
        <f>'A) Base RI'!B111</f>
        <v>Sainte-Croix</v>
      </c>
      <c r="C109" s="158">
        <f>'A) Base RI'!AN111</f>
        <v>4732</v>
      </c>
      <c r="D109" s="199">
        <f>'D) Ecrêtage'!O109</f>
        <v>20.198163506822848</v>
      </c>
      <c r="E109" s="64">
        <f t="shared" si="8"/>
        <v>23.657667658037919</v>
      </c>
      <c r="F109" s="202">
        <f t="shared" si="6"/>
        <v>2115818.7754630898</v>
      </c>
      <c r="G109" s="183">
        <f>'A) Base RI'!AM111</f>
        <v>70</v>
      </c>
      <c r="H109" s="191">
        <f t="shared" si="7"/>
        <v>1.0311934586143736</v>
      </c>
      <c r="I109" s="206">
        <f t="shared" si="5"/>
        <v>2181818.4808710124</v>
      </c>
    </row>
    <row r="110" spans="1:9" x14ac:dyDescent="0.25">
      <c r="A110" s="82">
        <f>'A) Base RI'!A112</f>
        <v>5571</v>
      </c>
      <c r="B110" s="14" t="str">
        <f>'A) Base RI'!B112</f>
        <v>Tévenon</v>
      </c>
      <c r="C110" s="158">
        <f>'A) Base RI'!AN112</f>
        <v>760</v>
      </c>
      <c r="D110" s="199">
        <f>'D) Ecrêtage'!O110</f>
        <v>25.982185051670275</v>
      </c>
      <c r="E110" s="64">
        <f t="shared" si="8"/>
        <v>17.873646113190492</v>
      </c>
      <c r="F110" s="202">
        <f t="shared" si="6"/>
        <v>267740.0693171483</v>
      </c>
      <c r="G110" s="183">
        <f>'A) Base RI'!AM112</f>
        <v>73</v>
      </c>
      <c r="H110" s="191">
        <f t="shared" si="7"/>
        <v>1.075387463983561</v>
      </c>
      <c r="I110" s="206">
        <f t="shared" si="5"/>
        <v>287924.31414975092</v>
      </c>
    </row>
    <row r="111" spans="1:9" x14ac:dyDescent="0.25">
      <c r="A111" s="82">
        <f>'A) Base RI'!A113</f>
        <v>5581</v>
      </c>
      <c r="B111" s="14" t="str">
        <f>'A) Base RI'!B113</f>
        <v>Belmont-sur-Lausanne</v>
      </c>
      <c r="C111" s="158">
        <f>'A) Base RI'!AN113</f>
        <v>3554</v>
      </c>
      <c r="D111" s="199">
        <f>'D) Ecrêtage'!O111</f>
        <v>50.709210239011945</v>
      </c>
      <c r="E111" s="64">
        <f t="shared" si="8"/>
        <v>0</v>
      </c>
      <c r="F111" s="202">
        <f t="shared" si="6"/>
        <v>0</v>
      </c>
      <c r="G111" s="183">
        <f>'A) Base RI'!AM113</f>
        <v>69.5</v>
      </c>
      <c r="H111" s="191">
        <f t="shared" si="7"/>
        <v>1.0238277910528424</v>
      </c>
      <c r="I111" s="206">
        <f t="shared" si="5"/>
        <v>0</v>
      </c>
    </row>
    <row r="112" spans="1:9" x14ac:dyDescent="0.25">
      <c r="A112" s="82">
        <f>'A) Base RI'!A114</f>
        <v>5582</v>
      </c>
      <c r="B112" s="14" t="str">
        <f>'A) Base RI'!B114</f>
        <v>Cheseaux-sur-Lausanne</v>
      </c>
      <c r="C112" s="158">
        <f>'A) Base RI'!AN114</f>
        <v>4080</v>
      </c>
      <c r="D112" s="199">
        <f>'D) Ecrêtage'!O112</f>
        <v>35.634410053954461</v>
      </c>
      <c r="E112" s="64">
        <f t="shared" si="8"/>
        <v>8.2214211109063058</v>
      </c>
      <c r="F112" s="202">
        <f t="shared" si="6"/>
        <v>674725.45343519177</v>
      </c>
      <c r="G112" s="183">
        <f>'A) Base RI'!AM114</f>
        <v>74.5</v>
      </c>
      <c r="H112" s="191">
        <f t="shared" si="7"/>
        <v>1.0974844666681549</v>
      </c>
      <c r="I112" s="206">
        <f t="shared" si="5"/>
        <v>740500.70441075042</v>
      </c>
    </row>
    <row r="113" spans="1:9" x14ac:dyDescent="0.25">
      <c r="A113" s="82">
        <f>'A) Base RI'!A115</f>
        <v>5583</v>
      </c>
      <c r="B113" s="14" t="str">
        <f>'A) Base RI'!B115</f>
        <v>Crissier</v>
      </c>
      <c r="C113" s="158">
        <f>'A) Base RI'!AN115</f>
        <v>7407</v>
      </c>
      <c r="D113" s="199">
        <f>'D) Ecrêtage'!O113</f>
        <v>40.584656156857861</v>
      </c>
      <c r="E113" s="64">
        <f t="shared" si="8"/>
        <v>3.2711750080029063</v>
      </c>
      <c r="F113" s="202">
        <f t="shared" si="6"/>
        <v>425229.36213907058</v>
      </c>
      <c r="G113" s="183">
        <f>'A) Base RI'!AM115</f>
        <v>65</v>
      </c>
      <c r="H113" s="191">
        <f t="shared" si="7"/>
        <v>0.95753678299906131</v>
      </c>
      <c r="I113" s="206">
        <f t="shared" si="5"/>
        <v>407172.75545938849</v>
      </c>
    </row>
    <row r="114" spans="1:9" x14ac:dyDescent="0.25">
      <c r="A114" s="82">
        <f>'A) Base RI'!A116</f>
        <v>5584</v>
      </c>
      <c r="B114" s="14" t="str">
        <f>'A) Base RI'!B116</f>
        <v>Epalinges</v>
      </c>
      <c r="C114" s="158">
        <f>'A) Base RI'!AN116</f>
        <v>8912</v>
      </c>
      <c r="D114" s="199">
        <f>'D) Ecrêtage'!O114</f>
        <v>51.784855914395294</v>
      </c>
      <c r="E114" s="64">
        <f t="shared" si="8"/>
        <v>0</v>
      </c>
      <c r="F114" s="202">
        <f t="shared" si="6"/>
        <v>0</v>
      </c>
      <c r="G114" s="183">
        <f>'A) Base RI'!AM116</f>
        <v>66</v>
      </c>
      <c r="H114" s="191">
        <f t="shared" si="7"/>
        <v>0.97226811812212377</v>
      </c>
      <c r="I114" s="206">
        <f t="shared" si="5"/>
        <v>0</v>
      </c>
    </row>
    <row r="115" spans="1:9" x14ac:dyDescent="0.25">
      <c r="A115" s="82">
        <f>'A) Base RI'!A117</f>
        <v>5585</v>
      </c>
      <c r="B115" s="14" t="str">
        <f>'A) Base RI'!B117</f>
        <v>Jouxtens-Mézery</v>
      </c>
      <c r="C115" s="158">
        <f>'A) Base RI'!AN117</f>
        <v>1398</v>
      </c>
      <c r="D115" s="199">
        <f>'D) Ecrêtage'!O115</f>
        <v>96.273472787304513</v>
      </c>
      <c r="E115" s="64">
        <f t="shared" si="8"/>
        <v>0</v>
      </c>
      <c r="F115" s="202">
        <f t="shared" si="6"/>
        <v>0</v>
      </c>
      <c r="G115" s="183">
        <f>'A) Base RI'!AM117</f>
        <v>55</v>
      </c>
      <c r="H115" s="191">
        <f t="shared" si="7"/>
        <v>0.81022343176843648</v>
      </c>
      <c r="I115" s="206">
        <f t="shared" si="5"/>
        <v>0</v>
      </c>
    </row>
    <row r="116" spans="1:9" x14ac:dyDescent="0.25">
      <c r="A116" s="82">
        <f>'A) Base RI'!A118</f>
        <v>5586</v>
      </c>
      <c r="B116" s="14" t="str">
        <f>'A) Base RI'!B118</f>
        <v>Lausanne</v>
      </c>
      <c r="C116" s="158">
        <f>'A) Base RI'!AN118</f>
        <v>133521</v>
      </c>
      <c r="D116" s="199">
        <f>'D) Ecrêtage'!O116</f>
        <v>45.205274065992619</v>
      </c>
      <c r="E116" s="64">
        <f t="shared" si="8"/>
        <v>0</v>
      </c>
      <c r="F116" s="202">
        <f t="shared" si="6"/>
        <v>0</v>
      </c>
      <c r="G116" s="183">
        <f>'A) Base RI'!AM118</f>
        <v>79</v>
      </c>
      <c r="H116" s="191">
        <f t="shared" si="7"/>
        <v>1.163775474721936</v>
      </c>
      <c r="I116" s="206">
        <f t="shared" si="5"/>
        <v>0</v>
      </c>
    </row>
    <row r="117" spans="1:9" x14ac:dyDescent="0.25">
      <c r="A117" s="82">
        <f>'A) Base RI'!A119</f>
        <v>5587</v>
      </c>
      <c r="B117" s="14" t="str">
        <f>'A) Base RI'!B119</f>
        <v>Le Mont-sur-Lausanne</v>
      </c>
      <c r="C117" s="158">
        <f>'A) Base RI'!AN119</f>
        <v>6937</v>
      </c>
      <c r="D117" s="199">
        <f>'D) Ecrêtage'!O117</f>
        <v>50.317339631284732</v>
      </c>
      <c r="E117" s="64">
        <f t="shared" si="8"/>
        <v>0</v>
      </c>
      <c r="F117" s="202">
        <f t="shared" si="6"/>
        <v>0</v>
      </c>
      <c r="G117" s="183">
        <f>'A) Base RI'!AM119</f>
        <v>75</v>
      </c>
      <c r="H117" s="191">
        <f t="shared" si="7"/>
        <v>1.1048501342296861</v>
      </c>
      <c r="I117" s="206">
        <f t="shared" ref="I117:I170" si="9">F117*H117</f>
        <v>0</v>
      </c>
    </row>
    <row r="118" spans="1:9" x14ac:dyDescent="0.25">
      <c r="A118" s="82">
        <f>'A) Base RI'!A120</f>
        <v>5588</v>
      </c>
      <c r="B118" s="14" t="str">
        <f>'A) Base RI'!B120</f>
        <v>Paudex</v>
      </c>
      <c r="C118" s="158">
        <f>'A) Base RI'!AN120</f>
        <v>1454</v>
      </c>
      <c r="D118" s="199">
        <f>'D) Ecrêtage'!O118</f>
        <v>82.144868111741928</v>
      </c>
      <c r="E118" s="64">
        <f t="shared" si="8"/>
        <v>0</v>
      </c>
      <c r="F118" s="202">
        <f t="shared" si="6"/>
        <v>0</v>
      </c>
      <c r="G118" s="183">
        <f>'A) Base RI'!AM120</f>
        <v>61.5</v>
      </c>
      <c r="H118" s="191">
        <f t="shared" si="7"/>
        <v>0.90597711006834258</v>
      </c>
      <c r="I118" s="206">
        <f t="shared" si="9"/>
        <v>0</v>
      </c>
    </row>
    <row r="119" spans="1:9" x14ac:dyDescent="0.25">
      <c r="A119" s="82">
        <f>'A) Base RI'!A121</f>
        <v>5589</v>
      </c>
      <c r="B119" s="14" t="str">
        <f>'A) Base RI'!B121</f>
        <v>Prilly</v>
      </c>
      <c r="C119" s="158">
        <f>'A) Base RI'!AN121</f>
        <v>11824</v>
      </c>
      <c r="D119" s="199">
        <f>'D) Ecrêtage'!O119</f>
        <v>34.672192853460736</v>
      </c>
      <c r="E119" s="64">
        <f t="shared" si="8"/>
        <v>9.1836383114000313</v>
      </c>
      <c r="F119" s="202">
        <f t="shared" si="6"/>
        <v>2154915.7502738102</v>
      </c>
      <c r="G119" s="183">
        <f>'A) Base RI'!AM121</f>
        <v>73.5</v>
      </c>
      <c r="H119" s="191">
        <f t="shared" si="7"/>
        <v>1.0827531315450925</v>
      </c>
      <c r="I119" s="206">
        <f t="shared" si="9"/>
        <v>2333241.7768248105</v>
      </c>
    </row>
    <row r="120" spans="1:9" x14ac:dyDescent="0.25">
      <c r="A120" s="82">
        <f>'A) Base RI'!A122</f>
        <v>5590</v>
      </c>
      <c r="B120" s="14" t="str">
        <f>'A) Base RI'!B122</f>
        <v>Pully</v>
      </c>
      <c r="C120" s="158">
        <f>'A) Base RI'!AN122</f>
        <v>17598</v>
      </c>
      <c r="D120" s="199">
        <f>'D) Ecrêtage'!O120</f>
        <v>70.113410808667069</v>
      </c>
      <c r="E120" s="64">
        <f t="shared" si="8"/>
        <v>0</v>
      </c>
      <c r="F120" s="202">
        <f t="shared" si="6"/>
        <v>0</v>
      </c>
      <c r="G120" s="183">
        <f>'A) Base RI'!AM122</f>
        <v>63</v>
      </c>
      <c r="H120" s="191">
        <f t="shared" si="7"/>
        <v>0.92807411275293628</v>
      </c>
      <c r="I120" s="206">
        <f t="shared" si="9"/>
        <v>0</v>
      </c>
    </row>
    <row r="121" spans="1:9" x14ac:dyDescent="0.25">
      <c r="A121" s="82">
        <f>'A) Base RI'!A123</f>
        <v>5591</v>
      </c>
      <c r="B121" s="14" t="str">
        <f>'A) Base RI'!B123</f>
        <v>Renens</v>
      </c>
      <c r="C121" s="158">
        <f>'A) Base RI'!AN123</f>
        <v>20307</v>
      </c>
      <c r="D121" s="199">
        <f>'D) Ecrêtage'!O121</f>
        <v>24.977836279533189</v>
      </c>
      <c r="E121" s="64">
        <f t="shared" si="8"/>
        <v>18.877994885327578</v>
      </c>
      <c r="F121" s="202">
        <f t="shared" si="6"/>
        <v>8125218.5960798776</v>
      </c>
      <c r="G121" s="183">
        <f>'A) Base RI'!AM123</f>
        <v>78.5</v>
      </c>
      <c r="H121" s="191">
        <f t="shared" si="7"/>
        <v>1.1564098071604048</v>
      </c>
      <c r="I121" s="206">
        <f t="shared" si="9"/>
        <v>9396082.4698288664</v>
      </c>
    </row>
    <row r="122" spans="1:9" x14ac:dyDescent="0.25">
      <c r="A122" s="82">
        <f>'A) Base RI'!A124</f>
        <v>5592</v>
      </c>
      <c r="B122" s="14" t="str">
        <f>'A) Base RI'!B124</f>
        <v>Romanel-sur-Lausanne</v>
      </c>
      <c r="C122" s="158">
        <f>'A) Base RI'!AN124</f>
        <v>3290</v>
      </c>
      <c r="D122" s="199">
        <f>'D) Ecrêtage'!O122</f>
        <v>35.096492488059056</v>
      </c>
      <c r="E122" s="64">
        <f t="shared" si="8"/>
        <v>8.7593386768017112</v>
      </c>
      <c r="F122" s="202">
        <f t="shared" si="6"/>
        <v>544664.4382622072</v>
      </c>
      <c r="G122" s="183">
        <f>'A) Base RI'!AM124</f>
        <v>70</v>
      </c>
      <c r="H122" s="191">
        <f t="shared" si="7"/>
        <v>1.0311934586143736</v>
      </c>
      <c r="I122" s="206">
        <f t="shared" si="9"/>
        <v>561654.40587586036</v>
      </c>
    </row>
    <row r="123" spans="1:9" x14ac:dyDescent="0.25">
      <c r="A123" s="82">
        <f>'A) Base RI'!A125</f>
        <v>5601</v>
      </c>
      <c r="B123" s="14" t="str">
        <f>'A) Base RI'!B125</f>
        <v>Chexbres</v>
      </c>
      <c r="C123" s="158">
        <f>'A) Base RI'!AN125</f>
        <v>2180</v>
      </c>
      <c r="D123" s="199">
        <f>'D) Ecrêtage'!O123</f>
        <v>46.791269853784407</v>
      </c>
      <c r="E123" s="64">
        <f t="shared" si="8"/>
        <v>0</v>
      </c>
      <c r="F123" s="202">
        <f t="shared" si="6"/>
        <v>0</v>
      </c>
      <c r="G123" s="183">
        <f>'A) Base RI'!AM125</f>
        <v>64</v>
      </c>
      <c r="H123" s="191">
        <f t="shared" si="7"/>
        <v>0.94280544787599874</v>
      </c>
      <c r="I123" s="206">
        <f t="shared" si="9"/>
        <v>0</v>
      </c>
    </row>
    <row r="124" spans="1:9" x14ac:dyDescent="0.25">
      <c r="A124" s="82">
        <f>'A) Base RI'!A126</f>
        <v>5604</v>
      </c>
      <c r="B124" s="14" t="str">
        <f>'A) Base RI'!B126</f>
        <v>Forel (Lavaux)</v>
      </c>
      <c r="C124" s="158">
        <f>'A) Base RI'!AN126</f>
        <v>2072</v>
      </c>
      <c r="D124" s="199">
        <f>'D) Ecrêtage'!O124</f>
        <v>35.559452220077205</v>
      </c>
      <c r="E124" s="64">
        <f t="shared" si="8"/>
        <v>8.2963789447835623</v>
      </c>
      <c r="F124" s="202">
        <f t="shared" si="6"/>
        <v>306327.53163340123</v>
      </c>
      <c r="G124" s="183">
        <f>'A) Base RI'!AM126</f>
        <v>66</v>
      </c>
      <c r="H124" s="191">
        <f t="shared" si="7"/>
        <v>0.97226811812212377</v>
      </c>
      <c r="I124" s="206">
        <f t="shared" si="9"/>
        <v>297832.49271020235</v>
      </c>
    </row>
    <row r="125" spans="1:9" x14ac:dyDescent="0.25">
      <c r="A125" s="82">
        <f>'A) Base RI'!A127</f>
        <v>5606</v>
      </c>
      <c r="B125" s="14" t="str">
        <f>'A) Base RI'!B127</f>
        <v>Lutry</v>
      </c>
      <c r="C125" s="158">
        <f>'A) Base RI'!AN127</f>
        <v>9648</v>
      </c>
      <c r="D125" s="199">
        <f>'D) Ecrêtage'!O125</f>
        <v>72.168992567891394</v>
      </c>
      <c r="E125" s="64">
        <f t="shared" si="8"/>
        <v>0</v>
      </c>
      <c r="F125" s="202">
        <f t="shared" si="6"/>
        <v>0</v>
      </c>
      <c r="G125" s="183">
        <f>'A) Base RI'!AM127</f>
        <v>56</v>
      </c>
      <c r="H125" s="191">
        <f t="shared" si="7"/>
        <v>0.82495476689149894</v>
      </c>
      <c r="I125" s="206">
        <f t="shared" si="9"/>
        <v>0</v>
      </c>
    </row>
    <row r="126" spans="1:9" x14ac:dyDescent="0.25">
      <c r="A126" s="82">
        <f>'A) Base RI'!A128</f>
        <v>5607</v>
      </c>
      <c r="B126" s="14" t="str">
        <f>'A) Base RI'!B128</f>
        <v>Puidoux</v>
      </c>
      <c r="C126" s="158">
        <f>'A) Base RI'!AN128</f>
        <v>2815</v>
      </c>
      <c r="D126" s="199">
        <f>'D) Ecrêtage'!O126</f>
        <v>36.251138634371046</v>
      </c>
      <c r="E126" s="64">
        <f t="shared" si="8"/>
        <v>7.6046925304897215</v>
      </c>
      <c r="F126" s="202">
        <f t="shared" si="6"/>
        <v>393036.36593031249</v>
      </c>
      <c r="G126" s="183">
        <f>'A) Base RI'!AM128</f>
        <v>68</v>
      </c>
      <c r="H126" s="191">
        <f t="shared" si="7"/>
        <v>1.0017307883682487</v>
      </c>
      <c r="I126" s="206">
        <f t="shared" si="9"/>
        <v>393716.62870076339</v>
      </c>
    </row>
    <row r="127" spans="1:9" x14ac:dyDescent="0.25">
      <c r="A127" s="82">
        <f>'A) Base RI'!A129</f>
        <v>5609</v>
      </c>
      <c r="B127" s="14" t="str">
        <f>'A) Base RI'!B129</f>
        <v>Rivaz</v>
      </c>
      <c r="C127" s="158">
        <f>'A) Base RI'!AN129</f>
        <v>345</v>
      </c>
      <c r="D127" s="199">
        <f>'D) Ecrêtage'!O127</f>
        <v>50.601682528814329</v>
      </c>
      <c r="E127" s="64">
        <f t="shared" si="8"/>
        <v>0</v>
      </c>
      <c r="F127" s="202">
        <f t="shared" si="6"/>
        <v>0</v>
      </c>
      <c r="G127" s="183">
        <f>'A) Base RI'!AM129</f>
        <v>63.5</v>
      </c>
      <c r="H127" s="191">
        <f t="shared" si="7"/>
        <v>0.93543978031446751</v>
      </c>
      <c r="I127" s="206">
        <f t="shared" si="9"/>
        <v>0</v>
      </c>
    </row>
    <row r="128" spans="1:9" x14ac:dyDescent="0.25">
      <c r="A128" s="82">
        <f>'A) Base RI'!A130</f>
        <v>5610</v>
      </c>
      <c r="B128" s="14" t="str">
        <f>'A) Base RI'!B130</f>
        <v>St-Saphorin (Lavaux)</v>
      </c>
      <c r="C128" s="158">
        <f>'A) Base RI'!AN130</f>
        <v>378</v>
      </c>
      <c r="D128" s="199">
        <f>'D) Ecrêtage'!O128</f>
        <v>53.851204144620802</v>
      </c>
      <c r="E128" s="64">
        <f t="shared" si="8"/>
        <v>0</v>
      </c>
      <c r="F128" s="202">
        <f t="shared" si="6"/>
        <v>0</v>
      </c>
      <c r="G128" s="183">
        <f>'A) Base RI'!AM130</f>
        <v>60</v>
      </c>
      <c r="H128" s="191">
        <f t="shared" si="7"/>
        <v>0.88388010738374889</v>
      </c>
      <c r="I128" s="206">
        <f t="shared" si="9"/>
        <v>0</v>
      </c>
    </row>
    <row r="129" spans="1:9" x14ac:dyDescent="0.25">
      <c r="A129" s="82">
        <f>'A) Base RI'!A131</f>
        <v>5611</v>
      </c>
      <c r="B129" s="14" t="str">
        <f>'A) Base RI'!B131</f>
        <v>Savigny</v>
      </c>
      <c r="C129" s="158">
        <f>'A) Base RI'!AN131</f>
        <v>3304</v>
      </c>
      <c r="D129" s="199">
        <f>'D) Ecrêtage'!O129</f>
        <v>40.450670693144438</v>
      </c>
      <c r="E129" s="64">
        <f t="shared" si="8"/>
        <v>3.4051604717163286</v>
      </c>
      <c r="F129" s="202">
        <f t="shared" si="6"/>
        <v>203524.26209178305</v>
      </c>
      <c r="G129" s="183">
        <f>'A) Base RI'!AM131</f>
        <v>67</v>
      </c>
      <c r="H129" s="191">
        <f t="shared" si="7"/>
        <v>0.98699945324518623</v>
      </c>
      <c r="I129" s="206">
        <f t="shared" si="9"/>
        <v>200878.33540671985</v>
      </c>
    </row>
    <row r="130" spans="1:9" x14ac:dyDescent="0.25">
      <c r="A130" s="82">
        <f>'A) Base RI'!A132</f>
        <v>5613</v>
      </c>
      <c r="B130" s="14" t="str">
        <f>'A) Base RI'!B132</f>
        <v>Bourg-en-Lavaux</v>
      </c>
      <c r="C130" s="158">
        <f>'A) Base RI'!AN132</f>
        <v>5184</v>
      </c>
      <c r="D130" s="199">
        <f>'D) Ecrêtage'!O130</f>
        <v>59.280913321907477</v>
      </c>
      <c r="E130" s="64">
        <f t="shared" si="8"/>
        <v>0</v>
      </c>
      <c r="F130" s="202">
        <f t="shared" si="6"/>
        <v>0</v>
      </c>
      <c r="G130" s="183">
        <f>'A) Base RI'!AM132</f>
        <v>61</v>
      </c>
      <c r="H130" s="191">
        <f t="shared" si="7"/>
        <v>0.89861144250681135</v>
      </c>
      <c r="I130" s="206">
        <f t="shared" si="9"/>
        <v>0</v>
      </c>
    </row>
    <row r="131" spans="1:9" x14ac:dyDescent="0.25">
      <c r="A131" s="82">
        <f>'A) Base RI'!A133</f>
        <v>5621</v>
      </c>
      <c r="B131" s="14" t="str">
        <f>'A) Base RI'!B133</f>
        <v>Aclens</v>
      </c>
      <c r="C131" s="158">
        <f>'A) Base RI'!AN133</f>
        <v>538</v>
      </c>
      <c r="D131" s="199">
        <f>'D) Ecrêtage'!O131</f>
        <v>67.677529429428347</v>
      </c>
      <c r="E131" s="64">
        <f t="shared" si="8"/>
        <v>0</v>
      </c>
      <c r="F131" s="202">
        <f t="shared" si="6"/>
        <v>0</v>
      </c>
      <c r="G131" s="183">
        <f>'A) Base RI'!AM133</f>
        <v>62</v>
      </c>
      <c r="H131" s="191">
        <f t="shared" si="7"/>
        <v>0.91334277762987381</v>
      </c>
      <c r="I131" s="206">
        <f t="shared" si="9"/>
        <v>0</v>
      </c>
    </row>
    <row r="132" spans="1:9" x14ac:dyDescent="0.25">
      <c r="A132" s="82">
        <f>'A) Base RI'!A134</f>
        <v>5622</v>
      </c>
      <c r="B132" s="14" t="str">
        <f>'A) Base RI'!B134</f>
        <v>Bremblens</v>
      </c>
      <c r="C132" s="158">
        <f>'A) Base RI'!AN134</f>
        <v>495</v>
      </c>
      <c r="D132" s="199">
        <f>'D) Ecrêtage'!O132</f>
        <v>52.131921028466486</v>
      </c>
      <c r="E132" s="64">
        <f t="shared" si="8"/>
        <v>0</v>
      </c>
      <c r="F132" s="202">
        <f t="shared" si="6"/>
        <v>0</v>
      </c>
      <c r="G132" s="183">
        <f>'A) Base RI'!AM134</f>
        <v>66</v>
      </c>
      <c r="H132" s="191">
        <f t="shared" si="7"/>
        <v>0.97226811812212377</v>
      </c>
      <c r="I132" s="206">
        <f t="shared" si="9"/>
        <v>0</v>
      </c>
    </row>
    <row r="133" spans="1:9" x14ac:dyDescent="0.25">
      <c r="A133" s="82">
        <f>'A) Base RI'!A135</f>
        <v>5623</v>
      </c>
      <c r="B133" s="14" t="str">
        <f>'A) Base RI'!B135</f>
        <v>Buchillon</v>
      </c>
      <c r="C133" s="158">
        <f>'A) Base RI'!AN135</f>
        <v>616</v>
      </c>
      <c r="D133" s="199">
        <f>'D) Ecrêtage'!O133</f>
        <v>100.40683631810377</v>
      </c>
      <c r="E133" s="64">
        <f t="shared" si="8"/>
        <v>0</v>
      </c>
      <c r="F133" s="202">
        <f t="shared" ref="F133:F196" si="10">(C133*E133*G133)*$E$4</f>
        <v>0</v>
      </c>
      <c r="G133" s="183">
        <f>'A) Base RI'!AM135</f>
        <v>53</v>
      </c>
      <c r="H133" s="191">
        <f t="shared" si="7"/>
        <v>0.78076076152231144</v>
      </c>
      <c r="I133" s="206">
        <f t="shared" si="9"/>
        <v>0</v>
      </c>
    </row>
    <row r="134" spans="1:9" x14ac:dyDescent="0.25">
      <c r="A134" s="82">
        <f>'A) Base RI'!A136</f>
        <v>5624</v>
      </c>
      <c r="B134" s="14" t="str">
        <f>'A) Base RI'!B136</f>
        <v>Bussigny</v>
      </c>
      <c r="C134" s="158">
        <f>'A) Base RI'!AN136</f>
        <v>8208</v>
      </c>
      <c r="D134" s="199">
        <f>'D) Ecrêtage'!O134</f>
        <v>43.44936521411055</v>
      </c>
      <c r="E134" s="64">
        <f t="shared" si="8"/>
        <v>0.40646595075021708</v>
      </c>
      <c r="F134" s="202">
        <f t="shared" si="10"/>
        <v>55849.202047705265</v>
      </c>
      <c r="G134" s="183">
        <f>'A) Base RI'!AM136</f>
        <v>62</v>
      </c>
      <c r="H134" s="191">
        <f t="shared" ref="H134:H197" si="11">G134/$G$323</f>
        <v>0.91334277762987381</v>
      </c>
      <c r="I134" s="206">
        <f t="shared" si="9"/>
        <v>51009.465326663165</v>
      </c>
    </row>
    <row r="135" spans="1:9" x14ac:dyDescent="0.25">
      <c r="A135" s="82">
        <f>'A) Base RI'!A137</f>
        <v>5625</v>
      </c>
      <c r="B135" s="14" t="str">
        <f>'A) Base RI'!B137</f>
        <v>Bussy-Chardonney</v>
      </c>
      <c r="C135" s="158">
        <f>'A) Base RI'!AN137</f>
        <v>388</v>
      </c>
      <c r="D135" s="199">
        <f>'D) Ecrêtage'!O135</f>
        <v>35.747912132493326</v>
      </c>
      <c r="E135" s="64">
        <f t="shared" si="8"/>
        <v>8.107919032367441</v>
      </c>
      <c r="F135" s="202">
        <f t="shared" si="10"/>
        <v>61155.763043818552</v>
      </c>
      <c r="G135" s="183">
        <f>'A) Base RI'!AM137</f>
        <v>72</v>
      </c>
      <c r="H135" s="191">
        <f t="shared" si="11"/>
        <v>1.0606561288604985</v>
      </c>
      <c r="I135" s="206">
        <f t="shared" si="9"/>
        <v>64865.234887566527</v>
      </c>
    </row>
    <row r="136" spans="1:9" x14ac:dyDescent="0.25">
      <c r="A136" s="82">
        <f>'A) Base RI'!A138</f>
        <v>5627</v>
      </c>
      <c r="B136" s="14" t="str">
        <f>'A) Base RI'!B138</f>
        <v>Chavannes-près-Renens</v>
      </c>
      <c r="C136" s="158">
        <f>'A) Base RI'!AN138</f>
        <v>7169</v>
      </c>
      <c r="D136" s="199">
        <f>'D) Ecrêtage'!O136</f>
        <v>23.809365293489961</v>
      </c>
      <c r="E136" s="64">
        <f t="shared" si="8"/>
        <v>20.046465871370806</v>
      </c>
      <c r="F136" s="202">
        <f t="shared" si="10"/>
        <v>3065400.7180335168</v>
      </c>
      <c r="G136" s="183">
        <f>'A) Base RI'!AM138</f>
        <v>79</v>
      </c>
      <c r="H136" s="191">
        <f t="shared" si="11"/>
        <v>1.163775474721936</v>
      </c>
      <c r="I136" s="206">
        <f t="shared" si="9"/>
        <v>3567438.1758424193</v>
      </c>
    </row>
    <row r="137" spans="1:9" x14ac:dyDescent="0.25">
      <c r="A137" s="82">
        <f>'A) Base RI'!A139</f>
        <v>5628</v>
      </c>
      <c r="B137" s="14" t="str">
        <f>'A) Base RI'!B139</f>
        <v>Chigny</v>
      </c>
      <c r="C137" s="158">
        <f>'A) Base RI'!AN139</f>
        <v>330</v>
      </c>
      <c r="D137" s="199">
        <f>'D) Ecrêtage'!O137</f>
        <v>57.078899717496647</v>
      </c>
      <c r="E137" s="64">
        <f t="shared" si="8"/>
        <v>0</v>
      </c>
      <c r="F137" s="202">
        <f t="shared" si="10"/>
        <v>0</v>
      </c>
      <c r="G137" s="183">
        <f>'A) Base RI'!AM139</f>
        <v>62</v>
      </c>
      <c r="H137" s="191">
        <f t="shared" si="11"/>
        <v>0.91334277762987381</v>
      </c>
      <c r="I137" s="206">
        <f t="shared" si="9"/>
        <v>0</v>
      </c>
    </row>
    <row r="138" spans="1:9" x14ac:dyDescent="0.25">
      <c r="A138" s="82">
        <f>'A) Base RI'!A140</f>
        <v>5629</v>
      </c>
      <c r="B138" s="14" t="str">
        <f>'A) Base RI'!B140</f>
        <v>Clarmont</v>
      </c>
      <c r="C138" s="158">
        <f>'A) Base RI'!AN140</f>
        <v>155</v>
      </c>
      <c r="D138" s="199">
        <f>'D) Ecrêtage'!O138</f>
        <v>50.29246365591397</v>
      </c>
      <c r="E138" s="64">
        <f t="shared" si="8"/>
        <v>0</v>
      </c>
      <c r="F138" s="202">
        <f t="shared" si="10"/>
        <v>0</v>
      </c>
      <c r="G138" s="183">
        <f>'A) Base RI'!AM140</f>
        <v>75</v>
      </c>
      <c r="H138" s="191">
        <f t="shared" si="11"/>
        <v>1.1048501342296861</v>
      </c>
      <c r="I138" s="206">
        <f t="shared" si="9"/>
        <v>0</v>
      </c>
    </row>
    <row r="139" spans="1:9" x14ac:dyDescent="0.25">
      <c r="A139" s="82">
        <f>'A) Base RI'!A141</f>
        <v>5631</v>
      </c>
      <c r="B139" s="14" t="str">
        <f>'A) Base RI'!B141</f>
        <v>Denens</v>
      </c>
      <c r="C139" s="158">
        <f>'A) Base RI'!AN141</f>
        <v>699</v>
      </c>
      <c r="D139" s="199">
        <f>'D) Ecrêtage'!O139</f>
        <v>50.573036480686703</v>
      </c>
      <c r="E139" s="64">
        <f t="shared" si="8"/>
        <v>0</v>
      </c>
      <c r="F139" s="202">
        <f t="shared" si="10"/>
        <v>0</v>
      </c>
      <c r="G139" s="183">
        <f>'A) Base RI'!AM141</f>
        <v>68</v>
      </c>
      <c r="H139" s="191">
        <f t="shared" si="11"/>
        <v>1.0017307883682487</v>
      </c>
      <c r="I139" s="206">
        <f t="shared" si="9"/>
        <v>0</v>
      </c>
    </row>
    <row r="140" spans="1:9" x14ac:dyDescent="0.25">
      <c r="A140" s="82">
        <f>'A) Base RI'!A142</f>
        <v>5632</v>
      </c>
      <c r="B140" s="14" t="str">
        <f>'A) Base RI'!B142</f>
        <v>Denges</v>
      </c>
      <c r="C140" s="158">
        <f>'A) Base RI'!AN142</f>
        <v>1612</v>
      </c>
      <c r="D140" s="199">
        <f>'D) Ecrêtage'!O140</f>
        <v>38.211744026654927</v>
      </c>
      <c r="E140" s="64">
        <f t="shared" si="8"/>
        <v>5.6440871382058404</v>
      </c>
      <c r="F140" s="202">
        <f t="shared" si="10"/>
        <v>152305.01413402802</v>
      </c>
      <c r="G140" s="183">
        <f>'A) Base RI'!AM142</f>
        <v>62</v>
      </c>
      <c r="H140" s="191">
        <f t="shared" si="11"/>
        <v>0.91334277762987381</v>
      </c>
      <c r="I140" s="206">
        <f t="shared" si="9"/>
        <v>139106.68465613035</v>
      </c>
    </row>
    <row r="141" spans="1:9" x14ac:dyDescent="0.25">
      <c r="A141" s="82">
        <f>'A) Base RI'!A143</f>
        <v>5633</v>
      </c>
      <c r="B141" s="14" t="str">
        <f>'A) Base RI'!B143</f>
        <v>Echandens</v>
      </c>
      <c r="C141" s="158">
        <f>'A) Base RI'!AN143</f>
        <v>2405</v>
      </c>
      <c r="D141" s="199">
        <f>'D) Ecrêtage'!O141</f>
        <v>51.933119173764325</v>
      </c>
      <c r="E141" s="64">
        <f t="shared" si="8"/>
        <v>0</v>
      </c>
      <c r="F141" s="202">
        <f t="shared" si="10"/>
        <v>0</v>
      </c>
      <c r="G141" s="183">
        <f>'A) Base RI'!AM143</f>
        <v>62</v>
      </c>
      <c r="H141" s="191">
        <f t="shared" si="11"/>
        <v>0.91334277762987381</v>
      </c>
      <c r="I141" s="206">
        <f t="shared" si="9"/>
        <v>0</v>
      </c>
    </row>
    <row r="142" spans="1:9" x14ac:dyDescent="0.25">
      <c r="A142" s="82">
        <f>'A) Base RI'!A144</f>
        <v>5634</v>
      </c>
      <c r="B142" s="14" t="str">
        <f>'A) Base RI'!B144</f>
        <v>Echichens</v>
      </c>
      <c r="C142" s="158">
        <f>'A) Base RI'!AN144</f>
        <v>2570</v>
      </c>
      <c r="D142" s="199">
        <f>'D) Ecrêtage'!O142</f>
        <v>50.100198901350417</v>
      </c>
      <c r="E142" s="64">
        <f t="shared" si="8"/>
        <v>0</v>
      </c>
      <c r="F142" s="202">
        <f t="shared" si="10"/>
        <v>0</v>
      </c>
      <c r="G142" s="183">
        <f>'A) Base RI'!AM144</f>
        <v>68</v>
      </c>
      <c r="H142" s="191">
        <f t="shared" si="11"/>
        <v>1.0017307883682487</v>
      </c>
      <c r="I142" s="206">
        <f t="shared" si="9"/>
        <v>0</v>
      </c>
    </row>
    <row r="143" spans="1:9" x14ac:dyDescent="0.25">
      <c r="A143" s="82">
        <f>'A) Base RI'!A145</f>
        <v>5635</v>
      </c>
      <c r="B143" s="14" t="str">
        <f>'A) Base RI'!B145</f>
        <v>Ecublens</v>
      </c>
      <c r="C143" s="158">
        <f>'A) Base RI'!AN145</f>
        <v>12181</v>
      </c>
      <c r="D143" s="199">
        <f>'D) Ecrêtage'!O143</f>
        <v>37.512031289091851</v>
      </c>
      <c r="E143" s="64">
        <f t="shared" si="8"/>
        <v>6.3437998757689158</v>
      </c>
      <c r="F143" s="202">
        <f t="shared" si="10"/>
        <v>1293563.8520400473</v>
      </c>
      <c r="G143" s="183">
        <f>'A) Base RI'!AM145</f>
        <v>62</v>
      </c>
      <c r="H143" s="191">
        <f t="shared" si="11"/>
        <v>0.91334277762987381</v>
      </c>
      <c r="I143" s="206">
        <f t="shared" si="9"/>
        <v>1181467.2016638559</v>
      </c>
    </row>
    <row r="144" spans="1:9" x14ac:dyDescent="0.25">
      <c r="A144" s="82">
        <f>'A) Base RI'!A146</f>
        <v>5636</v>
      </c>
      <c r="B144" s="14" t="str">
        <f>'A) Base RI'!B146</f>
        <v>Etoy</v>
      </c>
      <c r="C144" s="158">
        <f>'A) Base RI'!AN146</f>
        <v>2890</v>
      </c>
      <c r="D144" s="199">
        <f>'D) Ecrêtage'!O144</f>
        <v>49.055799364683196</v>
      </c>
      <c r="E144" s="64">
        <f t="shared" ref="E144:E207" si="12">IF($D$323-D144&lt;0,0,$D$323-D144)</f>
        <v>0</v>
      </c>
      <c r="F144" s="202">
        <f t="shared" si="10"/>
        <v>0</v>
      </c>
      <c r="G144" s="183">
        <f>'A) Base RI'!AM146</f>
        <v>61</v>
      </c>
      <c r="H144" s="191">
        <f t="shared" si="11"/>
        <v>0.89861144250681135</v>
      </c>
      <c r="I144" s="206">
        <f t="shared" si="9"/>
        <v>0</v>
      </c>
    </row>
    <row r="145" spans="1:9" x14ac:dyDescent="0.25">
      <c r="A145" s="82">
        <f>'A) Base RI'!A147</f>
        <v>5637</v>
      </c>
      <c r="B145" s="14" t="str">
        <f>'A) Base RI'!B147</f>
        <v>Lavigny</v>
      </c>
      <c r="C145" s="158">
        <f>'A) Base RI'!AN147</f>
        <v>930</v>
      </c>
      <c r="D145" s="199">
        <f>'D) Ecrêtage'!O145</f>
        <v>32.587041735825458</v>
      </c>
      <c r="E145" s="64">
        <f t="shared" si="12"/>
        <v>11.268789429035309</v>
      </c>
      <c r="F145" s="202">
        <f t="shared" si="10"/>
        <v>210804.68040949208</v>
      </c>
      <c r="G145" s="183">
        <f>'A) Base RI'!AM147</f>
        <v>74.5</v>
      </c>
      <c r="H145" s="191">
        <f t="shared" si="11"/>
        <v>1.0974844666681549</v>
      </c>
      <c r="I145" s="206">
        <f t="shared" si="9"/>
        <v>231354.86225036226</v>
      </c>
    </row>
    <row r="146" spans="1:9" x14ac:dyDescent="0.25">
      <c r="A146" s="82">
        <f>'A) Base RI'!A148</f>
        <v>5638</v>
      </c>
      <c r="B146" s="14" t="str">
        <f>'A) Base RI'!B148</f>
        <v>Lonay</v>
      </c>
      <c r="C146" s="158">
        <f>'A) Base RI'!AN148</f>
        <v>2508</v>
      </c>
      <c r="D146" s="199">
        <f>'D) Ecrêtage'!O146</f>
        <v>52.574251123676952</v>
      </c>
      <c r="E146" s="64">
        <f t="shared" si="12"/>
        <v>0</v>
      </c>
      <c r="F146" s="202">
        <f t="shared" si="10"/>
        <v>0</v>
      </c>
      <c r="G146" s="183">
        <f>'A) Base RI'!AM148</f>
        <v>55</v>
      </c>
      <c r="H146" s="191">
        <f t="shared" si="11"/>
        <v>0.81022343176843648</v>
      </c>
      <c r="I146" s="206">
        <f t="shared" si="9"/>
        <v>0</v>
      </c>
    </row>
    <row r="147" spans="1:9" x14ac:dyDescent="0.25">
      <c r="A147" s="82">
        <f>'A) Base RI'!A149</f>
        <v>5639</v>
      </c>
      <c r="B147" s="14" t="str">
        <f>'A) Base RI'!B149</f>
        <v>Lully</v>
      </c>
      <c r="C147" s="158">
        <f>'A) Base RI'!AN149</f>
        <v>764</v>
      </c>
      <c r="D147" s="199">
        <f>'D) Ecrêtage'!O147</f>
        <v>54.95161681400738</v>
      </c>
      <c r="E147" s="64">
        <f t="shared" si="12"/>
        <v>0</v>
      </c>
      <c r="F147" s="202">
        <f t="shared" si="10"/>
        <v>0</v>
      </c>
      <c r="G147" s="183">
        <f>'A) Base RI'!AM149</f>
        <v>61</v>
      </c>
      <c r="H147" s="191">
        <f t="shared" si="11"/>
        <v>0.89861144250681135</v>
      </c>
      <c r="I147" s="206">
        <f t="shared" si="9"/>
        <v>0</v>
      </c>
    </row>
    <row r="148" spans="1:9" x14ac:dyDescent="0.25">
      <c r="A148" s="82">
        <f>'A) Base RI'!A150</f>
        <v>5640</v>
      </c>
      <c r="B148" s="14" t="str">
        <f>'A) Base RI'!B150</f>
        <v>Lussy-sur-Morges</v>
      </c>
      <c r="C148" s="158">
        <f>'A) Base RI'!AN150</f>
        <v>653</v>
      </c>
      <c r="D148" s="199">
        <f>'D) Ecrêtage'!O148</f>
        <v>68.733545817179277</v>
      </c>
      <c r="E148" s="64">
        <f t="shared" si="12"/>
        <v>0</v>
      </c>
      <c r="F148" s="202">
        <f t="shared" si="10"/>
        <v>0</v>
      </c>
      <c r="G148" s="183">
        <f>'A) Base RI'!AM150</f>
        <v>66</v>
      </c>
      <c r="H148" s="191">
        <f t="shared" si="11"/>
        <v>0.97226811812212377</v>
      </c>
      <c r="I148" s="206">
        <f t="shared" si="9"/>
        <v>0</v>
      </c>
    </row>
    <row r="149" spans="1:9" x14ac:dyDescent="0.25">
      <c r="A149" s="82">
        <f>'A) Base RI'!A151</f>
        <v>5642</v>
      </c>
      <c r="B149" s="14" t="str">
        <f>'A) Base RI'!B151</f>
        <v>Morges</v>
      </c>
      <c r="C149" s="158">
        <f>'A) Base RI'!AN151</f>
        <v>15401</v>
      </c>
      <c r="D149" s="199">
        <f>'D) Ecrêtage'!O149</f>
        <v>46.903676593187377</v>
      </c>
      <c r="E149" s="64">
        <f t="shared" si="12"/>
        <v>0</v>
      </c>
      <c r="F149" s="202">
        <f t="shared" si="10"/>
        <v>0</v>
      </c>
      <c r="G149" s="183">
        <f>'A) Base RI'!AM151</f>
        <v>68.5</v>
      </c>
      <c r="H149" s="191">
        <f t="shared" si="11"/>
        <v>1.0090964559297799</v>
      </c>
      <c r="I149" s="206">
        <f t="shared" si="9"/>
        <v>0</v>
      </c>
    </row>
    <row r="150" spans="1:9" x14ac:dyDescent="0.25">
      <c r="A150" s="82">
        <f>'A) Base RI'!A152</f>
        <v>5643</v>
      </c>
      <c r="B150" s="14" t="str">
        <f>'A) Base RI'!B152</f>
        <v>Préverenges</v>
      </c>
      <c r="C150" s="158">
        <f>'A) Base RI'!AN152</f>
        <v>5184</v>
      </c>
      <c r="D150" s="199">
        <f>'D) Ecrêtage'!O150</f>
        <v>51.294293047116128</v>
      </c>
      <c r="E150" s="64">
        <f t="shared" si="12"/>
        <v>0</v>
      </c>
      <c r="F150" s="202">
        <f t="shared" si="10"/>
        <v>0</v>
      </c>
      <c r="G150" s="183">
        <f>'A) Base RI'!AM152</f>
        <v>64</v>
      </c>
      <c r="H150" s="191">
        <f t="shared" si="11"/>
        <v>0.94280544787599874</v>
      </c>
      <c r="I150" s="206">
        <f t="shared" si="9"/>
        <v>0</v>
      </c>
    </row>
    <row r="151" spans="1:9" x14ac:dyDescent="0.25">
      <c r="A151" s="82">
        <f>'A) Base RI'!A153</f>
        <v>5644</v>
      </c>
      <c r="B151" s="14" t="str">
        <f>'A) Base RI'!B153</f>
        <v>Reverolle</v>
      </c>
      <c r="C151" s="158">
        <f>'A) Base RI'!AN153</f>
        <v>356</v>
      </c>
      <c r="D151" s="199">
        <f>'D) Ecrêtage'!O151</f>
        <v>41.793693460097963</v>
      </c>
      <c r="E151" s="64">
        <f t="shared" si="12"/>
        <v>2.0621377047628044</v>
      </c>
      <c r="F151" s="202">
        <f t="shared" si="10"/>
        <v>15460.58874218046</v>
      </c>
      <c r="G151" s="183">
        <f>'A) Base RI'!AM153</f>
        <v>78</v>
      </c>
      <c r="H151" s="191">
        <f t="shared" si="11"/>
        <v>1.1490441395988735</v>
      </c>
      <c r="I151" s="206">
        <f t="shared" si="9"/>
        <v>17764.898888950778</v>
      </c>
    </row>
    <row r="152" spans="1:9" x14ac:dyDescent="0.25">
      <c r="A152" s="82">
        <f>'A) Base RI'!A154</f>
        <v>5645</v>
      </c>
      <c r="B152" s="14" t="str">
        <f>'A) Base RI'!B154</f>
        <v>Romanel-sur-Morges</v>
      </c>
      <c r="C152" s="158">
        <f>'A) Base RI'!AN154</f>
        <v>435</v>
      </c>
      <c r="D152" s="199">
        <f>'D) Ecrêtage'!O152</f>
        <v>56.734817526124814</v>
      </c>
      <c r="E152" s="64">
        <f t="shared" si="12"/>
        <v>0</v>
      </c>
      <c r="F152" s="202">
        <f t="shared" si="10"/>
        <v>0</v>
      </c>
      <c r="G152" s="183">
        <f>'A) Base RI'!AM154</f>
        <v>56</v>
      </c>
      <c r="H152" s="191">
        <f t="shared" si="11"/>
        <v>0.82495476689149894</v>
      </c>
      <c r="I152" s="206">
        <f t="shared" si="9"/>
        <v>0</v>
      </c>
    </row>
    <row r="153" spans="1:9" x14ac:dyDescent="0.25">
      <c r="A153" s="82">
        <f>'A) Base RI'!A155</f>
        <v>5646</v>
      </c>
      <c r="B153" s="14" t="str">
        <f>'A) Base RI'!B155</f>
        <v>Saint-Prex</v>
      </c>
      <c r="C153" s="158">
        <f>'A) Base RI'!AN155</f>
        <v>5447</v>
      </c>
      <c r="D153" s="199">
        <f>'D) Ecrêtage'!O153</f>
        <v>63.999811313204042</v>
      </c>
      <c r="E153" s="64">
        <f t="shared" si="12"/>
        <v>0</v>
      </c>
      <c r="F153" s="202">
        <f t="shared" si="10"/>
        <v>0</v>
      </c>
      <c r="G153" s="183">
        <f>'A) Base RI'!AM155</f>
        <v>55</v>
      </c>
      <c r="H153" s="191">
        <f t="shared" si="11"/>
        <v>0.81022343176843648</v>
      </c>
      <c r="I153" s="206">
        <f t="shared" si="9"/>
        <v>0</v>
      </c>
    </row>
    <row r="154" spans="1:9" x14ac:dyDescent="0.25">
      <c r="A154" s="82">
        <f>'A) Base RI'!A156</f>
        <v>5648</v>
      </c>
      <c r="B154" s="14" t="str">
        <f>'A) Base RI'!B156</f>
        <v>Saint-Sulpice</v>
      </c>
      <c r="C154" s="158">
        <f>'A) Base RI'!AN156</f>
        <v>3463</v>
      </c>
      <c r="D154" s="199">
        <f>'D) Ecrêtage'!O154</f>
        <v>72.005307144883787</v>
      </c>
      <c r="E154" s="64">
        <f t="shared" si="12"/>
        <v>0</v>
      </c>
      <c r="F154" s="202">
        <f t="shared" si="10"/>
        <v>0</v>
      </c>
      <c r="G154" s="183">
        <f>'A) Base RI'!AM156</f>
        <v>55</v>
      </c>
      <c r="H154" s="191">
        <f t="shared" si="11"/>
        <v>0.81022343176843648</v>
      </c>
      <c r="I154" s="206">
        <f t="shared" si="9"/>
        <v>0</v>
      </c>
    </row>
    <row r="155" spans="1:9" x14ac:dyDescent="0.25">
      <c r="A155" s="82">
        <f>'A) Base RI'!A157</f>
        <v>5649</v>
      </c>
      <c r="B155" s="14" t="str">
        <f>'A) Base RI'!B157</f>
        <v>Tolochenaz</v>
      </c>
      <c r="C155" s="158">
        <f>'A) Base RI'!AN157</f>
        <v>1812</v>
      </c>
      <c r="D155" s="199">
        <f>'D) Ecrêtage'!O155</f>
        <v>56.327929390693214</v>
      </c>
      <c r="E155" s="64">
        <f t="shared" si="12"/>
        <v>0</v>
      </c>
      <c r="F155" s="202">
        <f t="shared" si="10"/>
        <v>0</v>
      </c>
      <c r="G155" s="183">
        <f>'A) Base RI'!AM157</f>
        <v>65</v>
      </c>
      <c r="H155" s="191">
        <f t="shared" si="11"/>
        <v>0.95753678299906131</v>
      </c>
      <c r="I155" s="206">
        <f t="shared" si="9"/>
        <v>0</v>
      </c>
    </row>
    <row r="156" spans="1:9" x14ac:dyDescent="0.25">
      <c r="A156" s="82">
        <f>'A) Base RI'!A158</f>
        <v>5650</v>
      </c>
      <c r="B156" s="14" t="str">
        <f>'A) Base RI'!B158</f>
        <v>Vaux-sur-Morges</v>
      </c>
      <c r="C156" s="158">
        <f>'A) Base RI'!AN158</f>
        <v>196</v>
      </c>
      <c r="D156" s="199">
        <f>'D) Ecrêtage'!O156</f>
        <v>322.51814767451464</v>
      </c>
      <c r="E156" s="64">
        <f t="shared" si="12"/>
        <v>0</v>
      </c>
      <c r="F156" s="202">
        <f t="shared" si="10"/>
        <v>0</v>
      </c>
      <c r="G156" s="183">
        <f>'A) Base RI'!AM158</f>
        <v>39</v>
      </c>
      <c r="H156" s="191">
        <f t="shared" si="11"/>
        <v>0.57452206979943676</v>
      </c>
      <c r="I156" s="206">
        <f t="shared" si="9"/>
        <v>0</v>
      </c>
    </row>
    <row r="157" spans="1:9" x14ac:dyDescent="0.25">
      <c r="A157" s="82">
        <f>'A) Base RI'!A159</f>
        <v>5651</v>
      </c>
      <c r="B157" s="14" t="str">
        <f>'A) Base RI'!B159</f>
        <v>Villars-Sainte-Croix</v>
      </c>
      <c r="C157" s="158">
        <f>'A) Base RI'!AN159</f>
        <v>673</v>
      </c>
      <c r="D157" s="199">
        <f>'D) Ecrêtage'!O157</f>
        <v>65.060184088711708</v>
      </c>
      <c r="E157" s="64">
        <f t="shared" si="12"/>
        <v>0</v>
      </c>
      <c r="F157" s="202">
        <f t="shared" si="10"/>
        <v>0</v>
      </c>
      <c r="G157" s="183">
        <f>'A) Base RI'!AM159</f>
        <v>59</v>
      </c>
      <c r="H157" s="191">
        <f t="shared" si="11"/>
        <v>0.86914877226068632</v>
      </c>
      <c r="I157" s="206">
        <f t="shared" si="9"/>
        <v>0</v>
      </c>
    </row>
    <row r="158" spans="1:9" x14ac:dyDescent="0.25">
      <c r="A158" s="82">
        <f>'A) Base RI'!A160</f>
        <v>5652</v>
      </c>
      <c r="B158" s="14" t="str">
        <f>'A) Base RI'!B160</f>
        <v>Villars-sous-Yens</v>
      </c>
      <c r="C158" s="158">
        <f>'A) Base RI'!AN160</f>
        <v>570</v>
      </c>
      <c r="D158" s="199">
        <f>'D) Ecrêtage'!O158</f>
        <v>42.853763311788235</v>
      </c>
      <c r="E158" s="64">
        <f t="shared" si="12"/>
        <v>1.002067853072532</v>
      </c>
      <c r="F158" s="202">
        <f t="shared" si="10"/>
        <v>11720.586436677562</v>
      </c>
      <c r="G158" s="183">
        <f>'A) Base RI'!AM160</f>
        <v>76</v>
      </c>
      <c r="H158" s="191">
        <f t="shared" si="11"/>
        <v>1.1195814693527486</v>
      </c>
      <c r="I158" s="206">
        <f t="shared" si="9"/>
        <v>13122.151384451361</v>
      </c>
    </row>
    <row r="159" spans="1:9" x14ac:dyDescent="0.25">
      <c r="A159" s="82">
        <f>'A) Base RI'!A161</f>
        <v>5653</v>
      </c>
      <c r="B159" s="14" t="str">
        <f>'A) Base RI'!B161</f>
        <v>Vufflens-le-Château</v>
      </c>
      <c r="C159" s="158">
        <f>'A) Base RI'!AN161</f>
        <v>825</v>
      </c>
      <c r="D159" s="199">
        <f>'D) Ecrêtage'!O159</f>
        <v>61.928257443116486</v>
      </c>
      <c r="E159" s="64">
        <f t="shared" si="12"/>
        <v>0</v>
      </c>
      <c r="F159" s="202">
        <f t="shared" si="10"/>
        <v>0</v>
      </c>
      <c r="G159" s="183">
        <f>'A) Base RI'!AM161</f>
        <v>55</v>
      </c>
      <c r="H159" s="191">
        <f t="shared" si="11"/>
        <v>0.81022343176843648</v>
      </c>
      <c r="I159" s="206">
        <f t="shared" si="9"/>
        <v>0</v>
      </c>
    </row>
    <row r="160" spans="1:9" x14ac:dyDescent="0.25">
      <c r="A160" s="82">
        <f>'A) Base RI'!A162</f>
        <v>5654</v>
      </c>
      <c r="B160" s="14" t="str">
        <f>'A) Base RI'!B162</f>
        <v>Vullierens</v>
      </c>
      <c r="C160" s="158">
        <f>'A) Base RI'!AN162</f>
        <v>457</v>
      </c>
      <c r="D160" s="199">
        <f>'D) Ecrêtage'!O160</f>
        <v>34.706546124611307</v>
      </c>
      <c r="E160" s="64">
        <f t="shared" si="12"/>
        <v>9.1492850402494597</v>
      </c>
      <c r="F160" s="202">
        <f t="shared" si="10"/>
        <v>85798.70136484495</v>
      </c>
      <c r="G160" s="183">
        <f>'A) Base RI'!AM162</f>
        <v>76</v>
      </c>
      <c r="H160" s="191">
        <f t="shared" si="11"/>
        <v>1.1195814693527486</v>
      </c>
      <c r="I160" s="206">
        <f t="shared" si="9"/>
        <v>96058.636142610791</v>
      </c>
    </row>
    <row r="161" spans="1:9" x14ac:dyDescent="0.25">
      <c r="A161" s="82">
        <f>'A) Base RI'!A163</f>
        <v>5655</v>
      </c>
      <c r="B161" s="14" t="str">
        <f>'A) Base RI'!B163</f>
        <v>Yens</v>
      </c>
      <c r="C161" s="158">
        <f>'A) Base RI'!AN163</f>
        <v>1327</v>
      </c>
      <c r="D161" s="199">
        <f>'D) Ecrêtage'!O161</f>
        <v>55.214441168104351</v>
      </c>
      <c r="E161" s="64">
        <f t="shared" si="12"/>
        <v>0</v>
      </c>
      <c r="F161" s="202">
        <f t="shared" si="10"/>
        <v>0</v>
      </c>
      <c r="G161" s="183">
        <f>'A) Base RI'!AM163</f>
        <v>73</v>
      </c>
      <c r="H161" s="191">
        <f t="shared" si="11"/>
        <v>1.075387463983561</v>
      </c>
      <c r="I161" s="206">
        <f t="shared" si="9"/>
        <v>0</v>
      </c>
    </row>
    <row r="162" spans="1:9" x14ac:dyDescent="0.25">
      <c r="A162" s="82">
        <f>'A) Base RI'!A164</f>
        <v>5661</v>
      </c>
      <c r="B162" s="14" t="str">
        <f>'A) Base RI'!B164</f>
        <v>Boulens</v>
      </c>
      <c r="C162" s="158">
        <f>'A) Base RI'!AN164</f>
        <v>313</v>
      </c>
      <c r="D162" s="199">
        <f>'D) Ecrêtage'!O162</f>
        <v>22.050600962510618</v>
      </c>
      <c r="E162" s="64">
        <f t="shared" si="12"/>
        <v>21.805230202350149</v>
      </c>
      <c r="F162" s="202">
        <f t="shared" si="10"/>
        <v>145578.04034764829</v>
      </c>
      <c r="G162" s="183">
        <f>'A) Base RI'!AM164</f>
        <v>79</v>
      </c>
      <c r="H162" s="191">
        <f t="shared" si="11"/>
        <v>1.163775474721936</v>
      </c>
      <c r="I162" s="206">
        <f t="shared" si="9"/>
        <v>169420.15301467353</v>
      </c>
    </row>
    <row r="163" spans="1:9" x14ac:dyDescent="0.25">
      <c r="A163" s="82">
        <f>'A) Base RI'!A165</f>
        <v>5662</v>
      </c>
      <c r="B163" s="14" t="str">
        <f>'A) Base RI'!B165</f>
        <v>Brenles</v>
      </c>
      <c r="C163" s="158">
        <f>'A) Base RI'!AN165</f>
        <v>144</v>
      </c>
      <c r="D163" s="199">
        <f>'D) Ecrêtage'!O163</f>
        <v>27.994770101297878</v>
      </c>
      <c r="E163" s="64">
        <f t="shared" si="12"/>
        <v>15.861061063562889</v>
      </c>
      <c r="F163" s="202">
        <f t="shared" si="10"/>
        <v>48100.888223803369</v>
      </c>
      <c r="G163" s="183">
        <f>'A) Base RI'!AM165</f>
        <v>78</v>
      </c>
      <c r="H163" s="191">
        <f t="shared" si="11"/>
        <v>1.1490441395988735</v>
      </c>
      <c r="I163" s="206">
        <f t="shared" si="9"/>
        <v>55270.043723061732</v>
      </c>
    </row>
    <row r="164" spans="1:9" x14ac:dyDescent="0.25">
      <c r="A164" s="82">
        <f>'A) Base RI'!A166</f>
        <v>5663</v>
      </c>
      <c r="B164" s="14" t="str">
        <f>'A) Base RI'!B166</f>
        <v>Bussy-sur-Moudon</v>
      </c>
      <c r="C164" s="158">
        <f>'A) Base RI'!AN166</f>
        <v>197</v>
      </c>
      <c r="D164" s="199">
        <f>'D) Ecrêtage'!O164</f>
        <v>26.254423857868016</v>
      </c>
      <c r="E164" s="64">
        <f t="shared" si="12"/>
        <v>17.601407306992751</v>
      </c>
      <c r="F164" s="202">
        <f t="shared" si="10"/>
        <v>74897.508372715558</v>
      </c>
      <c r="G164" s="183">
        <f>'A) Base RI'!AM166</f>
        <v>80</v>
      </c>
      <c r="H164" s="191">
        <f t="shared" si="11"/>
        <v>1.1785068098449984</v>
      </c>
      <c r="I164" s="206">
        <f t="shared" si="9"/>
        <v>88267.223657668073</v>
      </c>
    </row>
    <row r="165" spans="1:9" x14ac:dyDescent="0.25">
      <c r="A165" s="82">
        <f>'A) Base RI'!A167</f>
        <v>5665</v>
      </c>
      <c r="B165" s="14" t="str">
        <f>'A) Base RI'!B167</f>
        <v>Chavannes-sur-Moudon</v>
      </c>
      <c r="C165" s="158">
        <f>'A) Base RI'!AN167</f>
        <v>233</v>
      </c>
      <c r="D165" s="199">
        <f>'D) Ecrêtage'!O165</f>
        <v>15.916426442536956</v>
      </c>
      <c r="E165" s="64">
        <f t="shared" si="12"/>
        <v>27.939404722323811</v>
      </c>
      <c r="F165" s="202">
        <f t="shared" si="10"/>
        <v>126552.09247786018</v>
      </c>
      <c r="G165" s="183">
        <f>'A) Base RI'!AM167</f>
        <v>72</v>
      </c>
      <c r="H165" s="191">
        <f t="shared" si="11"/>
        <v>1.0606561288604985</v>
      </c>
      <c r="I165" s="206">
        <f t="shared" si="9"/>
        <v>134228.252506763</v>
      </c>
    </row>
    <row r="166" spans="1:9" x14ac:dyDescent="0.25">
      <c r="A166" s="82">
        <f>'A) Base RI'!A168</f>
        <v>5666</v>
      </c>
      <c r="B166" s="14" t="str">
        <f>'A) Base RI'!B168</f>
        <v>Chesalles-sur-Moudon</v>
      </c>
      <c r="C166" s="158">
        <f>'A) Base RI'!AN168</f>
        <v>160</v>
      </c>
      <c r="D166" s="199">
        <f>'D) Ecrêtage'!O166</f>
        <v>23.320199166666669</v>
      </c>
      <c r="E166" s="64">
        <f t="shared" si="12"/>
        <v>20.535631998194098</v>
      </c>
      <c r="F166" s="202">
        <f t="shared" si="10"/>
        <v>66535.447674148891</v>
      </c>
      <c r="G166" s="183">
        <f>'A) Base RI'!AM168</f>
        <v>75</v>
      </c>
      <c r="H166" s="191">
        <f t="shared" si="11"/>
        <v>1.1048501342296861</v>
      </c>
      <c r="I166" s="206">
        <f t="shared" si="9"/>
        <v>73511.698293815658</v>
      </c>
    </row>
    <row r="167" spans="1:9" x14ac:dyDescent="0.25">
      <c r="A167" s="82">
        <f>'A) Base RI'!A169</f>
        <v>5668</v>
      </c>
      <c r="B167" s="14" t="str">
        <f>'A) Base RI'!B169</f>
        <v>Cremin</v>
      </c>
      <c r="C167" s="158">
        <f>'A) Base RI'!AN169</f>
        <v>51</v>
      </c>
      <c r="D167" s="199">
        <f>'D) Ecrêtage'!O167</f>
        <v>20.017522281639927</v>
      </c>
      <c r="E167" s="64">
        <f t="shared" si="12"/>
        <v>23.83830888322084</v>
      </c>
      <c r="F167" s="202">
        <f t="shared" si="10"/>
        <v>25275.520525790227</v>
      </c>
      <c r="G167" s="183">
        <f>'A) Base RI'!AM169</f>
        <v>77</v>
      </c>
      <c r="H167" s="191">
        <f t="shared" si="11"/>
        <v>1.1343128044758111</v>
      </c>
      <c r="I167" s="206">
        <f t="shared" si="9"/>
        <v>28670.346572195038</v>
      </c>
    </row>
    <row r="168" spans="1:9" x14ac:dyDescent="0.25">
      <c r="A168" s="82">
        <f>'A) Base RI'!A170</f>
        <v>5669</v>
      </c>
      <c r="B168" s="14" t="str">
        <f>'A) Base RI'!B170</f>
        <v>Curtilles</v>
      </c>
      <c r="C168" s="158">
        <f>'A) Base RI'!AN170</f>
        <v>306</v>
      </c>
      <c r="D168" s="199">
        <f>'D) Ecrêtage'!O168</f>
        <v>26.469817084241107</v>
      </c>
      <c r="E168" s="64">
        <f t="shared" si="12"/>
        <v>17.38601408061966</v>
      </c>
      <c r="F168" s="202">
        <f t="shared" si="10"/>
        <v>103423.13880053734</v>
      </c>
      <c r="G168" s="183">
        <f>'A) Base RI'!AM170</f>
        <v>72</v>
      </c>
      <c r="H168" s="191">
        <f t="shared" si="11"/>
        <v>1.0606561288604985</v>
      </c>
      <c r="I168" s="206">
        <f t="shared" si="9"/>
        <v>109696.38603477996</v>
      </c>
    </row>
    <row r="169" spans="1:9" x14ac:dyDescent="0.25">
      <c r="A169" s="82">
        <f>'A) Base RI'!A171</f>
        <v>5671</v>
      </c>
      <c r="B169" s="14" t="str">
        <f>'A) Base RI'!B171</f>
        <v>Dompierre</v>
      </c>
      <c r="C169" s="158">
        <f>'A) Base RI'!AN171</f>
        <v>247</v>
      </c>
      <c r="D169" s="199">
        <f>'D) Ecrêtage'!O169</f>
        <v>23.816186740890689</v>
      </c>
      <c r="E169" s="64">
        <f t="shared" si="12"/>
        <v>20.039644423970078</v>
      </c>
      <c r="F169" s="202">
        <f t="shared" si="10"/>
        <v>106915.51093076517</v>
      </c>
      <c r="G169" s="183">
        <f>'A) Base RI'!AM171</f>
        <v>80</v>
      </c>
      <c r="H169" s="191">
        <f t="shared" si="11"/>
        <v>1.1785068098449984</v>
      </c>
      <c r="I169" s="206">
        <f t="shared" si="9"/>
        <v>126000.65770996413</v>
      </c>
    </row>
    <row r="170" spans="1:9" x14ac:dyDescent="0.25">
      <c r="A170" s="82">
        <f>'A) Base RI'!A172</f>
        <v>5672</v>
      </c>
      <c r="B170" s="14" t="str">
        <f>'A) Base RI'!B172</f>
        <v>Forel-sur-Lucens</v>
      </c>
      <c r="C170" s="158">
        <f>'A) Base RI'!AN172</f>
        <v>153</v>
      </c>
      <c r="D170" s="199">
        <f>'D) Ecrêtage'!O170</f>
        <v>25.224353594771245</v>
      </c>
      <c r="E170" s="64">
        <f t="shared" si="12"/>
        <v>18.631477570089523</v>
      </c>
      <c r="F170" s="202">
        <f t="shared" si="10"/>
        <v>57724.975381529868</v>
      </c>
      <c r="G170" s="183">
        <f>'A) Base RI'!AM172</f>
        <v>75</v>
      </c>
      <c r="H170" s="191">
        <f t="shared" si="11"/>
        <v>1.1048501342296861</v>
      </c>
      <c r="I170" s="206">
        <f t="shared" si="9"/>
        <v>63777.446798688601</v>
      </c>
    </row>
    <row r="171" spans="1:9" x14ac:dyDescent="0.25">
      <c r="A171" s="82">
        <f>'A) Base RI'!A173</f>
        <v>5673</v>
      </c>
      <c r="B171" s="14" t="str">
        <f>'A) Base RI'!B173</f>
        <v>Hermenches</v>
      </c>
      <c r="C171" s="158">
        <f>'A) Base RI'!AN173</f>
        <v>376</v>
      </c>
      <c r="D171" s="199">
        <f>'D) Ecrêtage'!O171</f>
        <v>25.48977100189791</v>
      </c>
      <c r="E171" s="64">
        <f t="shared" si="12"/>
        <v>18.366060162962857</v>
      </c>
      <c r="F171" s="202">
        <f t="shared" si="10"/>
        <v>132381.09236982325</v>
      </c>
      <c r="G171" s="183">
        <f>'A) Base RI'!AM173</f>
        <v>71</v>
      </c>
      <c r="H171" s="191">
        <f t="shared" si="11"/>
        <v>1.0459247937374361</v>
      </c>
      <c r="I171" s="206">
        <f t="shared" ref="I171:I226" si="13">F171*H171</f>
        <v>138460.66673164387</v>
      </c>
    </row>
    <row r="172" spans="1:9" x14ac:dyDescent="0.25">
      <c r="A172" s="82">
        <f>'A) Base RI'!A174</f>
        <v>5674</v>
      </c>
      <c r="B172" s="14" t="str">
        <f>'A) Base RI'!B174</f>
        <v>Lovatens</v>
      </c>
      <c r="C172" s="158">
        <f>'A) Base RI'!AN174</f>
        <v>140</v>
      </c>
      <c r="D172" s="199">
        <f>'D) Ecrêtage'!O172</f>
        <v>41.157577895947099</v>
      </c>
      <c r="E172" s="64">
        <f t="shared" si="12"/>
        <v>2.6982532689136676</v>
      </c>
      <c r="F172" s="202">
        <f t="shared" si="10"/>
        <v>7241.5721231105008</v>
      </c>
      <c r="G172" s="183">
        <f>'A) Base RI'!AM174</f>
        <v>71</v>
      </c>
      <c r="H172" s="191">
        <f t="shared" si="11"/>
        <v>1.0459247937374361</v>
      </c>
      <c r="I172" s="206">
        <f t="shared" si="13"/>
        <v>7574.1398291991172</v>
      </c>
    </row>
    <row r="173" spans="1:9" x14ac:dyDescent="0.25">
      <c r="A173" s="82">
        <f>'A) Base RI'!A175</f>
        <v>5675</v>
      </c>
      <c r="B173" s="14" t="str">
        <f>'A) Base RI'!B175</f>
        <v>Lucens</v>
      </c>
      <c r="C173" s="158">
        <f>'A) Base RI'!AN175</f>
        <v>3262</v>
      </c>
      <c r="D173" s="199">
        <f>'D) Ecrêtage'!O173</f>
        <v>24.13420771873464</v>
      </c>
      <c r="E173" s="64">
        <f t="shared" si="12"/>
        <v>19.721623446126127</v>
      </c>
      <c r="F173" s="202">
        <f t="shared" si="10"/>
        <v>1146395.0938401143</v>
      </c>
      <c r="G173" s="183">
        <f>'A) Base RI'!AM175</f>
        <v>66</v>
      </c>
      <c r="H173" s="191">
        <f t="shared" si="11"/>
        <v>0.97226811812212377</v>
      </c>
      <c r="I173" s="206">
        <f t="shared" si="13"/>
        <v>1114603.4005123635</v>
      </c>
    </row>
    <row r="174" spans="1:9" x14ac:dyDescent="0.25">
      <c r="A174" s="82">
        <f>'A) Base RI'!A176</f>
        <v>5678</v>
      </c>
      <c r="B174" s="14" t="str">
        <f>'A) Base RI'!B176</f>
        <v>Moudon</v>
      </c>
      <c r="C174" s="158">
        <f>'A) Base RI'!AN176</f>
        <v>5656</v>
      </c>
      <c r="D174" s="199">
        <f>'D) Ecrêtage'!O174</f>
        <v>21.050255846298914</v>
      </c>
      <c r="E174" s="64">
        <f t="shared" si="12"/>
        <v>22.805575318561853</v>
      </c>
      <c r="F174" s="202">
        <f t="shared" si="10"/>
        <v>2612013.7635361636</v>
      </c>
      <c r="G174" s="183">
        <f>'A) Base RI'!AM176</f>
        <v>75</v>
      </c>
      <c r="H174" s="191">
        <f t="shared" si="11"/>
        <v>1.1048501342296861</v>
      </c>
      <c r="I174" s="206">
        <f t="shared" si="13"/>
        <v>2885883.7572527179</v>
      </c>
    </row>
    <row r="175" spans="1:9" x14ac:dyDescent="0.25">
      <c r="A175" s="82">
        <f>'A) Base RI'!A177</f>
        <v>5680</v>
      </c>
      <c r="B175" s="14" t="str">
        <f>'A) Base RI'!B177</f>
        <v>Ogens</v>
      </c>
      <c r="C175" s="158">
        <f>'A) Base RI'!AN177</f>
        <v>261</v>
      </c>
      <c r="D175" s="199">
        <f>'D) Ecrêtage'!O175</f>
        <v>25.165468611847924</v>
      </c>
      <c r="E175" s="64">
        <f t="shared" si="12"/>
        <v>18.690362553012843</v>
      </c>
      <c r="F175" s="202">
        <f t="shared" si="10"/>
        <v>102734.56823064358</v>
      </c>
      <c r="G175" s="183">
        <f>'A) Base RI'!AM177</f>
        <v>78</v>
      </c>
      <c r="H175" s="191">
        <f t="shared" si="11"/>
        <v>1.1490441395988735</v>
      </c>
      <c r="I175" s="206">
        <f t="shared" si="13"/>
        <v>118046.55355964162</v>
      </c>
    </row>
    <row r="176" spans="1:9" x14ac:dyDescent="0.25">
      <c r="A176" s="82">
        <f>'A) Base RI'!A178</f>
        <v>5683</v>
      </c>
      <c r="B176" s="14" t="str">
        <f>'A) Base RI'!B178</f>
        <v>Prévonloup</v>
      </c>
      <c r="C176" s="158">
        <f>'A) Base RI'!AN178</f>
        <v>173</v>
      </c>
      <c r="D176" s="199">
        <f>'D) Ecrêtage'!O176</f>
        <v>21.736982502733952</v>
      </c>
      <c r="E176" s="64">
        <f t="shared" si="12"/>
        <v>22.118848662126815</v>
      </c>
      <c r="F176" s="202">
        <f t="shared" si="10"/>
        <v>76454.685154587831</v>
      </c>
      <c r="G176" s="183">
        <f>'A) Base RI'!AM178</f>
        <v>74</v>
      </c>
      <c r="H176" s="191">
        <f t="shared" si="11"/>
        <v>1.0901187991066237</v>
      </c>
      <c r="I176" s="206">
        <f t="shared" si="13"/>
        <v>83344.689566794303</v>
      </c>
    </row>
    <row r="177" spans="1:9" x14ac:dyDescent="0.25">
      <c r="A177" s="82">
        <f>'A) Base RI'!A179</f>
        <v>5684</v>
      </c>
      <c r="B177" s="14" t="str">
        <f>'A) Base RI'!B179</f>
        <v>Rossenges</v>
      </c>
      <c r="C177" s="158">
        <f>'A) Base RI'!AN179</f>
        <v>63</v>
      </c>
      <c r="D177" s="199">
        <f>'D) Ecrêtage'!O177</f>
        <v>19.957197089947091</v>
      </c>
      <c r="E177" s="64">
        <f t="shared" si="12"/>
        <v>23.898634074913677</v>
      </c>
      <c r="F177" s="202">
        <f t="shared" si="10"/>
        <v>24390.945936856901</v>
      </c>
      <c r="G177" s="183">
        <f>'A) Base RI'!AM179</f>
        <v>60</v>
      </c>
      <c r="H177" s="191">
        <f t="shared" si="11"/>
        <v>0.88388010738374889</v>
      </c>
      <c r="I177" s="206">
        <f t="shared" si="13"/>
        <v>21558.671913860289</v>
      </c>
    </row>
    <row r="178" spans="1:9" x14ac:dyDescent="0.25">
      <c r="A178" s="82">
        <f>'A) Base RI'!A180</f>
        <v>5686</v>
      </c>
      <c r="B178" s="14" t="str">
        <f>'A) Base RI'!B180</f>
        <v>Sarzens</v>
      </c>
      <c r="C178" s="158">
        <f>'A) Base RI'!AN180</f>
        <v>87</v>
      </c>
      <c r="D178" s="199">
        <f>'D) Ecrêtage'!O178</f>
        <v>17.605986085904419</v>
      </c>
      <c r="E178" s="64">
        <f t="shared" si="12"/>
        <v>26.249845078956348</v>
      </c>
      <c r="F178" s="202">
        <f t="shared" si="10"/>
        <v>46862.273428756031</v>
      </c>
      <c r="G178" s="183">
        <f>'A) Base RI'!AM180</f>
        <v>76</v>
      </c>
      <c r="H178" s="191">
        <f t="shared" si="11"/>
        <v>1.1195814693527486</v>
      </c>
      <c r="I178" s="206">
        <f t="shared" si="13"/>
        <v>52466.132942576944</v>
      </c>
    </row>
    <row r="179" spans="1:9" x14ac:dyDescent="0.25">
      <c r="A179" s="82">
        <f>'A) Base RI'!A181</f>
        <v>5688</v>
      </c>
      <c r="B179" s="14" t="str">
        <f>'A) Base RI'!B181</f>
        <v>Syens</v>
      </c>
      <c r="C179" s="158">
        <f>'A) Base RI'!AN181</f>
        <v>126</v>
      </c>
      <c r="D179" s="199">
        <f>'D) Ecrêtage'!O179</f>
        <v>36.530230116738061</v>
      </c>
      <c r="E179" s="64">
        <f t="shared" si="12"/>
        <v>7.3256010481227065</v>
      </c>
      <c r="F179" s="202">
        <f t="shared" si="10"/>
        <v>18840.801242879363</v>
      </c>
      <c r="G179" s="183">
        <f>'A) Base RI'!AM181</f>
        <v>75.599999999999994</v>
      </c>
      <c r="H179" s="191">
        <f t="shared" si="11"/>
        <v>1.1136889353035235</v>
      </c>
      <c r="I179" s="206">
        <f t="shared" si="13"/>
        <v>20982.79187644762</v>
      </c>
    </row>
    <row r="180" spans="1:9" x14ac:dyDescent="0.25">
      <c r="A180" s="82">
        <f>'A) Base RI'!A182</f>
        <v>5690</v>
      </c>
      <c r="B180" s="14" t="str">
        <f>'A) Base RI'!B182</f>
        <v>Villars-le-Comte</v>
      </c>
      <c r="C180" s="158">
        <f>'A) Base RI'!AN182</f>
        <v>153</v>
      </c>
      <c r="D180" s="199">
        <f>'D) Ecrêtage'!O180</f>
        <v>20.54296267629859</v>
      </c>
      <c r="E180" s="64">
        <f t="shared" si="12"/>
        <v>23.312868488562177</v>
      </c>
      <c r="F180" s="202">
        <f t="shared" si="10"/>
        <v>73192.149391950283</v>
      </c>
      <c r="G180" s="183">
        <f>'A) Base RI'!AM182</f>
        <v>76</v>
      </c>
      <c r="H180" s="191">
        <f t="shared" si="11"/>
        <v>1.1195814693527486</v>
      </c>
      <c r="I180" s="206">
        <f t="shared" si="13"/>
        <v>81944.574161325581</v>
      </c>
    </row>
    <row r="181" spans="1:9" x14ac:dyDescent="0.25">
      <c r="A181" s="82">
        <f>'A) Base RI'!A183</f>
        <v>5692</v>
      </c>
      <c r="B181" s="14" t="str">
        <f>'A) Base RI'!B183</f>
        <v>Vucherens</v>
      </c>
      <c r="C181" s="158">
        <f>'A) Base RI'!AN183</f>
        <v>532</v>
      </c>
      <c r="D181" s="199">
        <f>'D) Ecrêtage'!O181</f>
        <v>30.060831826401447</v>
      </c>
      <c r="E181" s="64">
        <f t="shared" si="12"/>
        <v>13.79499933845932</v>
      </c>
      <c r="F181" s="202">
        <f t="shared" si="10"/>
        <v>156539.58269312745</v>
      </c>
      <c r="G181" s="183">
        <f>'A) Base RI'!AM183</f>
        <v>79</v>
      </c>
      <c r="H181" s="191">
        <f t="shared" si="11"/>
        <v>1.163775474721936</v>
      </c>
      <c r="I181" s="206">
        <f t="shared" si="13"/>
        <v>182176.92716146816</v>
      </c>
    </row>
    <row r="182" spans="1:9" x14ac:dyDescent="0.25">
      <c r="A182" s="82">
        <f>'A) Base RI'!A184</f>
        <v>5693</v>
      </c>
      <c r="B182" s="14" t="str">
        <f>'A) Base RI'!B184</f>
        <v>Montanaire</v>
      </c>
      <c r="C182" s="158">
        <f>'A) Base RI'!AN184</f>
        <v>2436</v>
      </c>
      <c r="D182" s="199">
        <f>'D) Ecrêtage'!O182</f>
        <v>24.250222758164572</v>
      </c>
      <c r="E182" s="64">
        <f t="shared" si="12"/>
        <v>19.605608406696195</v>
      </c>
      <c r="F182" s="202">
        <f t="shared" si="10"/>
        <v>928440.05481015996</v>
      </c>
      <c r="G182" s="183">
        <f>'A) Base RI'!AM184</f>
        <v>72</v>
      </c>
      <c r="H182" s="191">
        <f t="shared" si="11"/>
        <v>1.0606561288604985</v>
      </c>
      <c r="I182" s="206">
        <f>F182*H182</f>
        <v>984755.63441397331</v>
      </c>
    </row>
    <row r="183" spans="1:9" x14ac:dyDescent="0.25">
      <c r="A183" s="82">
        <f>'A) Base RI'!A185</f>
        <v>5701</v>
      </c>
      <c r="B183" s="14" t="str">
        <f>'A) Base RI'!B185</f>
        <v>Arnex-sur-Nyon</v>
      </c>
      <c r="C183" s="158">
        <f>'A) Base RI'!AN185</f>
        <v>190</v>
      </c>
      <c r="D183" s="199">
        <f>'D) Ecrêtage'!O183</f>
        <v>67.774845445143811</v>
      </c>
      <c r="E183" s="64">
        <f t="shared" si="12"/>
        <v>0</v>
      </c>
      <c r="F183" s="202">
        <f t="shared" si="10"/>
        <v>0</v>
      </c>
      <c r="G183" s="183">
        <f>'A) Base RI'!AM185</f>
        <v>63</v>
      </c>
      <c r="H183" s="191">
        <f t="shared" si="11"/>
        <v>0.92807411275293628</v>
      </c>
      <c r="I183" s="206">
        <f>F183*H183</f>
        <v>0</v>
      </c>
    </row>
    <row r="184" spans="1:9" x14ac:dyDescent="0.25">
      <c r="A184" s="82">
        <f>'A) Base RI'!A186</f>
        <v>5702</v>
      </c>
      <c r="B184" s="14" t="str">
        <f>'A) Base RI'!B186</f>
        <v>Arzier-Le Muids</v>
      </c>
      <c r="C184" s="158">
        <f>'A) Base RI'!AN186</f>
        <v>2442</v>
      </c>
      <c r="D184" s="199">
        <f>'D) Ecrêtage'!O184</f>
        <v>50.742468604968607</v>
      </c>
      <c r="E184" s="64">
        <f t="shared" si="12"/>
        <v>0</v>
      </c>
      <c r="F184" s="202">
        <f t="shared" si="10"/>
        <v>0</v>
      </c>
      <c r="G184" s="183">
        <f>'A) Base RI'!AM186</f>
        <v>64</v>
      </c>
      <c r="H184" s="191">
        <f t="shared" si="11"/>
        <v>0.94280544787599874</v>
      </c>
      <c r="I184" s="206">
        <f t="shared" si="13"/>
        <v>0</v>
      </c>
    </row>
    <row r="185" spans="1:9" x14ac:dyDescent="0.25">
      <c r="A185" s="82">
        <f>'A) Base RI'!A187</f>
        <v>5703</v>
      </c>
      <c r="B185" s="14" t="str">
        <f>'A) Base RI'!B187</f>
        <v>Bassins</v>
      </c>
      <c r="C185" s="158">
        <f>'A) Base RI'!AN187</f>
        <v>1318</v>
      </c>
      <c r="D185" s="199">
        <f>'D) Ecrêtage'!O185</f>
        <v>39.970226642098417</v>
      </c>
      <c r="E185" s="64">
        <f t="shared" si="12"/>
        <v>3.8856045227623497</v>
      </c>
      <c r="F185" s="202">
        <f t="shared" si="10"/>
        <v>96791.185782914676</v>
      </c>
      <c r="G185" s="183">
        <f>'A) Base RI'!AM187</f>
        <v>70</v>
      </c>
      <c r="H185" s="191">
        <f t="shared" si="11"/>
        <v>1.0311934586143736</v>
      </c>
      <c r="I185" s="206">
        <f t="shared" si="13"/>
        <v>99810.437630870176</v>
      </c>
    </row>
    <row r="186" spans="1:9" x14ac:dyDescent="0.25">
      <c r="A186" s="82">
        <f>'A) Base RI'!A188</f>
        <v>5704</v>
      </c>
      <c r="B186" s="14" t="str">
        <f>'A) Base RI'!B188</f>
        <v>Begnins</v>
      </c>
      <c r="C186" s="158">
        <f>'A) Base RI'!AN188</f>
        <v>1698</v>
      </c>
      <c r="D186" s="199">
        <f>'D) Ecrêtage'!O186</f>
        <v>57.034379998882322</v>
      </c>
      <c r="E186" s="64">
        <f t="shared" si="12"/>
        <v>0</v>
      </c>
      <c r="F186" s="202">
        <f t="shared" si="10"/>
        <v>0</v>
      </c>
      <c r="G186" s="183">
        <f>'A) Base RI'!AM188</f>
        <v>67</v>
      </c>
      <c r="H186" s="191">
        <f t="shared" si="11"/>
        <v>0.98699945324518623</v>
      </c>
      <c r="I186" s="206">
        <f t="shared" si="13"/>
        <v>0</v>
      </c>
    </row>
    <row r="187" spans="1:9" x14ac:dyDescent="0.25">
      <c r="A187" s="82">
        <f>'A) Base RI'!A189</f>
        <v>5705</v>
      </c>
      <c r="B187" s="14" t="str">
        <f>'A) Base RI'!B189</f>
        <v>Bogis-Bossey</v>
      </c>
      <c r="C187" s="158">
        <f>'A) Base RI'!AN189</f>
        <v>830</v>
      </c>
      <c r="D187" s="199">
        <f>'D) Ecrêtage'!O187</f>
        <v>52.370792733433738</v>
      </c>
      <c r="E187" s="64">
        <f t="shared" si="12"/>
        <v>0</v>
      </c>
      <c r="F187" s="202">
        <f t="shared" si="10"/>
        <v>0</v>
      </c>
      <c r="G187" s="183">
        <f>'A) Base RI'!AM189</f>
        <v>64</v>
      </c>
      <c r="H187" s="191">
        <f t="shared" si="11"/>
        <v>0.94280544787599874</v>
      </c>
      <c r="I187" s="206">
        <f t="shared" si="13"/>
        <v>0</v>
      </c>
    </row>
    <row r="188" spans="1:9" x14ac:dyDescent="0.25">
      <c r="A188" s="82">
        <f>'A) Base RI'!A190</f>
        <v>5706</v>
      </c>
      <c r="B188" s="14" t="str">
        <f>'A) Base RI'!B190</f>
        <v>Borex</v>
      </c>
      <c r="C188" s="158">
        <f>'A) Base RI'!AN190</f>
        <v>919</v>
      </c>
      <c r="D188" s="199">
        <f>'D) Ecrêtage'!O188</f>
        <v>80.478256684667485</v>
      </c>
      <c r="E188" s="64">
        <f t="shared" si="12"/>
        <v>0</v>
      </c>
      <c r="F188" s="202">
        <f t="shared" si="10"/>
        <v>0</v>
      </c>
      <c r="G188" s="183">
        <f>'A) Base RI'!AM190</f>
        <v>57</v>
      </c>
      <c r="H188" s="191">
        <f t="shared" si="11"/>
        <v>0.8396861020145614</v>
      </c>
      <c r="I188" s="206">
        <f t="shared" si="13"/>
        <v>0</v>
      </c>
    </row>
    <row r="189" spans="1:9" x14ac:dyDescent="0.25">
      <c r="A189" s="82">
        <f>'A) Base RI'!A191</f>
        <v>5707</v>
      </c>
      <c r="B189" s="14" t="str">
        <f>'A) Base RI'!B191</f>
        <v>Chavannes-de-Bogis</v>
      </c>
      <c r="C189" s="158">
        <f>'A) Base RI'!AN191</f>
        <v>1125</v>
      </c>
      <c r="D189" s="199">
        <f>'D) Ecrêtage'!O189</f>
        <v>73.81873065732681</v>
      </c>
      <c r="E189" s="64">
        <f t="shared" si="12"/>
        <v>0</v>
      </c>
      <c r="F189" s="202">
        <f t="shared" si="10"/>
        <v>0</v>
      </c>
      <c r="G189" s="183">
        <f>'A) Base RI'!AM191</f>
        <v>59</v>
      </c>
      <c r="H189" s="191">
        <f t="shared" si="11"/>
        <v>0.86914877226068632</v>
      </c>
      <c r="I189" s="206">
        <f t="shared" si="13"/>
        <v>0</v>
      </c>
    </row>
    <row r="190" spans="1:9" x14ac:dyDescent="0.25">
      <c r="A190" s="82">
        <f>'A) Base RI'!A192</f>
        <v>5708</v>
      </c>
      <c r="B190" s="14" t="str">
        <f>'A) Base RI'!B192</f>
        <v>Chavannes-des-Bois</v>
      </c>
      <c r="C190" s="158">
        <f>'A) Base RI'!AN192</f>
        <v>797</v>
      </c>
      <c r="D190" s="199">
        <f>'D) Ecrêtage'!O190</f>
        <v>67.566321076873834</v>
      </c>
      <c r="E190" s="64">
        <f t="shared" si="12"/>
        <v>0</v>
      </c>
      <c r="F190" s="202">
        <f t="shared" si="10"/>
        <v>0</v>
      </c>
      <c r="G190" s="183">
        <f>'A) Base RI'!AM192</f>
        <v>61</v>
      </c>
      <c r="H190" s="191">
        <f t="shared" si="11"/>
        <v>0.89861144250681135</v>
      </c>
      <c r="I190" s="206">
        <f t="shared" si="13"/>
        <v>0</v>
      </c>
    </row>
    <row r="191" spans="1:9" x14ac:dyDescent="0.25">
      <c r="A191" s="82">
        <f>'A) Base RI'!A193</f>
        <v>5709</v>
      </c>
      <c r="B191" s="14" t="str">
        <f>'A) Base RI'!B193</f>
        <v>Chéserex</v>
      </c>
      <c r="C191" s="158">
        <f>'A) Base RI'!AN193</f>
        <v>1225</v>
      </c>
      <c r="D191" s="199">
        <f>'D) Ecrêtage'!O191</f>
        <v>88.410367602473684</v>
      </c>
      <c r="E191" s="64">
        <f t="shared" si="12"/>
        <v>0</v>
      </c>
      <c r="F191" s="202">
        <f t="shared" si="10"/>
        <v>0</v>
      </c>
      <c r="G191" s="183">
        <f>'A) Base RI'!AM193</f>
        <v>52</v>
      </c>
      <c r="H191" s="191">
        <f t="shared" si="11"/>
        <v>0.76602942639924898</v>
      </c>
      <c r="I191" s="206">
        <f t="shared" si="13"/>
        <v>0</v>
      </c>
    </row>
    <row r="192" spans="1:9" x14ac:dyDescent="0.25">
      <c r="A192" s="82">
        <f>'A) Base RI'!A194</f>
        <v>5710</v>
      </c>
      <c r="B192" s="14" t="str">
        <f>'A) Base RI'!B194</f>
        <v>Coinsins</v>
      </c>
      <c r="C192" s="158">
        <f>'A) Base RI'!AN194</f>
        <v>427</v>
      </c>
      <c r="D192" s="199">
        <f>'D) Ecrêtage'!O192</f>
        <v>131.3956370578089</v>
      </c>
      <c r="E192" s="64">
        <f t="shared" si="12"/>
        <v>0</v>
      </c>
      <c r="F192" s="202">
        <f t="shared" si="10"/>
        <v>0</v>
      </c>
      <c r="G192" s="183">
        <f>'A) Base RI'!AM194</f>
        <v>39</v>
      </c>
      <c r="H192" s="191">
        <f t="shared" si="11"/>
        <v>0.57452206979943676</v>
      </c>
      <c r="I192" s="206">
        <f t="shared" si="13"/>
        <v>0</v>
      </c>
    </row>
    <row r="193" spans="1:9" x14ac:dyDescent="0.25">
      <c r="A193" s="82">
        <f>'A) Base RI'!A195</f>
        <v>5711</v>
      </c>
      <c r="B193" s="14" t="str">
        <f>'A) Base RI'!B195</f>
        <v>Commugny</v>
      </c>
      <c r="C193" s="158">
        <f>'A) Base RI'!AN195</f>
        <v>2524</v>
      </c>
      <c r="D193" s="199">
        <f>'D) Ecrêtage'!O193</f>
        <v>77.113715091684597</v>
      </c>
      <c r="E193" s="64">
        <f t="shared" si="12"/>
        <v>0</v>
      </c>
      <c r="F193" s="202">
        <f t="shared" si="10"/>
        <v>0</v>
      </c>
      <c r="G193" s="183">
        <f>'A) Base RI'!AM195</f>
        <v>58</v>
      </c>
      <c r="H193" s="191">
        <f t="shared" si="11"/>
        <v>0.85441743713762386</v>
      </c>
      <c r="I193" s="206">
        <f t="shared" si="13"/>
        <v>0</v>
      </c>
    </row>
    <row r="194" spans="1:9" x14ac:dyDescent="0.25">
      <c r="A194" s="82">
        <f>'A) Base RI'!A196</f>
        <v>5712</v>
      </c>
      <c r="B194" s="14" t="str">
        <f>'A) Base RI'!B196</f>
        <v>Coppet</v>
      </c>
      <c r="C194" s="158">
        <f>'A) Base RI'!AN196</f>
        <v>2892</v>
      </c>
      <c r="D194" s="199">
        <f>'D) Ecrêtage'!O194</f>
        <v>80.503892801397484</v>
      </c>
      <c r="E194" s="64">
        <f t="shared" si="12"/>
        <v>0</v>
      </c>
      <c r="F194" s="202">
        <f t="shared" si="10"/>
        <v>0</v>
      </c>
      <c r="G194" s="183">
        <f>'A) Base RI'!AM196</f>
        <v>53</v>
      </c>
      <c r="H194" s="191">
        <f t="shared" si="11"/>
        <v>0.78076076152231144</v>
      </c>
      <c r="I194" s="206">
        <f t="shared" si="13"/>
        <v>0</v>
      </c>
    </row>
    <row r="195" spans="1:9" x14ac:dyDescent="0.25">
      <c r="A195" s="82">
        <f>'A) Base RI'!A197</f>
        <v>5713</v>
      </c>
      <c r="B195" s="14" t="str">
        <f>'A) Base RI'!B197</f>
        <v>Crans-près-Céligny</v>
      </c>
      <c r="C195" s="158">
        <f>'A) Base RI'!AN197</f>
        <v>2048</v>
      </c>
      <c r="D195" s="199">
        <f>'D) Ecrêtage'!O195</f>
        <v>105.5623459854982</v>
      </c>
      <c r="E195" s="64">
        <f t="shared" si="12"/>
        <v>0</v>
      </c>
      <c r="F195" s="202">
        <f t="shared" si="10"/>
        <v>0</v>
      </c>
      <c r="G195" s="183">
        <f>'A) Base RI'!AM197</f>
        <v>53</v>
      </c>
      <c r="H195" s="191">
        <f t="shared" si="11"/>
        <v>0.78076076152231144</v>
      </c>
      <c r="I195" s="206">
        <f t="shared" si="13"/>
        <v>0</v>
      </c>
    </row>
    <row r="196" spans="1:9" x14ac:dyDescent="0.25">
      <c r="A196" s="82">
        <f>'A) Base RI'!A198</f>
        <v>5714</v>
      </c>
      <c r="B196" s="14" t="str">
        <f>'A) Base RI'!B198</f>
        <v>Crassier</v>
      </c>
      <c r="C196" s="158">
        <f>'A) Base RI'!AN198</f>
        <v>1114</v>
      </c>
      <c r="D196" s="199">
        <f>'D) Ecrêtage'!O196</f>
        <v>56.872131072156357</v>
      </c>
      <c r="E196" s="64">
        <f t="shared" si="12"/>
        <v>0</v>
      </c>
      <c r="F196" s="202">
        <f t="shared" si="10"/>
        <v>0</v>
      </c>
      <c r="G196" s="183">
        <f>'A) Base RI'!AM198</f>
        <v>64</v>
      </c>
      <c r="H196" s="191">
        <f t="shared" si="11"/>
        <v>0.94280544787599874</v>
      </c>
      <c r="I196" s="206">
        <f t="shared" si="13"/>
        <v>0</v>
      </c>
    </row>
    <row r="197" spans="1:9" x14ac:dyDescent="0.25">
      <c r="A197" s="82">
        <f>'A) Base RI'!A199</f>
        <v>5715</v>
      </c>
      <c r="B197" s="14" t="str">
        <f>'A) Base RI'!B199</f>
        <v>Duillier</v>
      </c>
      <c r="C197" s="158">
        <f>'A) Base RI'!AN199</f>
        <v>1014</v>
      </c>
      <c r="D197" s="199">
        <f>'D) Ecrêtage'!O197</f>
        <v>58.018560758677694</v>
      </c>
      <c r="E197" s="64">
        <f t="shared" si="12"/>
        <v>0</v>
      </c>
      <c r="F197" s="202">
        <f t="shared" ref="F197:F260" si="14">(C197*E197*G197)*$E$4</f>
        <v>0</v>
      </c>
      <c r="G197" s="183">
        <f>'A) Base RI'!AM199</f>
        <v>66</v>
      </c>
      <c r="H197" s="191">
        <f t="shared" si="11"/>
        <v>0.97226811812212377</v>
      </c>
      <c r="I197" s="206">
        <f t="shared" si="13"/>
        <v>0</v>
      </c>
    </row>
    <row r="198" spans="1:9" x14ac:dyDescent="0.25">
      <c r="A198" s="82">
        <f>'A) Base RI'!A200</f>
        <v>5716</v>
      </c>
      <c r="B198" s="14" t="str">
        <f>'A) Base RI'!B200</f>
        <v>Eysins</v>
      </c>
      <c r="C198" s="158">
        <f>'A) Base RI'!AN200</f>
        <v>1462</v>
      </c>
      <c r="D198" s="199">
        <f>'D) Ecrêtage'!O198</f>
        <v>77.394003329692907</v>
      </c>
      <c r="E198" s="64">
        <f t="shared" si="12"/>
        <v>0</v>
      </c>
      <c r="F198" s="202">
        <f t="shared" si="14"/>
        <v>0</v>
      </c>
      <c r="G198" s="183">
        <f>'A) Base RI'!AM200</f>
        <v>61</v>
      </c>
      <c r="H198" s="191">
        <f t="shared" ref="H198:H261" si="15">G198/$G$323</f>
        <v>0.89861144250681135</v>
      </c>
      <c r="I198" s="206">
        <f t="shared" si="13"/>
        <v>0</v>
      </c>
    </row>
    <row r="199" spans="1:9" x14ac:dyDescent="0.25">
      <c r="A199" s="82">
        <f>'A) Base RI'!A201</f>
        <v>5717</v>
      </c>
      <c r="B199" s="14" t="str">
        <f>'A) Base RI'!B201</f>
        <v>Founex</v>
      </c>
      <c r="C199" s="158">
        <f>'A) Base RI'!AN201</f>
        <v>3276</v>
      </c>
      <c r="D199" s="199">
        <f>'D) Ecrêtage'!O199</f>
        <v>80.535548015533195</v>
      </c>
      <c r="E199" s="64">
        <f t="shared" si="12"/>
        <v>0</v>
      </c>
      <c r="F199" s="202">
        <f t="shared" si="14"/>
        <v>0</v>
      </c>
      <c r="G199" s="183">
        <f>'A) Base RI'!AM201</f>
        <v>57</v>
      </c>
      <c r="H199" s="191">
        <f t="shared" si="15"/>
        <v>0.8396861020145614</v>
      </c>
      <c r="I199" s="206">
        <f t="shared" si="13"/>
        <v>0</v>
      </c>
    </row>
    <row r="200" spans="1:9" x14ac:dyDescent="0.25">
      <c r="A200" s="82">
        <f>'A) Base RI'!A202</f>
        <v>5718</v>
      </c>
      <c r="B200" s="14" t="str">
        <f>'A) Base RI'!B202</f>
        <v>Genolier</v>
      </c>
      <c r="C200" s="158">
        <f>'A) Base RI'!AN202</f>
        <v>1875</v>
      </c>
      <c r="D200" s="199">
        <f>'D) Ecrêtage'!O200</f>
        <v>77.906540046421341</v>
      </c>
      <c r="E200" s="64">
        <f t="shared" si="12"/>
        <v>0</v>
      </c>
      <c r="F200" s="202">
        <f t="shared" si="14"/>
        <v>0</v>
      </c>
      <c r="G200" s="183">
        <f>'A) Base RI'!AM202</f>
        <v>55</v>
      </c>
      <c r="H200" s="191">
        <f t="shared" si="15"/>
        <v>0.81022343176843648</v>
      </c>
      <c r="I200" s="206">
        <f t="shared" si="13"/>
        <v>0</v>
      </c>
    </row>
    <row r="201" spans="1:9" x14ac:dyDescent="0.25">
      <c r="A201" s="82">
        <f>'A) Base RI'!A203</f>
        <v>5719</v>
      </c>
      <c r="B201" s="14" t="str">
        <f>'A) Base RI'!B203</f>
        <v>Gingins</v>
      </c>
      <c r="C201" s="158">
        <f>'A) Base RI'!AN203</f>
        <v>1217</v>
      </c>
      <c r="D201" s="199">
        <f>'D) Ecrêtage'!O201</f>
        <v>69.417601374018162</v>
      </c>
      <c r="E201" s="64">
        <f t="shared" si="12"/>
        <v>0</v>
      </c>
      <c r="F201" s="202">
        <f t="shared" si="14"/>
        <v>0</v>
      </c>
      <c r="G201" s="183">
        <f>'A) Base RI'!AM203</f>
        <v>51</v>
      </c>
      <c r="H201" s="191">
        <f t="shared" si="15"/>
        <v>0.75129809127618652</v>
      </c>
      <c r="I201" s="206">
        <f t="shared" si="13"/>
        <v>0</v>
      </c>
    </row>
    <row r="202" spans="1:9" x14ac:dyDescent="0.25">
      <c r="A202" s="82">
        <f>'A) Base RI'!A204</f>
        <v>5720</v>
      </c>
      <c r="B202" s="14" t="str">
        <f>'A) Base RI'!B204</f>
        <v>Givrins</v>
      </c>
      <c r="C202" s="158">
        <f>'A) Base RI'!AN204</f>
        <v>948</v>
      </c>
      <c r="D202" s="199">
        <f>'D) Ecrêtage'!O202</f>
        <v>69.429212953393588</v>
      </c>
      <c r="E202" s="64">
        <f t="shared" si="12"/>
        <v>0</v>
      </c>
      <c r="F202" s="202">
        <f t="shared" si="14"/>
        <v>0</v>
      </c>
      <c r="G202" s="183">
        <f>'A) Base RI'!AM204</f>
        <v>61</v>
      </c>
      <c r="H202" s="191">
        <f t="shared" si="15"/>
        <v>0.89861144250681135</v>
      </c>
      <c r="I202" s="206">
        <f t="shared" si="13"/>
        <v>0</v>
      </c>
    </row>
    <row r="203" spans="1:9" x14ac:dyDescent="0.25">
      <c r="A203" s="82">
        <f>'A) Base RI'!A205</f>
        <v>5721</v>
      </c>
      <c r="B203" s="14" t="str">
        <f>'A) Base RI'!B205</f>
        <v>Gland</v>
      </c>
      <c r="C203" s="158">
        <f>'A) Base RI'!AN205</f>
        <v>12482</v>
      </c>
      <c r="D203" s="199">
        <f>'D) Ecrêtage'!O203</f>
        <v>43.677342874539335</v>
      </c>
      <c r="E203" s="64">
        <f t="shared" si="12"/>
        <v>0.17848829032143243</v>
      </c>
      <c r="F203" s="202">
        <f t="shared" si="14"/>
        <v>37595.657921492013</v>
      </c>
      <c r="G203" s="183">
        <f>'A) Base RI'!AM205</f>
        <v>62.5</v>
      </c>
      <c r="H203" s="191">
        <f t="shared" si="15"/>
        <v>0.92070844519140504</v>
      </c>
      <c r="I203" s="206">
        <f t="shared" si="13"/>
        <v>34614.639750844843</v>
      </c>
    </row>
    <row r="204" spans="1:9" x14ac:dyDescent="0.25">
      <c r="A204" s="82">
        <f>'A) Base RI'!A206</f>
        <v>5722</v>
      </c>
      <c r="B204" s="14" t="str">
        <f>'A) Base RI'!B206</f>
        <v>Grens</v>
      </c>
      <c r="C204" s="158">
        <f>'A) Base RI'!AN206</f>
        <v>366</v>
      </c>
      <c r="D204" s="199">
        <f>'D) Ecrêtage'!O204</f>
        <v>49.106649410411272</v>
      </c>
      <c r="E204" s="64">
        <f t="shared" si="12"/>
        <v>0</v>
      </c>
      <c r="F204" s="202">
        <f t="shared" si="14"/>
        <v>0</v>
      </c>
      <c r="G204" s="183">
        <f>'A) Base RI'!AM206</f>
        <v>57</v>
      </c>
      <c r="H204" s="191">
        <f t="shared" si="15"/>
        <v>0.8396861020145614</v>
      </c>
      <c r="I204" s="206">
        <f t="shared" si="13"/>
        <v>0</v>
      </c>
    </row>
    <row r="205" spans="1:9" x14ac:dyDescent="0.25">
      <c r="A205" s="82">
        <f>'A) Base RI'!A207</f>
        <v>5723</v>
      </c>
      <c r="B205" s="14" t="str">
        <f>'A) Base RI'!B207</f>
        <v>Mies</v>
      </c>
      <c r="C205" s="158">
        <f>'A) Base RI'!AN207</f>
        <v>1775</v>
      </c>
      <c r="D205" s="199">
        <f>'D) Ecrêtage'!O205</f>
        <v>84.240771853739517</v>
      </c>
      <c r="E205" s="64">
        <f t="shared" si="12"/>
        <v>0</v>
      </c>
      <c r="F205" s="202">
        <f t="shared" si="14"/>
        <v>0</v>
      </c>
      <c r="G205" s="183">
        <f>'A) Base RI'!AM207</f>
        <v>52</v>
      </c>
      <c r="H205" s="191">
        <f t="shared" si="15"/>
        <v>0.76602942639924898</v>
      </c>
      <c r="I205" s="206">
        <f t="shared" si="13"/>
        <v>0</v>
      </c>
    </row>
    <row r="206" spans="1:9" x14ac:dyDescent="0.25">
      <c r="A206" s="82">
        <f>'A) Base RI'!A208</f>
        <v>5724</v>
      </c>
      <c r="B206" s="14" t="str">
        <f>'A) Base RI'!B208</f>
        <v>Nyon</v>
      </c>
      <c r="C206" s="158">
        <f>'A) Base RI'!AN208</f>
        <v>19632</v>
      </c>
      <c r="D206" s="199">
        <f>'D) Ecrêtage'!O206</f>
        <v>61.54118625844859</v>
      </c>
      <c r="E206" s="64">
        <f t="shared" si="12"/>
        <v>0</v>
      </c>
      <c r="F206" s="202">
        <f t="shared" si="14"/>
        <v>0</v>
      </c>
      <c r="G206" s="183">
        <f>'A) Base RI'!AM208</f>
        <v>61</v>
      </c>
      <c r="H206" s="191">
        <f t="shared" si="15"/>
        <v>0.89861144250681135</v>
      </c>
      <c r="I206" s="206">
        <f t="shared" si="13"/>
        <v>0</v>
      </c>
    </row>
    <row r="207" spans="1:9" x14ac:dyDescent="0.25">
      <c r="A207" s="82">
        <f>'A) Base RI'!A209</f>
        <v>5725</v>
      </c>
      <c r="B207" s="14" t="str">
        <f>'A) Base RI'!B209</f>
        <v>Prangins</v>
      </c>
      <c r="C207" s="158">
        <f>'A) Base RI'!AN209</f>
        <v>3930</v>
      </c>
      <c r="D207" s="199">
        <f>'D) Ecrêtage'!O207</f>
        <v>72.247120583651196</v>
      </c>
      <c r="E207" s="64">
        <f t="shared" si="12"/>
        <v>0</v>
      </c>
      <c r="F207" s="202">
        <f t="shared" si="14"/>
        <v>0</v>
      </c>
      <c r="G207" s="183">
        <f>'A) Base RI'!AM209</f>
        <v>56</v>
      </c>
      <c r="H207" s="191">
        <f t="shared" si="15"/>
        <v>0.82495476689149894</v>
      </c>
      <c r="I207" s="206">
        <f t="shared" si="13"/>
        <v>0</v>
      </c>
    </row>
    <row r="208" spans="1:9" x14ac:dyDescent="0.25">
      <c r="A208" s="82">
        <f>'A) Base RI'!A210</f>
        <v>5726</v>
      </c>
      <c r="B208" s="14" t="str">
        <f>'A) Base RI'!B210</f>
        <v>La Rippe</v>
      </c>
      <c r="C208" s="158">
        <f>'A) Base RI'!AN210</f>
        <v>1057</v>
      </c>
      <c r="D208" s="199">
        <f>'D) Ecrêtage'!O208</f>
        <v>49.58134022269121</v>
      </c>
      <c r="E208" s="64">
        <f t="shared" ref="E208:E271" si="16">IF($D$323-D208&lt;0,0,$D$323-D208)</f>
        <v>0</v>
      </c>
      <c r="F208" s="202">
        <f t="shared" si="14"/>
        <v>0</v>
      </c>
      <c r="G208" s="183">
        <f>'A) Base RI'!AM210</f>
        <v>65</v>
      </c>
      <c r="H208" s="191">
        <f t="shared" si="15"/>
        <v>0.95753678299906131</v>
      </c>
      <c r="I208" s="206">
        <f t="shared" si="13"/>
        <v>0</v>
      </c>
    </row>
    <row r="209" spans="1:9" x14ac:dyDescent="0.25">
      <c r="A209" s="82">
        <f>'A) Base RI'!A211</f>
        <v>5727</v>
      </c>
      <c r="B209" s="14" t="str">
        <f>'A) Base RI'!B211</f>
        <v>Saint-Cergue</v>
      </c>
      <c r="C209" s="158">
        <f>'A) Base RI'!AN211</f>
        <v>2340</v>
      </c>
      <c r="D209" s="199">
        <f>'D) Ecrêtage'!O209</f>
        <v>36.872945566778895</v>
      </c>
      <c r="E209" s="64">
        <f t="shared" si="16"/>
        <v>6.9828855980818716</v>
      </c>
      <c r="F209" s="202">
        <f t="shared" si="14"/>
        <v>291177.94997729635</v>
      </c>
      <c r="G209" s="183">
        <f>'A) Base RI'!AM211</f>
        <v>66</v>
      </c>
      <c r="H209" s="191">
        <f t="shared" si="15"/>
        <v>0.97226811812212377</v>
      </c>
      <c r="I209" s="206">
        <f t="shared" si="13"/>
        <v>283103.03746308381</v>
      </c>
    </row>
    <row r="210" spans="1:9" x14ac:dyDescent="0.25">
      <c r="A210" s="82">
        <f>'A) Base RI'!A212</f>
        <v>5728</v>
      </c>
      <c r="B210" s="14" t="str">
        <f>'A) Base RI'!B212</f>
        <v>Signy-Avenex</v>
      </c>
      <c r="C210" s="158">
        <f>'A) Base RI'!AN212</f>
        <v>457</v>
      </c>
      <c r="D210" s="199">
        <f>'D) Ecrêtage'!O210</f>
        <v>72.955679532769878</v>
      </c>
      <c r="E210" s="64">
        <f t="shared" si="16"/>
        <v>0</v>
      </c>
      <c r="F210" s="202">
        <f t="shared" si="14"/>
        <v>0</v>
      </c>
      <c r="G210" s="183">
        <f>'A) Base RI'!AM212</f>
        <v>56</v>
      </c>
      <c r="H210" s="191">
        <f t="shared" si="15"/>
        <v>0.82495476689149894</v>
      </c>
      <c r="I210" s="206">
        <f t="shared" si="13"/>
        <v>0</v>
      </c>
    </row>
    <row r="211" spans="1:9" x14ac:dyDescent="0.25">
      <c r="A211" s="82">
        <f>'A) Base RI'!A213</f>
        <v>5729</v>
      </c>
      <c r="B211" s="14" t="str">
        <f>'A) Base RI'!B213</f>
        <v>Tannay</v>
      </c>
      <c r="C211" s="158">
        <f>'A) Base RI'!AN213</f>
        <v>1511</v>
      </c>
      <c r="D211" s="199">
        <f>'D) Ecrêtage'!O211</f>
        <v>80.28690171647132</v>
      </c>
      <c r="E211" s="64">
        <f t="shared" si="16"/>
        <v>0</v>
      </c>
      <c r="F211" s="202">
        <f t="shared" si="14"/>
        <v>0</v>
      </c>
      <c r="G211" s="183">
        <f>'A) Base RI'!AM213</f>
        <v>61</v>
      </c>
      <c r="H211" s="191">
        <f t="shared" si="15"/>
        <v>0.89861144250681135</v>
      </c>
      <c r="I211" s="206">
        <f t="shared" si="13"/>
        <v>0</v>
      </c>
    </row>
    <row r="212" spans="1:9" x14ac:dyDescent="0.25">
      <c r="A212" s="82">
        <f>'A) Base RI'!A214</f>
        <v>5730</v>
      </c>
      <c r="B212" s="14" t="str">
        <f>'A) Base RI'!B214</f>
        <v>Trélex</v>
      </c>
      <c r="C212" s="158">
        <f>'A) Base RI'!AN214</f>
        <v>1397</v>
      </c>
      <c r="D212" s="199">
        <f>'D) Ecrêtage'!O212</f>
        <v>80.875989618283285</v>
      </c>
      <c r="E212" s="64">
        <f t="shared" si="16"/>
        <v>0</v>
      </c>
      <c r="F212" s="202">
        <f t="shared" si="14"/>
        <v>0</v>
      </c>
      <c r="G212" s="183">
        <f>'A) Base RI'!AM214</f>
        <v>53</v>
      </c>
      <c r="H212" s="191">
        <f t="shared" si="15"/>
        <v>0.78076076152231144</v>
      </c>
      <c r="I212" s="206">
        <f t="shared" si="13"/>
        <v>0</v>
      </c>
    </row>
    <row r="213" spans="1:9" x14ac:dyDescent="0.25">
      <c r="A213" s="82">
        <f>'A) Base RI'!A215</f>
        <v>5731</v>
      </c>
      <c r="B213" s="14" t="str">
        <f>'A) Base RI'!B215</f>
        <v>Le Vaud</v>
      </c>
      <c r="C213" s="158">
        <f>'A) Base RI'!AN215</f>
        <v>1238</v>
      </c>
      <c r="D213" s="199">
        <f>'D) Ecrêtage'!O213</f>
        <v>35.665991240351822</v>
      </c>
      <c r="E213" s="64">
        <f t="shared" si="16"/>
        <v>8.189839924508945</v>
      </c>
      <c r="F213" s="202">
        <f t="shared" si="14"/>
        <v>205315.19198747701</v>
      </c>
      <c r="G213" s="183">
        <f>'A) Base RI'!AM215</f>
        <v>75</v>
      </c>
      <c r="H213" s="191">
        <f t="shared" si="15"/>
        <v>1.1048501342296861</v>
      </c>
      <c r="I213" s="206">
        <f t="shared" si="13"/>
        <v>226842.51742675775</v>
      </c>
    </row>
    <row r="214" spans="1:9" x14ac:dyDescent="0.25">
      <c r="A214" s="82">
        <f>'A) Base RI'!A216</f>
        <v>5732</v>
      </c>
      <c r="B214" s="14" t="str">
        <f>'A) Base RI'!B216</f>
        <v>Vich</v>
      </c>
      <c r="C214" s="158">
        <f>'A) Base RI'!AN216</f>
        <v>763</v>
      </c>
      <c r="D214" s="199">
        <f>'D) Ecrêtage'!O214</f>
        <v>52.935991949073198</v>
      </c>
      <c r="E214" s="64">
        <f t="shared" si="16"/>
        <v>0</v>
      </c>
      <c r="F214" s="202">
        <f t="shared" si="14"/>
        <v>0</v>
      </c>
      <c r="G214" s="183">
        <f>'A) Base RI'!AM216</f>
        <v>70</v>
      </c>
      <c r="H214" s="191">
        <f t="shared" si="15"/>
        <v>1.0311934586143736</v>
      </c>
      <c r="I214" s="206">
        <f t="shared" si="13"/>
        <v>0</v>
      </c>
    </row>
    <row r="215" spans="1:9" x14ac:dyDescent="0.25">
      <c r="A215" s="82">
        <f>'A) Base RI'!A217</f>
        <v>5741</v>
      </c>
      <c r="B215" s="14" t="str">
        <f>'A) Base RI'!B217</f>
        <v>L'Abergement</v>
      </c>
      <c r="C215" s="158">
        <f>'A) Base RI'!AN217</f>
        <v>250</v>
      </c>
      <c r="D215" s="199">
        <f>'D) Ecrêtage'!O215</f>
        <v>22.634963374485594</v>
      </c>
      <c r="E215" s="64">
        <f t="shared" si="16"/>
        <v>21.220867790375173</v>
      </c>
      <c r="F215" s="202">
        <f t="shared" si="14"/>
        <v>116025.09464387628</v>
      </c>
      <c r="G215" s="183">
        <f>'A) Base RI'!AM217</f>
        <v>81</v>
      </c>
      <c r="H215" s="191">
        <f t="shared" si="15"/>
        <v>1.1932381449680609</v>
      </c>
      <c r="I215" s="206">
        <f t="shared" si="13"/>
        <v>138445.56870260261</v>
      </c>
    </row>
    <row r="216" spans="1:9" x14ac:dyDescent="0.25">
      <c r="A216" s="82">
        <f>'A) Base RI'!A218</f>
        <v>5742</v>
      </c>
      <c r="B216" s="14" t="str">
        <f>'A) Base RI'!B218</f>
        <v>Agiez</v>
      </c>
      <c r="C216" s="158">
        <f>'A) Base RI'!AN218</f>
        <v>297</v>
      </c>
      <c r="D216" s="199">
        <f>'D) Ecrêtage'!O216</f>
        <v>28.610098794967215</v>
      </c>
      <c r="E216" s="64">
        <f t="shared" si="16"/>
        <v>15.245732369893553</v>
      </c>
      <c r="F216" s="202">
        <f t="shared" si="14"/>
        <v>92914.201184374062</v>
      </c>
      <c r="G216" s="183">
        <f>'A) Base RI'!AM218</f>
        <v>76</v>
      </c>
      <c r="H216" s="191">
        <f t="shared" si="15"/>
        <v>1.1195814693527486</v>
      </c>
      <c r="I216" s="206">
        <f t="shared" si="13"/>
        <v>104025.0178857384</v>
      </c>
    </row>
    <row r="217" spans="1:9" x14ac:dyDescent="0.25">
      <c r="A217" s="82">
        <f>'A) Base RI'!A219</f>
        <v>5743</v>
      </c>
      <c r="B217" s="14" t="str">
        <f>'A) Base RI'!B219</f>
        <v>Arnex-sur-Orbe</v>
      </c>
      <c r="C217" s="158">
        <f>'A) Base RI'!AN219</f>
        <v>615</v>
      </c>
      <c r="D217" s="199">
        <f>'D) Ecrêtage'!O217</f>
        <v>23.146763002561531</v>
      </c>
      <c r="E217" s="64">
        <f t="shared" si="16"/>
        <v>20.709068162299236</v>
      </c>
      <c r="F217" s="202">
        <f t="shared" si="14"/>
        <v>251028.07608953453</v>
      </c>
      <c r="G217" s="183">
        <f>'A) Base RI'!AM219</f>
        <v>73</v>
      </c>
      <c r="H217" s="191">
        <f t="shared" si="15"/>
        <v>1.075387463983561</v>
      </c>
      <c r="I217" s="206">
        <f t="shared" si="13"/>
        <v>269952.44613459695</v>
      </c>
    </row>
    <row r="218" spans="1:9" x14ac:dyDescent="0.25">
      <c r="A218" s="82">
        <f>'A) Base RI'!A220</f>
        <v>5744</v>
      </c>
      <c r="B218" s="14" t="str">
        <f>'A) Base RI'!B220</f>
        <v>Ballaigues</v>
      </c>
      <c r="C218" s="158">
        <f>'A) Base RI'!AN220</f>
        <v>1037</v>
      </c>
      <c r="D218" s="199">
        <f>'D) Ecrêtage'!O218</f>
        <v>78.326344516628993</v>
      </c>
      <c r="E218" s="64">
        <f t="shared" si="16"/>
        <v>0</v>
      </c>
      <c r="F218" s="202">
        <f t="shared" si="14"/>
        <v>0</v>
      </c>
      <c r="G218" s="183">
        <f>'A) Base RI'!AM220</f>
        <v>66</v>
      </c>
      <c r="H218" s="191">
        <f t="shared" si="15"/>
        <v>0.97226811812212377</v>
      </c>
      <c r="I218" s="206">
        <f t="shared" si="13"/>
        <v>0</v>
      </c>
    </row>
    <row r="219" spans="1:9" x14ac:dyDescent="0.25">
      <c r="A219" s="82">
        <f>'A) Base RI'!A221</f>
        <v>5745</v>
      </c>
      <c r="B219" s="14" t="str">
        <f>'A) Base RI'!B221</f>
        <v>Baulmes</v>
      </c>
      <c r="C219" s="158">
        <f>'A) Base RI'!AN221</f>
        <v>1019</v>
      </c>
      <c r="D219" s="199">
        <f>'D) Ecrêtage'!O219</f>
        <v>26.777896756498329</v>
      </c>
      <c r="E219" s="64">
        <f t="shared" si="16"/>
        <v>17.077934408362438</v>
      </c>
      <c r="F219" s="202">
        <f t="shared" si="14"/>
        <v>366494.86331427511</v>
      </c>
      <c r="G219" s="183">
        <f>'A) Base RI'!AM221</f>
        <v>78</v>
      </c>
      <c r="H219" s="191">
        <f t="shared" si="15"/>
        <v>1.1490441395988735</v>
      </c>
      <c r="I219" s="206">
        <f t="shared" si="13"/>
        <v>421118.77488435799</v>
      </c>
    </row>
    <row r="220" spans="1:9" x14ac:dyDescent="0.25">
      <c r="A220" s="82">
        <f>'A) Base RI'!A222</f>
        <v>5746</v>
      </c>
      <c r="B220" s="14" t="str">
        <f>'A) Base RI'!B222</f>
        <v>Bavois</v>
      </c>
      <c r="C220" s="158">
        <f>'A) Base RI'!AN222</f>
        <v>919</v>
      </c>
      <c r="D220" s="199">
        <f>'D) Ecrêtage'!O220</f>
        <v>27.160653355592984</v>
      </c>
      <c r="E220" s="64">
        <f t="shared" si="16"/>
        <v>16.695177809267783</v>
      </c>
      <c r="F220" s="202">
        <f t="shared" si="14"/>
        <v>302407.93629639392</v>
      </c>
      <c r="G220" s="183">
        <f>'A) Base RI'!AM222</f>
        <v>73</v>
      </c>
      <c r="H220" s="191">
        <f t="shared" si="15"/>
        <v>1.075387463983561</v>
      </c>
      <c r="I220" s="206">
        <f t="shared" si="13"/>
        <v>325205.70370228135</v>
      </c>
    </row>
    <row r="221" spans="1:9" x14ac:dyDescent="0.25">
      <c r="A221" s="82">
        <f>'A) Base RI'!A223</f>
        <v>5747</v>
      </c>
      <c r="B221" s="14" t="str">
        <f>'A) Base RI'!B223</f>
        <v>Bofflens</v>
      </c>
      <c r="C221" s="158">
        <f>'A) Base RI'!AN223</f>
        <v>189</v>
      </c>
      <c r="D221" s="199">
        <f>'D) Ecrêtage'!O221</f>
        <v>28.805527183498199</v>
      </c>
      <c r="E221" s="64">
        <f t="shared" si="16"/>
        <v>15.050303981362568</v>
      </c>
      <c r="F221" s="202">
        <f t="shared" si="14"/>
        <v>52993.173839656301</v>
      </c>
      <c r="G221" s="183">
        <f>'A) Base RI'!AM223</f>
        <v>69</v>
      </c>
      <c r="H221" s="191">
        <f t="shared" si="15"/>
        <v>1.0164621234913112</v>
      </c>
      <c r="I221" s="206">
        <f t="shared" si="13"/>
        <v>53865.554011601242</v>
      </c>
    </row>
    <row r="222" spans="1:9" x14ac:dyDescent="0.25">
      <c r="A222" s="82">
        <f>'A) Base RI'!A224</f>
        <v>5748</v>
      </c>
      <c r="B222" s="14" t="str">
        <f>'A) Base RI'!B224</f>
        <v>Bretonnières</v>
      </c>
      <c r="C222" s="158">
        <f>'A) Base RI'!AN224</f>
        <v>236</v>
      </c>
      <c r="D222" s="199">
        <f>'D) Ecrêtage'!O222</f>
        <v>20.566205811138015</v>
      </c>
      <c r="E222" s="64">
        <f t="shared" si="16"/>
        <v>23.289625353722752</v>
      </c>
      <c r="F222" s="202">
        <f t="shared" si="14"/>
        <v>103881.04492774497</v>
      </c>
      <c r="G222" s="183">
        <f>'A) Base RI'!AM224</f>
        <v>70</v>
      </c>
      <c r="H222" s="191">
        <f t="shared" si="15"/>
        <v>1.0311934586143736</v>
      </c>
      <c r="I222" s="206">
        <f t="shared" si="13"/>
        <v>107121.45400351647</v>
      </c>
    </row>
    <row r="223" spans="1:9" x14ac:dyDescent="0.25">
      <c r="A223" s="82">
        <f>'A) Base RI'!A225</f>
        <v>5749</v>
      </c>
      <c r="B223" s="14" t="str">
        <f>'A) Base RI'!B225</f>
        <v>Chavornay</v>
      </c>
      <c r="C223" s="158">
        <f>'A) Base RI'!AN225</f>
        <v>4050</v>
      </c>
      <c r="D223" s="199">
        <f>'D) Ecrêtage'!O223</f>
        <v>30.244253806584364</v>
      </c>
      <c r="E223" s="64">
        <f t="shared" si="16"/>
        <v>13.611577358276403</v>
      </c>
      <c r="F223" s="202">
        <f t="shared" si="14"/>
        <v>1071666.708571818</v>
      </c>
      <c r="G223" s="183">
        <f>'A) Base RI'!AM225</f>
        <v>72</v>
      </c>
      <c r="H223" s="191">
        <f t="shared" si="15"/>
        <v>1.0606561288604985</v>
      </c>
      <c r="I223" s="206">
        <f t="shared" si="13"/>
        <v>1136669.8625424565</v>
      </c>
    </row>
    <row r="224" spans="1:9" x14ac:dyDescent="0.25">
      <c r="A224" s="82">
        <f>'A) Base RI'!A226</f>
        <v>5750</v>
      </c>
      <c r="B224" s="14" t="str">
        <f>'A) Base RI'!B226</f>
        <v>Les Clées</v>
      </c>
      <c r="C224" s="158">
        <f>'A) Base RI'!AN226</f>
        <v>176</v>
      </c>
      <c r="D224" s="199">
        <f>'D) Ecrêtage'!O224</f>
        <v>26.96359185606061</v>
      </c>
      <c r="E224" s="64">
        <f t="shared" si="16"/>
        <v>16.892239308800157</v>
      </c>
      <c r="F224" s="202">
        <f t="shared" si="14"/>
        <v>64217.536956334676</v>
      </c>
      <c r="G224" s="183">
        <f>'A) Base RI'!AM226</f>
        <v>80</v>
      </c>
      <c r="H224" s="191">
        <f t="shared" si="15"/>
        <v>1.1785068098449984</v>
      </c>
      <c r="I224" s="206">
        <f t="shared" si="13"/>
        <v>75680.804614513268</v>
      </c>
    </row>
    <row r="225" spans="1:9" x14ac:dyDescent="0.25">
      <c r="A225" s="82">
        <f>'A) Base RI'!A227</f>
        <v>5751</v>
      </c>
      <c r="B225" s="14" t="str">
        <f>'A) Base RI'!B227</f>
        <v>Corcelles-sur-Chavornay</v>
      </c>
      <c r="C225" s="158">
        <f>'A) Base RI'!AN227</f>
        <v>330</v>
      </c>
      <c r="D225" s="199">
        <f>'D) Ecrêtage'!O225</f>
        <v>25.389678229665073</v>
      </c>
      <c r="E225" s="64">
        <f t="shared" si="16"/>
        <v>18.466152935195694</v>
      </c>
      <c r="F225" s="202">
        <f t="shared" si="14"/>
        <v>125045.40121597119</v>
      </c>
      <c r="G225" s="183">
        <f>'A) Base RI'!AM227</f>
        <v>76</v>
      </c>
      <c r="H225" s="191">
        <f t="shared" si="15"/>
        <v>1.1195814693527486</v>
      </c>
      <c r="I225" s="206">
        <f t="shared" si="13"/>
        <v>139998.51402918101</v>
      </c>
    </row>
    <row r="226" spans="1:9" x14ac:dyDescent="0.25">
      <c r="A226" s="82">
        <f>'A) Base RI'!A228</f>
        <v>5752</v>
      </c>
      <c r="B226" s="14" t="str">
        <f>'A) Base RI'!B228</f>
        <v>Croy</v>
      </c>
      <c r="C226" s="158">
        <f>'A) Base RI'!AN228</f>
        <v>321</v>
      </c>
      <c r="D226" s="199">
        <f>'D) Ecrêtage'!O226</f>
        <v>25.318791902717141</v>
      </c>
      <c r="E226" s="64">
        <f t="shared" si="16"/>
        <v>18.537039262143626</v>
      </c>
      <c r="F226" s="202">
        <f t="shared" si="14"/>
        <v>118888.78427089912</v>
      </c>
      <c r="G226" s="183">
        <f>'A) Base RI'!AM228</f>
        <v>74</v>
      </c>
      <c r="H226" s="191">
        <f t="shared" si="15"/>
        <v>1.0901187991066237</v>
      </c>
      <c r="I226" s="206">
        <f t="shared" si="13"/>
        <v>129602.89873663901</v>
      </c>
    </row>
    <row r="227" spans="1:9" x14ac:dyDescent="0.25">
      <c r="A227" s="82">
        <f>'A) Base RI'!A229</f>
        <v>5754</v>
      </c>
      <c r="B227" s="14" t="str">
        <f>'A) Base RI'!B229</f>
        <v>Juriens</v>
      </c>
      <c r="C227" s="158">
        <f>'A) Base RI'!AN229</f>
        <v>307</v>
      </c>
      <c r="D227" s="199">
        <f>'D) Ecrêtage'!O227</f>
        <v>22.08207850575187</v>
      </c>
      <c r="E227" s="64">
        <f t="shared" si="16"/>
        <v>21.773752659108897</v>
      </c>
      <c r="F227" s="202">
        <f t="shared" si="14"/>
        <v>142581.28227516939</v>
      </c>
      <c r="G227" s="183">
        <f>'A) Base RI'!AM229</f>
        <v>79</v>
      </c>
      <c r="H227" s="191">
        <f t="shared" si="15"/>
        <v>1.163775474721936</v>
      </c>
      <c r="I227" s="206">
        <f t="shared" ref="I227:I273" si="17">F227*H227</f>
        <v>165932.5994662476</v>
      </c>
    </row>
    <row r="228" spans="1:9" x14ac:dyDescent="0.25">
      <c r="A228" s="82">
        <f>'A) Base RI'!A230</f>
        <v>5755</v>
      </c>
      <c r="B228" s="14" t="str">
        <f>'A) Base RI'!B230</f>
        <v>Lignerolle</v>
      </c>
      <c r="C228" s="158">
        <f>'A) Base RI'!AN230</f>
        <v>391</v>
      </c>
      <c r="D228" s="199">
        <f>'D) Ecrêtage'!O228</f>
        <v>23.003388318290277</v>
      </c>
      <c r="E228" s="64">
        <f t="shared" si="16"/>
        <v>20.85244284657049</v>
      </c>
      <c r="F228" s="202">
        <f t="shared" si="14"/>
        <v>178312.78369630821</v>
      </c>
      <c r="G228" s="183">
        <f>'A) Base RI'!AM230</f>
        <v>81</v>
      </c>
      <c r="H228" s="191">
        <f t="shared" si="15"/>
        <v>1.1932381449680609</v>
      </c>
      <c r="I228" s="206">
        <f t="shared" si="17"/>
        <v>212769.61524187389</v>
      </c>
    </row>
    <row r="229" spans="1:9" x14ac:dyDescent="0.25">
      <c r="A229" s="82">
        <f>'A) Base RI'!A231</f>
        <v>5756</v>
      </c>
      <c r="B229" s="14" t="str">
        <f>'A) Base RI'!B231</f>
        <v>Montcherand</v>
      </c>
      <c r="C229" s="158">
        <f>'A) Base RI'!AN231</f>
        <v>471</v>
      </c>
      <c r="D229" s="199">
        <f>'D) Ecrêtage'!O229</f>
        <v>33.319163769141618</v>
      </c>
      <c r="E229" s="64">
        <f t="shared" si="16"/>
        <v>10.536667395719149</v>
      </c>
      <c r="F229" s="202">
        <f t="shared" si="14"/>
        <v>92456.411497238703</v>
      </c>
      <c r="G229" s="183">
        <f>'A) Base RI'!AM231</f>
        <v>69</v>
      </c>
      <c r="H229" s="191">
        <f t="shared" si="15"/>
        <v>1.0164621234913112</v>
      </c>
      <c r="I229" s="206">
        <f t="shared" si="17"/>
        <v>93978.440360869732</v>
      </c>
    </row>
    <row r="230" spans="1:9" x14ac:dyDescent="0.25">
      <c r="A230" s="82">
        <f>'A) Base RI'!A232</f>
        <v>5757</v>
      </c>
      <c r="B230" s="14" t="str">
        <f>'A) Base RI'!B232</f>
        <v>Orbe</v>
      </c>
      <c r="C230" s="158">
        <f>'A) Base RI'!AN232</f>
        <v>6738</v>
      </c>
      <c r="D230" s="199">
        <f>'D) Ecrêtage'!O230</f>
        <v>30.219235592206871</v>
      </c>
      <c r="E230" s="64">
        <f t="shared" si="16"/>
        <v>13.636595572653896</v>
      </c>
      <c r="F230" s="202">
        <f t="shared" si="14"/>
        <v>1711787.3874439369</v>
      </c>
      <c r="G230" s="183">
        <f>'A) Base RI'!AM232</f>
        <v>69</v>
      </c>
      <c r="H230" s="191">
        <f t="shared" si="15"/>
        <v>1.0164621234913112</v>
      </c>
      <c r="I230" s="206">
        <f t="shared" si="17"/>
        <v>1739967.0428069078</v>
      </c>
    </row>
    <row r="231" spans="1:9" x14ac:dyDescent="0.25">
      <c r="A231" s="82">
        <f>'A) Base RI'!A233</f>
        <v>5758</v>
      </c>
      <c r="B231" s="14" t="str">
        <f>'A) Base RI'!B233</f>
        <v>La Praz</v>
      </c>
      <c r="C231" s="158">
        <f>'A) Base RI'!AN233</f>
        <v>156</v>
      </c>
      <c r="D231" s="199">
        <f>'D) Ecrêtage'!O231</f>
        <v>24.706024439638895</v>
      </c>
      <c r="E231" s="64">
        <f t="shared" si="16"/>
        <v>19.149806725221872</v>
      </c>
      <c r="F231" s="202">
        <f t="shared" si="14"/>
        <v>66946.958319106663</v>
      </c>
      <c r="G231" s="183">
        <f>'A) Base RI'!AM233</f>
        <v>83</v>
      </c>
      <c r="H231" s="191">
        <f t="shared" si="15"/>
        <v>1.2227008152141858</v>
      </c>
      <c r="I231" s="206">
        <f t="shared" si="17"/>
        <v>81856.100512881836</v>
      </c>
    </row>
    <row r="232" spans="1:9" x14ac:dyDescent="0.25">
      <c r="A232" s="82">
        <f>'A) Base RI'!A234</f>
        <v>5759</v>
      </c>
      <c r="B232" s="14" t="str">
        <f>'A) Base RI'!B234</f>
        <v>Premier</v>
      </c>
      <c r="C232" s="158">
        <f>'A) Base RI'!AN234</f>
        <v>182</v>
      </c>
      <c r="D232" s="199">
        <f>'D) Ecrêtage'!O232</f>
        <v>21.349495997829333</v>
      </c>
      <c r="E232" s="64">
        <f t="shared" si="16"/>
        <v>22.506335167031434</v>
      </c>
      <c r="F232" s="202">
        <f t="shared" si="14"/>
        <v>89582.866118741906</v>
      </c>
      <c r="G232" s="183">
        <f>'A) Base RI'!AM234</f>
        <v>81</v>
      </c>
      <c r="H232" s="191">
        <f t="shared" si="15"/>
        <v>1.1932381449680609</v>
      </c>
      <c r="I232" s="206">
        <f t="shared" si="17"/>
        <v>106893.69298844975</v>
      </c>
    </row>
    <row r="233" spans="1:9" x14ac:dyDescent="0.25">
      <c r="A233" s="82">
        <f>'A) Base RI'!A235</f>
        <v>5760</v>
      </c>
      <c r="B233" s="14" t="str">
        <f>'A) Base RI'!B235</f>
        <v>Rances</v>
      </c>
      <c r="C233" s="158">
        <f>'A) Base RI'!AN235</f>
        <v>436</v>
      </c>
      <c r="D233" s="199">
        <f>'D) Ecrêtage'!O233</f>
        <v>25.974406316160906</v>
      </c>
      <c r="E233" s="64">
        <f t="shared" si="16"/>
        <v>17.881424848699861</v>
      </c>
      <c r="F233" s="202">
        <f t="shared" si="14"/>
        <v>164190.10398873792</v>
      </c>
      <c r="G233" s="183">
        <f>'A) Base RI'!AM235</f>
        <v>78</v>
      </c>
      <c r="H233" s="191">
        <f t="shared" si="15"/>
        <v>1.1490441395988735</v>
      </c>
      <c r="I233" s="206">
        <f t="shared" si="17"/>
        <v>188661.67676838892</v>
      </c>
    </row>
    <row r="234" spans="1:9" x14ac:dyDescent="0.25">
      <c r="A234" s="82">
        <f>'A) Base RI'!A236</f>
        <v>5761</v>
      </c>
      <c r="B234" s="14" t="str">
        <f>'A) Base RI'!B236</f>
        <v>Romainmôtier-Envy</v>
      </c>
      <c r="C234" s="158">
        <f>'A) Base RI'!AN236</f>
        <v>527</v>
      </c>
      <c r="D234" s="199">
        <f>'D) Ecrêtage'!O234</f>
        <v>22.896301433136919</v>
      </c>
      <c r="E234" s="64">
        <f t="shared" si="16"/>
        <v>20.959529731723848</v>
      </c>
      <c r="F234" s="202">
        <f t="shared" si="14"/>
        <v>226657.19290005098</v>
      </c>
      <c r="G234" s="183">
        <f>'A) Base RI'!AM236</f>
        <v>76</v>
      </c>
      <c r="H234" s="191">
        <f t="shared" si="15"/>
        <v>1.1195814693527486</v>
      </c>
      <c r="I234" s="206">
        <f t="shared" si="17"/>
        <v>253761.19306640845</v>
      </c>
    </row>
    <row r="235" spans="1:9" x14ac:dyDescent="0.25">
      <c r="A235" s="82">
        <f>'A) Base RI'!A237</f>
        <v>5762</v>
      </c>
      <c r="B235" s="14" t="str">
        <f>'A) Base RI'!B237</f>
        <v>Sergey</v>
      </c>
      <c r="C235" s="158">
        <f>'A) Base RI'!AN237</f>
        <v>145</v>
      </c>
      <c r="D235" s="199">
        <f>'D) Ecrêtage'!O235</f>
        <v>29.145589612601103</v>
      </c>
      <c r="E235" s="64">
        <f t="shared" si="16"/>
        <v>14.710241552259664</v>
      </c>
      <c r="F235" s="202">
        <f t="shared" si="14"/>
        <v>46648.382498448234</v>
      </c>
      <c r="G235" s="183">
        <f>'A) Base RI'!AM237</f>
        <v>81</v>
      </c>
      <c r="H235" s="191">
        <f t="shared" si="15"/>
        <v>1.1932381449680609</v>
      </c>
      <c r="I235" s="206">
        <f t="shared" si="17"/>
        <v>55662.629398208926</v>
      </c>
    </row>
    <row r="236" spans="1:9" x14ac:dyDescent="0.25">
      <c r="A236" s="82">
        <f>'A) Base RI'!A238</f>
        <v>5763</v>
      </c>
      <c r="B236" s="14" t="str">
        <f>'A) Base RI'!B238</f>
        <v>Valeyres-sous-Rances</v>
      </c>
      <c r="C236" s="158">
        <f>'A) Base RI'!AN238</f>
        <v>584</v>
      </c>
      <c r="D236" s="199">
        <f>'D) Ecrêtage'!O236</f>
        <v>26.974485042304593</v>
      </c>
      <c r="E236" s="64">
        <f t="shared" si="16"/>
        <v>16.881346122556174</v>
      </c>
      <c r="F236" s="202">
        <f t="shared" si="14"/>
        <v>181005.84464911671</v>
      </c>
      <c r="G236" s="183">
        <f>'A) Base RI'!AM238</f>
        <v>68</v>
      </c>
      <c r="H236" s="191">
        <f t="shared" si="15"/>
        <v>1.0017307883682487</v>
      </c>
      <c r="I236" s="206">
        <f t="shared" si="17"/>
        <v>181319.12745962045</v>
      </c>
    </row>
    <row r="237" spans="1:9" x14ac:dyDescent="0.25">
      <c r="A237" s="82">
        <f>'A) Base RI'!A239</f>
        <v>5764</v>
      </c>
      <c r="B237" s="14" t="str">
        <f>'A) Base RI'!B239</f>
        <v>Vallorbe</v>
      </c>
      <c r="C237" s="158">
        <f>'A) Base RI'!AN239</f>
        <v>3569</v>
      </c>
      <c r="D237" s="199">
        <f>'D) Ecrêtage'!O237</f>
        <v>22.263760497678962</v>
      </c>
      <c r="E237" s="64">
        <f t="shared" si="16"/>
        <v>21.592070667181805</v>
      </c>
      <c r="F237" s="202">
        <f t="shared" si="14"/>
        <v>1539700.7622192139</v>
      </c>
      <c r="G237" s="183">
        <f>'A) Base RI'!AM239</f>
        <v>74</v>
      </c>
      <c r="H237" s="191">
        <f t="shared" si="15"/>
        <v>1.0901187991066237</v>
      </c>
      <c r="I237" s="206">
        <f t="shared" si="17"/>
        <v>1678456.7458939627</v>
      </c>
    </row>
    <row r="238" spans="1:9" x14ac:dyDescent="0.25">
      <c r="A238" s="82">
        <f>'A) Base RI'!A240</f>
        <v>5765</v>
      </c>
      <c r="B238" s="14" t="str">
        <f>'A) Base RI'!B240</f>
        <v>Vaulion</v>
      </c>
      <c r="C238" s="158">
        <f>'A) Base RI'!AN240</f>
        <v>483</v>
      </c>
      <c r="D238" s="199">
        <f>'D) Ecrêtage'!O238</f>
        <v>21.145507246376805</v>
      </c>
      <c r="E238" s="64">
        <f t="shared" si="16"/>
        <v>22.710323918483962</v>
      </c>
      <c r="F238" s="202">
        <f t="shared" si="14"/>
        <v>239893.92071896896</v>
      </c>
      <c r="G238" s="183">
        <f>'A) Base RI'!AM240</f>
        <v>81</v>
      </c>
      <c r="H238" s="191">
        <f t="shared" si="15"/>
        <v>1.1932381449680609</v>
      </c>
      <c r="I238" s="206">
        <f t="shared" si="17"/>
        <v>286250.57694781758</v>
      </c>
    </row>
    <row r="239" spans="1:9" x14ac:dyDescent="0.25">
      <c r="A239" s="82">
        <f>'A) Base RI'!A241</f>
        <v>5766</v>
      </c>
      <c r="B239" s="14" t="str">
        <f>'A) Base RI'!B241</f>
        <v>Vuiteboeuf</v>
      </c>
      <c r="C239" s="158">
        <f>'A) Base RI'!AN241</f>
        <v>516</v>
      </c>
      <c r="D239" s="199">
        <f>'D) Ecrêtage'!O239</f>
        <v>25.555656002358656</v>
      </c>
      <c r="E239" s="64">
        <f t="shared" si="16"/>
        <v>18.300175162502111</v>
      </c>
      <c r="F239" s="202">
        <f t="shared" si="14"/>
        <v>196317.69108026414</v>
      </c>
      <c r="G239" s="183">
        <f>'A) Base RI'!AM241</f>
        <v>77</v>
      </c>
      <c r="H239" s="191">
        <f t="shared" si="15"/>
        <v>1.1343128044758111</v>
      </c>
      <c r="I239" s="206">
        <f t="shared" si="17"/>
        <v>222685.67073747033</v>
      </c>
    </row>
    <row r="240" spans="1:9" x14ac:dyDescent="0.25">
      <c r="A240" s="82">
        <f>'A) Base RI'!A242</f>
        <v>5782</v>
      </c>
      <c r="B240" s="14" t="str">
        <f>'A) Base RI'!B242</f>
        <v>Carrouge</v>
      </c>
      <c r="C240" s="158">
        <f>'A) Base RI'!AN242</f>
        <v>1103</v>
      </c>
      <c r="D240" s="199">
        <f>'D) Ecrêtage'!O240</f>
        <v>27.704446177092784</v>
      </c>
      <c r="E240" s="64">
        <f t="shared" si="16"/>
        <v>16.151384987767983</v>
      </c>
      <c r="F240" s="202">
        <f t="shared" si="14"/>
        <v>360753.29724053876</v>
      </c>
      <c r="G240" s="183">
        <f>'A) Base RI'!AM242</f>
        <v>75</v>
      </c>
      <c r="H240" s="191">
        <f t="shared" si="15"/>
        <v>1.1048501342296861</v>
      </c>
      <c r="I240" s="206">
        <f t="shared" si="17"/>
        <v>398578.3288800111</v>
      </c>
    </row>
    <row r="241" spans="1:9" x14ac:dyDescent="0.25">
      <c r="A241" s="82">
        <f>'A) Base RI'!A243</f>
        <v>5785</v>
      </c>
      <c r="B241" s="14" t="str">
        <f>'A) Base RI'!B243</f>
        <v>Corcelles-le-Jorat</v>
      </c>
      <c r="C241" s="158">
        <f>'A) Base RI'!AN243</f>
        <v>443</v>
      </c>
      <c r="D241" s="199">
        <f>'D) Ecrêtage'!O241</f>
        <v>34.358775609337947</v>
      </c>
      <c r="E241" s="64">
        <f t="shared" si="16"/>
        <v>9.4970555555228202</v>
      </c>
      <c r="F241" s="202">
        <f t="shared" si="14"/>
        <v>89739.48238469068</v>
      </c>
      <c r="G241" s="183">
        <f>'A) Base RI'!AM243</f>
        <v>79</v>
      </c>
      <c r="H241" s="191">
        <f t="shared" si="15"/>
        <v>1.163775474721936</v>
      </c>
      <c r="I241" s="206">
        <f t="shared" si="17"/>
        <v>104436.60871354421</v>
      </c>
    </row>
    <row r="242" spans="1:9" x14ac:dyDescent="0.25">
      <c r="A242" s="82">
        <f>'A) Base RI'!A244</f>
        <v>5788</v>
      </c>
      <c r="B242" s="14" t="str">
        <f>'A) Base RI'!B244</f>
        <v>Essertes</v>
      </c>
      <c r="C242" s="158">
        <f>'A) Base RI'!AN244</f>
        <v>330</v>
      </c>
      <c r="D242" s="199">
        <f>'D) Ecrêtage'!O242</f>
        <v>28.206622510822513</v>
      </c>
      <c r="E242" s="64">
        <f t="shared" si="16"/>
        <v>15.649208654038254</v>
      </c>
      <c r="F242" s="202">
        <f t="shared" si="14"/>
        <v>97604.114375236604</v>
      </c>
      <c r="G242" s="183">
        <f>'A) Base RI'!AM244</f>
        <v>70</v>
      </c>
      <c r="H242" s="191">
        <f t="shared" si="15"/>
        <v>1.0311934586143736</v>
      </c>
      <c r="I242" s="206">
        <f t="shared" si="17"/>
        <v>100648.72427759314</v>
      </c>
    </row>
    <row r="243" spans="1:9" x14ac:dyDescent="0.25">
      <c r="A243" s="82">
        <f>'A) Base RI'!A245</f>
        <v>5789</v>
      </c>
      <c r="B243" s="14" t="str">
        <f>'A) Base RI'!B245</f>
        <v>Ferlens</v>
      </c>
      <c r="C243" s="158">
        <f>'A) Base RI'!AN245</f>
        <v>330</v>
      </c>
      <c r="D243" s="199">
        <f>'D) Ecrêtage'!O243</f>
        <v>28.777670208579295</v>
      </c>
      <c r="E243" s="64">
        <f t="shared" si="16"/>
        <v>15.078160956281472</v>
      </c>
      <c r="F243" s="202">
        <f t="shared" si="14"/>
        <v>103446.73887276031</v>
      </c>
      <c r="G243" s="183">
        <f>'A) Base RI'!AM245</f>
        <v>77</v>
      </c>
      <c r="H243" s="191">
        <f t="shared" si="15"/>
        <v>1.1343128044758111</v>
      </c>
      <c r="I243" s="206">
        <f t="shared" si="17"/>
        <v>117340.96048463765</v>
      </c>
    </row>
    <row r="244" spans="1:9" x14ac:dyDescent="0.25">
      <c r="A244" s="82">
        <f>'A) Base RI'!A246</f>
        <v>5790</v>
      </c>
      <c r="B244" s="14" t="str">
        <f>'A) Base RI'!B246</f>
        <v>Maracon</v>
      </c>
      <c r="C244" s="158">
        <f>'A) Base RI'!AN246</f>
        <v>444</v>
      </c>
      <c r="D244" s="199">
        <f>'D) Ecrêtage'!O244</f>
        <v>25.988803935514465</v>
      </c>
      <c r="E244" s="64">
        <f t="shared" si="16"/>
        <v>17.867027229346302</v>
      </c>
      <c r="F244" s="202">
        <f t="shared" si="14"/>
        <v>162784.34104330663</v>
      </c>
      <c r="G244" s="183">
        <f>'A) Base RI'!AM246</f>
        <v>76</v>
      </c>
      <c r="H244" s="191">
        <f t="shared" si="15"/>
        <v>1.1195814693527486</v>
      </c>
      <c r="I244" s="206">
        <f t="shared" si="17"/>
        <v>182250.33173288417</v>
      </c>
    </row>
    <row r="245" spans="1:9" x14ac:dyDescent="0.25">
      <c r="A245" s="82">
        <f>'A) Base RI'!A247</f>
        <v>5791</v>
      </c>
      <c r="B245" s="14" t="str">
        <f>'A) Base RI'!B247</f>
        <v>Mézières</v>
      </c>
      <c r="C245" s="158">
        <f>'A) Base RI'!AN247</f>
        <v>1192</v>
      </c>
      <c r="D245" s="199">
        <f>'D) Ecrêtage'!O245</f>
        <v>34.929598124926414</v>
      </c>
      <c r="E245" s="64">
        <f t="shared" si="16"/>
        <v>8.9262330399343526</v>
      </c>
      <c r="F245" s="202">
        <f t="shared" si="14"/>
        <v>218334.23195950786</v>
      </c>
      <c r="G245" s="183">
        <f>'A) Base RI'!AM247</f>
        <v>76</v>
      </c>
      <c r="H245" s="191">
        <f t="shared" si="15"/>
        <v>1.1195814693527486</v>
      </c>
      <c r="I245" s="206">
        <f t="shared" si="17"/>
        <v>244442.96022722966</v>
      </c>
    </row>
    <row r="246" spans="1:9" x14ac:dyDescent="0.25">
      <c r="A246" s="82">
        <f>'A) Base RI'!A248</f>
        <v>5792</v>
      </c>
      <c r="B246" s="14" t="str">
        <f>'A) Base RI'!B248</f>
        <v>Montpreveyres</v>
      </c>
      <c r="C246" s="158">
        <f>'A) Base RI'!AN248</f>
        <v>597</v>
      </c>
      <c r="D246" s="199">
        <f>'D) Ecrêtage'!O246</f>
        <v>28.564183152047157</v>
      </c>
      <c r="E246" s="64">
        <f t="shared" si="16"/>
        <v>15.29164801281361</v>
      </c>
      <c r="F246" s="202">
        <f t="shared" si="14"/>
        <v>194723.99871164866</v>
      </c>
      <c r="G246" s="183">
        <f>'A) Base RI'!AM248</f>
        <v>79</v>
      </c>
      <c r="H246" s="191">
        <f t="shared" si="15"/>
        <v>1.163775474721936</v>
      </c>
      <c r="I246" s="206">
        <f t="shared" si="17"/>
        <v>226615.01404040257</v>
      </c>
    </row>
    <row r="247" spans="1:9" x14ac:dyDescent="0.25">
      <c r="A247" s="82">
        <f>'A) Base RI'!A249</f>
        <v>5798</v>
      </c>
      <c r="B247" s="14" t="str">
        <f>'A) Base RI'!B249</f>
        <v>Ropraz</v>
      </c>
      <c r="C247" s="158">
        <f>'A) Base RI'!AN249</f>
        <v>409</v>
      </c>
      <c r="D247" s="199">
        <f>'D) Ecrêtage'!O247</f>
        <v>27.649747771906299</v>
      </c>
      <c r="E247" s="64">
        <f t="shared" si="16"/>
        <v>16.206083392954469</v>
      </c>
      <c r="F247" s="202">
        <f t="shared" si="14"/>
        <v>138696.92865400706</v>
      </c>
      <c r="G247" s="183">
        <f>'A) Base RI'!AM249</f>
        <v>77.5</v>
      </c>
      <c r="H247" s="191">
        <f t="shared" si="15"/>
        <v>1.1416784720373423</v>
      </c>
      <c r="I247" s="206">
        <f t="shared" si="17"/>
        <v>158347.29758197907</v>
      </c>
    </row>
    <row r="248" spans="1:9" x14ac:dyDescent="0.25">
      <c r="A248" s="82">
        <f>'A) Base RI'!A250</f>
        <v>5799</v>
      </c>
      <c r="B248" s="14" t="str">
        <f>'A) Base RI'!B250</f>
        <v>Servion</v>
      </c>
      <c r="C248" s="158">
        <f>'A) Base RI'!AN250</f>
        <v>1893</v>
      </c>
      <c r="D248" s="199">
        <f>'D) Ecrêtage'!O248</f>
        <v>36.110686817183058</v>
      </c>
      <c r="E248" s="64">
        <f t="shared" si="16"/>
        <v>7.7451443476777087</v>
      </c>
      <c r="F248" s="202">
        <f t="shared" si="14"/>
        <v>273144.83020036726</v>
      </c>
      <c r="G248" s="183">
        <f>'A) Base RI'!AM250</f>
        <v>69</v>
      </c>
      <c r="H248" s="191">
        <f t="shared" si="15"/>
        <v>1.0164621234913112</v>
      </c>
      <c r="I248" s="206">
        <f t="shared" si="17"/>
        <v>277641.37412613892</v>
      </c>
    </row>
    <row r="249" spans="1:9" x14ac:dyDescent="0.25">
      <c r="A249" s="82">
        <f>'A) Base RI'!A251</f>
        <v>5803</v>
      </c>
      <c r="B249" s="14" t="str">
        <f>'A) Base RI'!B251</f>
        <v>Vulliens</v>
      </c>
      <c r="C249" s="158">
        <f>'A) Base RI'!AN251</f>
        <v>442</v>
      </c>
      <c r="D249" s="199">
        <f>'D) Ecrêtage'!O249</f>
        <v>27.361424222110493</v>
      </c>
      <c r="E249" s="64">
        <f t="shared" si="16"/>
        <v>16.494406942750274</v>
      </c>
      <c r="F249" s="202">
        <f t="shared" si="14"/>
        <v>159443.84448837323</v>
      </c>
      <c r="G249" s="183">
        <f>'A) Base RI'!AM251</f>
        <v>81</v>
      </c>
      <c r="H249" s="191">
        <f t="shared" si="15"/>
        <v>1.1932381449680609</v>
      </c>
      <c r="I249" s="206">
        <f t="shared" si="17"/>
        <v>190254.47722388245</v>
      </c>
    </row>
    <row r="250" spans="1:9" x14ac:dyDescent="0.25">
      <c r="A250" s="82">
        <f>'A) Base RI'!A252</f>
        <v>5804</v>
      </c>
      <c r="B250" s="14" t="str">
        <f>'A) Base RI'!B252</f>
        <v>Jorat-Menthue</v>
      </c>
      <c r="C250" s="158">
        <f>'A) Base RI'!AN252</f>
        <v>1469</v>
      </c>
      <c r="D250" s="199">
        <f>'D) Ecrêtage'!O250</f>
        <v>29.075049920580891</v>
      </c>
      <c r="E250" s="64">
        <f t="shared" si="16"/>
        <v>14.780781244279876</v>
      </c>
      <c r="F250" s="202">
        <f t="shared" si="14"/>
        <v>422100.09107414837</v>
      </c>
      <c r="G250" s="183">
        <f>'A) Base RI'!AM252</f>
        <v>72</v>
      </c>
      <c r="H250" s="191">
        <f t="shared" si="15"/>
        <v>1.0606561288604985</v>
      </c>
      <c r="I250" s="206">
        <f>F250*H250</f>
        <v>447703.0485903701</v>
      </c>
    </row>
    <row r="251" spans="1:9" x14ac:dyDescent="0.25">
      <c r="A251" s="82">
        <f>'A) Base RI'!A253</f>
        <v>5805</v>
      </c>
      <c r="B251" s="14" t="str">
        <f>'A) Base RI'!B253</f>
        <v>Oron</v>
      </c>
      <c r="C251" s="158">
        <f>'A) Base RI'!AN253</f>
        <v>5180</v>
      </c>
      <c r="D251" s="199">
        <f>'D) Ecrêtage'!O251</f>
        <v>28.05003170448823</v>
      </c>
      <c r="E251" s="64">
        <f t="shared" si="16"/>
        <v>15.805799460372537</v>
      </c>
      <c r="F251" s="202">
        <f t="shared" si="14"/>
        <v>1525313.3876441151</v>
      </c>
      <c r="G251" s="183">
        <f>'A) Base RI'!AM253</f>
        <v>69</v>
      </c>
      <c r="H251" s="191">
        <f t="shared" si="15"/>
        <v>1.0164621234913112</v>
      </c>
      <c r="I251" s="206">
        <f>F251*H251</f>
        <v>1550423.2849944627</v>
      </c>
    </row>
    <row r="252" spans="1:9" x14ac:dyDescent="0.25">
      <c r="A252" s="82">
        <f>'A) Base RI'!A254</f>
        <v>5812</v>
      </c>
      <c r="B252" s="14" t="str">
        <f>'A) Base RI'!B254</f>
        <v>Champtauroz</v>
      </c>
      <c r="C252" s="158">
        <f>'A) Base RI'!AN254</f>
        <v>137</v>
      </c>
      <c r="D252" s="199">
        <f>'D) Ecrêtage'!O252</f>
        <v>20.117831548014031</v>
      </c>
      <c r="E252" s="64">
        <f t="shared" si="16"/>
        <v>23.737999616846736</v>
      </c>
      <c r="F252" s="202">
        <f t="shared" si="14"/>
        <v>67611.282648691384</v>
      </c>
      <c r="G252" s="183">
        <f>'A) Base RI'!AM254</f>
        <v>77</v>
      </c>
      <c r="H252" s="191">
        <f t="shared" si="15"/>
        <v>1.1343128044758111</v>
      </c>
      <c r="I252" s="206">
        <f>F252*H252</f>
        <v>76692.34363544386</v>
      </c>
    </row>
    <row r="253" spans="1:9" x14ac:dyDescent="0.25">
      <c r="A253" s="82">
        <f>'A) Base RI'!A255</f>
        <v>5813</v>
      </c>
      <c r="B253" s="14" t="str">
        <f>'A) Base RI'!B255</f>
        <v>Chevroux</v>
      </c>
      <c r="C253" s="158">
        <f>'A) Base RI'!AN255</f>
        <v>418</v>
      </c>
      <c r="D253" s="199">
        <f>'D) Ecrêtage'!O253</f>
        <v>27.364399293688773</v>
      </c>
      <c r="E253" s="64">
        <f t="shared" si="16"/>
        <v>16.491431871171994</v>
      </c>
      <c r="F253" s="202">
        <f t="shared" si="14"/>
        <v>130285.610068633</v>
      </c>
      <c r="G253" s="183">
        <f>'A) Base RI'!AM255</f>
        <v>70</v>
      </c>
      <c r="H253" s="191">
        <f t="shared" si="15"/>
        <v>1.0311934586143736</v>
      </c>
      <c r="I253" s="206">
        <f t="shared" si="17"/>
        <v>134349.66885435733</v>
      </c>
    </row>
    <row r="254" spans="1:9" x14ac:dyDescent="0.25">
      <c r="A254" s="82">
        <f>'A) Base RI'!A256</f>
        <v>5816</v>
      </c>
      <c r="B254" s="14" t="str">
        <f>'A) Base RI'!B256</f>
        <v>Corcelles-près-Payerne</v>
      </c>
      <c r="C254" s="158">
        <f>'A) Base RI'!AN256</f>
        <v>2091</v>
      </c>
      <c r="D254" s="199">
        <f>'D) Ecrêtage'!O254</f>
        <v>24.542898856019374</v>
      </c>
      <c r="E254" s="64">
        <f t="shared" si="16"/>
        <v>19.312932308841393</v>
      </c>
      <c r="F254" s="202">
        <f t="shared" si="14"/>
        <v>785052.15793938632</v>
      </c>
      <c r="G254" s="183">
        <f>'A) Base RI'!AM256</f>
        <v>72</v>
      </c>
      <c r="H254" s="191">
        <f t="shared" si="15"/>
        <v>1.0606561288604985</v>
      </c>
      <c r="I254" s="206">
        <f t="shared" si="17"/>
        <v>832670.38279357017</v>
      </c>
    </row>
    <row r="255" spans="1:9" x14ac:dyDescent="0.25">
      <c r="A255" s="82">
        <f>'A) Base RI'!A257</f>
        <v>5817</v>
      </c>
      <c r="B255" s="14" t="str">
        <f>'A) Base RI'!B257</f>
        <v>Grandcour</v>
      </c>
      <c r="C255" s="158">
        <f>'A) Base RI'!AN257</f>
        <v>863</v>
      </c>
      <c r="D255" s="199">
        <f>'D) Ecrêtage'!O255</f>
        <v>23.291324544334888</v>
      </c>
      <c r="E255" s="64">
        <f t="shared" si="16"/>
        <v>20.564506620525879</v>
      </c>
      <c r="F255" s="202">
        <f t="shared" si="14"/>
        <v>380942.98716807441</v>
      </c>
      <c r="G255" s="183">
        <f>'A) Base RI'!AM257</f>
        <v>79.5</v>
      </c>
      <c r="H255" s="191">
        <f t="shared" si="15"/>
        <v>1.1711411422834672</v>
      </c>
      <c r="I255" s="206">
        <f t="shared" si="17"/>
        <v>446138.00513689488</v>
      </c>
    </row>
    <row r="256" spans="1:9" x14ac:dyDescent="0.25">
      <c r="A256" s="82">
        <f>'A) Base RI'!A258</f>
        <v>5819</v>
      </c>
      <c r="B256" s="14" t="str">
        <f>'A) Base RI'!B258</f>
        <v>Henniez</v>
      </c>
      <c r="C256" s="158">
        <f>'A) Base RI'!AN258</f>
        <v>287</v>
      </c>
      <c r="D256" s="199">
        <f>'D) Ecrêtage'!O256</f>
        <v>34.439810182536796</v>
      </c>
      <c r="E256" s="64">
        <f t="shared" si="16"/>
        <v>9.4160209823239711</v>
      </c>
      <c r="F256" s="202">
        <f t="shared" si="14"/>
        <v>48886.380216659061</v>
      </c>
      <c r="G256" s="183">
        <f>'A) Base RI'!AM258</f>
        <v>67</v>
      </c>
      <c r="H256" s="191">
        <f t="shared" si="15"/>
        <v>0.98699945324518623</v>
      </c>
      <c r="I256" s="206">
        <f t="shared" si="17"/>
        <v>48250.83054497878</v>
      </c>
    </row>
    <row r="257" spans="1:9" x14ac:dyDescent="0.25">
      <c r="A257" s="82">
        <f>'A) Base RI'!A259</f>
        <v>5821</v>
      </c>
      <c r="B257" s="14" t="str">
        <f>'A) Base RI'!B259</f>
        <v>Missy</v>
      </c>
      <c r="C257" s="158">
        <f>'A) Base RI'!AN259</f>
        <v>335</v>
      </c>
      <c r="D257" s="199">
        <f>'D) Ecrêtage'!O257</f>
        <v>22.379919983416247</v>
      </c>
      <c r="E257" s="64">
        <f t="shared" si="16"/>
        <v>21.47591118144452</v>
      </c>
      <c r="F257" s="202">
        <f t="shared" si="14"/>
        <v>139859.72397803928</v>
      </c>
      <c r="G257" s="183">
        <f>'A) Base RI'!AM259</f>
        <v>72</v>
      </c>
      <c r="H257" s="191">
        <f t="shared" si="15"/>
        <v>1.0606561288604985</v>
      </c>
      <c r="I257" s="206">
        <f t="shared" si="17"/>
        <v>148343.07341804498</v>
      </c>
    </row>
    <row r="258" spans="1:9" x14ac:dyDescent="0.25">
      <c r="A258" s="82">
        <f>'A) Base RI'!A260</f>
        <v>5822</v>
      </c>
      <c r="B258" s="14" t="str">
        <f>'A) Base RI'!B260</f>
        <v>Payerne</v>
      </c>
      <c r="C258" s="158">
        <f>'A) Base RI'!AN260</f>
        <v>9207</v>
      </c>
      <c r="D258" s="199">
        <f>'D) Ecrêtage'!O258</f>
        <v>25.21686492260951</v>
      </c>
      <c r="E258" s="64">
        <f t="shared" si="16"/>
        <v>18.638966242251257</v>
      </c>
      <c r="F258" s="202">
        <f t="shared" si="14"/>
        <v>3382412.6448123483</v>
      </c>
      <c r="G258" s="183">
        <f>'A) Base RI'!AM260</f>
        <v>73</v>
      </c>
      <c r="H258" s="191">
        <f t="shared" si="15"/>
        <v>1.075387463983561</v>
      </c>
      <c r="I258" s="206">
        <f t="shared" si="17"/>
        <v>3637404.1562506803</v>
      </c>
    </row>
    <row r="259" spans="1:9" x14ac:dyDescent="0.25">
      <c r="A259" s="82">
        <f>'A) Base RI'!A261</f>
        <v>5827</v>
      </c>
      <c r="B259" s="14" t="str">
        <f>'A) Base RI'!B261</f>
        <v>Trey</v>
      </c>
      <c r="C259" s="158">
        <f>'A) Base RI'!AN261</f>
        <v>267</v>
      </c>
      <c r="D259" s="199">
        <f>'D) Ecrêtage'!O259</f>
        <v>23.02794897003745</v>
      </c>
      <c r="E259" s="64">
        <f t="shared" si="16"/>
        <v>20.827882194823317</v>
      </c>
      <c r="F259" s="202">
        <f t="shared" si="14"/>
        <v>120118.56219398502</v>
      </c>
      <c r="G259" s="183">
        <f>'A) Base RI'!AM261</f>
        <v>80</v>
      </c>
      <c r="H259" s="191">
        <f t="shared" si="15"/>
        <v>1.1785068098449984</v>
      </c>
      <c r="I259" s="206">
        <f t="shared" si="17"/>
        <v>141560.54353440134</v>
      </c>
    </row>
    <row r="260" spans="1:9" x14ac:dyDescent="0.25">
      <c r="A260" s="82">
        <f>'A) Base RI'!A262</f>
        <v>5828</v>
      </c>
      <c r="B260" s="14" t="str">
        <f>'A) Base RI'!B262</f>
        <v>Treytorrens</v>
      </c>
      <c r="C260" s="158">
        <f>'A) Base RI'!AN262</f>
        <v>120</v>
      </c>
      <c r="D260" s="199">
        <f>'D) Ecrêtage'!O260</f>
        <v>20.482501984126984</v>
      </c>
      <c r="E260" s="64">
        <f t="shared" si="16"/>
        <v>23.373329180733784</v>
      </c>
      <c r="F260" s="202">
        <f t="shared" si="14"/>
        <v>63612.852698285067</v>
      </c>
      <c r="G260" s="183">
        <f>'A) Base RI'!AM262</f>
        <v>84</v>
      </c>
      <c r="H260" s="191">
        <f t="shared" si="15"/>
        <v>1.2374321503372483</v>
      </c>
      <c r="I260" s="206">
        <f t="shared" si="17"/>
        <v>78716.589103525519</v>
      </c>
    </row>
    <row r="261" spans="1:9" x14ac:dyDescent="0.25">
      <c r="A261" s="82">
        <f>'A) Base RI'!A263</f>
        <v>5830</v>
      </c>
      <c r="B261" s="14" t="str">
        <f>'A) Base RI'!B263</f>
        <v>Villarzel</v>
      </c>
      <c r="C261" s="158">
        <f>'A) Base RI'!AN263</f>
        <v>413</v>
      </c>
      <c r="D261" s="199">
        <f>'D) Ecrêtage'!O261</f>
        <v>23.942672406062233</v>
      </c>
      <c r="E261" s="64">
        <f t="shared" si="16"/>
        <v>19.913158758798534</v>
      </c>
      <c r="F261" s="202">
        <f t="shared" ref="F261:F322" si="18">(C261*E261*G261)*$E$4</f>
        <v>179861.82298868359</v>
      </c>
      <c r="G261" s="183">
        <f>'A) Base RI'!AM263</f>
        <v>81</v>
      </c>
      <c r="H261" s="191">
        <f t="shared" si="15"/>
        <v>1.1932381449680609</v>
      </c>
      <c r="I261" s="206">
        <f t="shared" si="17"/>
        <v>214617.98801359054</v>
      </c>
    </row>
    <row r="262" spans="1:9" x14ac:dyDescent="0.25">
      <c r="A262" s="82">
        <f>'A) Base RI'!A264</f>
        <v>5831</v>
      </c>
      <c r="B262" s="14" t="str">
        <f>'A) Base RI'!B264</f>
        <v>Valbroye</v>
      </c>
      <c r="C262" s="158">
        <f>'A) Base RI'!AN264</f>
        <v>2928</v>
      </c>
      <c r="D262" s="199">
        <f>'D) Ecrêtage'!O262</f>
        <v>24.654736171827558</v>
      </c>
      <c r="E262" s="64">
        <f t="shared" si="16"/>
        <v>19.201094993033209</v>
      </c>
      <c r="F262" s="202">
        <f t="shared" si="18"/>
        <v>1138471.324326925</v>
      </c>
      <c r="G262" s="183">
        <f>'A) Base RI'!AM264</f>
        <v>75</v>
      </c>
      <c r="H262" s="191">
        <f t="shared" ref="H262:H322" si="19">G262/$G$323</f>
        <v>1.1048501342296861</v>
      </c>
      <c r="I262" s="206">
        <f>F262*H262</f>
        <v>1257840.1954992516</v>
      </c>
    </row>
    <row r="263" spans="1:9" x14ac:dyDescent="0.25">
      <c r="A263" s="82">
        <f>'A) Base RI'!A265</f>
        <v>5841</v>
      </c>
      <c r="B263" s="14" t="str">
        <f>'A) Base RI'!B265</f>
        <v>Château-d'Oex</v>
      </c>
      <c r="C263" s="158">
        <f>'A) Base RI'!AN265</f>
        <v>3440</v>
      </c>
      <c r="D263" s="199">
        <f>'D) Ecrêtage'!O263</f>
        <v>31.2215594704399</v>
      </c>
      <c r="E263" s="64">
        <f t="shared" si="16"/>
        <v>12.634271694420868</v>
      </c>
      <c r="F263" s="202">
        <f t="shared" si="18"/>
        <v>973981.05863158253</v>
      </c>
      <c r="G263" s="183">
        <f>'A) Base RI'!AM265</f>
        <v>83</v>
      </c>
      <c r="H263" s="191">
        <f t="shared" si="19"/>
        <v>1.2227008152141858</v>
      </c>
      <c r="I263" s="206">
        <f>F263*H263</f>
        <v>1190887.4343920117</v>
      </c>
    </row>
    <row r="264" spans="1:9" x14ac:dyDescent="0.25">
      <c r="A264" s="82">
        <f>'A) Base RI'!A266</f>
        <v>5842</v>
      </c>
      <c r="B264" s="14" t="str">
        <f>'A) Base RI'!B266</f>
        <v>Rossinière</v>
      </c>
      <c r="C264" s="158">
        <f>'A) Base RI'!AN266</f>
        <v>552</v>
      </c>
      <c r="D264" s="199">
        <f>'D) Ecrêtage'!O264</f>
        <v>26.372370057255321</v>
      </c>
      <c r="E264" s="64">
        <f t="shared" si="16"/>
        <v>17.483461107605446</v>
      </c>
      <c r="F264" s="202">
        <f t="shared" si="18"/>
        <v>211064.5385216788</v>
      </c>
      <c r="G264" s="183">
        <f>'A) Base RI'!AM266</f>
        <v>81</v>
      </c>
      <c r="H264" s="191">
        <f t="shared" si="19"/>
        <v>1.1932381449680609</v>
      </c>
      <c r="I264" s="206">
        <f t="shared" si="17"/>
        <v>251850.25841414783</v>
      </c>
    </row>
    <row r="265" spans="1:9" x14ac:dyDescent="0.25">
      <c r="A265" s="82">
        <f>'A) Base RI'!A267</f>
        <v>5843</v>
      </c>
      <c r="B265" s="14" t="str">
        <f>'A) Base RI'!B267</f>
        <v>Rougemont</v>
      </c>
      <c r="C265" s="158">
        <f>'A) Base RI'!AN267</f>
        <v>882</v>
      </c>
      <c r="D265" s="199">
        <f>'D) Ecrêtage'!O265</f>
        <v>76.045804241513622</v>
      </c>
      <c r="E265" s="64">
        <f t="shared" si="16"/>
        <v>0</v>
      </c>
      <c r="F265" s="202">
        <f t="shared" si="18"/>
        <v>0</v>
      </c>
      <c r="G265" s="183">
        <f>'A) Base RI'!AM267</f>
        <v>69</v>
      </c>
      <c r="H265" s="191">
        <f t="shared" si="19"/>
        <v>1.0164621234913112</v>
      </c>
      <c r="I265" s="206">
        <f t="shared" si="17"/>
        <v>0</v>
      </c>
    </row>
    <row r="266" spans="1:9" x14ac:dyDescent="0.25">
      <c r="A266" s="82">
        <f>'A) Base RI'!A268</f>
        <v>5851</v>
      </c>
      <c r="B266" s="14" t="str">
        <f>'A) Base RI'!B268</f>
        <v>Allaman</v>
      </c>
      <c r="C266" s="158">
        <f>'A) Base RI'!AN268</f>
        <v>401</v>
      </c>
      <c r="D266" s="199">
        <f>'D) Ecrêtage'!O266</f>
        <v>59.252318153820148</v>
      </c>
      <c r="E266" s="64">
        <f t="shared" si="16"/>
        <v>0</v>
      </c>
      <c r="F266" s="202">
        <f t="shared" si="18"/>
        <v>0</v>
      </c>
      <c r="G266" s="183">
        <f>'A) Base RI'!AM268</f>
        <v>61</v>
      </c>
      <c r="H266" s="191">
        <f t="shared" si="19"/>
        <v>0.89861144250681135</v>
      </c>
      <c r="I266" s="206">
        <f t="shared" si="17"/>
        <v>0</v>
      </c>
    </row>
    <row r="267" spans="1:9" x14ac:dyDescent="0.25">
      <c r="A267" s="82">
        <f>'A) Base RI'!A269</f>
        <v>5852</v>
      </c>
      <c r="B267" s="14" t="str">
        <f>'A) Base RI'!B269</f>
        <v>Bursinel</v>
      </c>
      <c r="C267" s="158">
        <f>'A) Base RI'!AN269</f>
        <v>471</v>
      </c>
      <c r="D267" s="199">
        <f>'D) Ecrêtage'!O267</f>
        <v>60.525675573995464</v>
      </c>
      <c r="E267" s="64">
        <f t="shared" si="16"/>
        <v>0</v>
      </c>
      <c r="F267" s="202">
        <f t="shared" si="18"/>
        <v>0</v>
      </c>
      <c r="G267" s="183">
        <f>'A) Base RI'!AM269</f>
        <v>61.5</v>
      </c>
      <c r="H267" s="191">
        <f t="shared" si="19"/>
        <v>0.90597711006834258</v>
      </c>
      <c r="I267" s="206">
        <f t="shared" si="17"/>
        <v>0</v>
      </c>
    </row>
    <row r="268" spans="1:9" x14ac:dyDescent="0.25">
      <c r="A268" s="82">
        <f>'A) Base RI'!A270</f>
        <v>5853</v>
      </c>
      <c r="B268" s="14" t="str">
        <f>'A) Base RI'!B270</f>
        <v>Bursins</v>
      </c>
      <c r="C268" s="158">
        <f>'A) Base RI'!AN270</f>
        <v>764</v>
      </c>
      <c r="D268" s="199">
        <f>'D) Ecrêtage'!O268</f>
        <v>46.688842636973675</v>
      </c>
      <c r="E268" s="64">
        <f t="shared" si="16"/>
        <v>0</v>
      </c>
      <c r="F268" s="202">
        <f t="shared" si="18"/>
        <v>0</v>
      </c>
      <c r="G268" s="183">
        <f>'A) Base RI'!AM270</f>
        <v>71</v>
      </c>
      <c r="H268" s="191">
        <f t="shared" si="19"/>
        <v>1.0459247937374361</v>
      </c>
      <c r="I268" s="206">
        <f t="shared" si="17"/>
        <v>0</v>
      </c>
    </row>
    <row r="269" spans="1:9" x14ac:dyDescent="0.25">
      <c r="A269" s="82">
        <f>'A) Base RI'!A271</f>
        <v>5854</v>
      </c>
      <c r="B269" s="14" t="str">
        <f>'A) Base RI'!B271</f>
        <v>Burtigny</v>
      </c>
      <c r="C269" s="158">
        <f>'A) Base RI'!AN271</f>
        <v>371</v>
      </c>
      <c r="D269" s="199">
        <f>'D) Ecrêtage'!O269</f>
        <v>29.454125171419111</v>
      </c>
      <c r="E269" s="64">
        <f t="shared" si="16"/>
        <v>14.401705993441656</v>
      </c>
      <c r="F269" s="202">
        <f t="shared" si="18"/>
        <v>109639.03559159186</v>
      </c>
      <c r="G269" s="183">
        <f>'A) Base RI'!AM271</f>
        <v>76</v>
      </c>
      <c r="H269" s="191">
        <f t="shared" si="19"/>
        <v>1.1195814693527486</v>
      </c>
      <c r="I269" s="206">
        <f t="shared" si="17"/>
        <v>122749.83256605272</v>
      </c>
    </row>
    <row r="270" spans="1:9" x14ac:dyDescent="0.25">
      <c r="A270" s="82">
        <f>'A) Base RI'!A272</f>
        <v>5855</v>
      </c>
      <c r="B270" s="14" t="str">
        <f>'A) Base RI'!B272</f>
        <v>Dully</v>
      </c>
      <c r="C270" s="158">
        <f>'A) Base RI'!AN272</f>
        <v>612</v>
      </c>
      <c r="D270" s="199">
        <f>'D) Ecrêtage'!O270</f>
        <v>93.7034380056093</v>
      </c>
      <c r="E270" s="64">
        <f t="shared" si="16"/>
        <v>0</v>
      </c>
      <c r="F270" s="202">
        <f t="shared" si="18"/>
        <v>0</v>
      </c>
      <c r="G270" s="183">
        <f>'A) Base RI'!AM272</f>
        <v>49</v>
      </c>
      <c r="H270" s="191">
        <f t="shared" si="19"/>
        <v>0.7218354210300616</v>
      </c>
      <c r="I270" s="206">
        <f t="shared" si="17"/>
        <v>0</v>
      </c>
    </row>
    <row r="271" spans="1:9" x14ac:dyDescent="0.25">
      <c r="A271" s="82">
        <f>'A) Base RI'!A273</f>
        <v>5856</v>
      </c>
      <c r="B271" s="14" t="str">
        <f>'A) Base RI'!B273</f>
        <v>Essertines-sur-Rolle</v>
      </c>
      <c r="C271" s="158">
        <f>'A) Base RI'!AN273</f>
        <v>698</v>
      </c>
      <c r="D271" s="199">
        <f>'D) Ecrêtage'!O271</f>
        <v>53.5416661534572</v>
      </c>
      <c r="E271" s="64">
        <f t="shared" si="16"/>
        <v>0</v>
      </c>
      <c r="F271" s="202">
        <f t="shared" si="18"/>
        <v>0</v>
      </c>
      <c r="G271" s="183">
        <f>'A) Base RI'!AM273</f>
        <v>68</v>
      </c>
      <c r="H271" s="191">
        <f t="shared" si="19"/>
        <v>1.0017307883682487</v>
      </c>
      <c r="I271" s="206">
        <f t="shared" si="17"/>
        <v>0</v>
      </c>
    </row>
    <row r="272" spans="1:9" x14ac:dyDescent="0.25">
      <c r="A272" s="82">
        <f>'A) Base RI'!A274</f>
        <v>5857</v>
      </c>
      <c r="B272" s="14" t="str">
        <f>'A) Base RI'!B274</f>
        <v>Gilly</v>
      </c>
      <c r="C272" s="158">
        <f>'A) Base RI'!AN274</f>
        <v>1074</v>
      </c>
      <c r="D272" s="199">
        <f>'D) Ecrêtage'!O272</f>
        <v>58.167421633867065</v>
      </c>
      <c r="E272" s="64">
        <f t="shared" ref="E272:E322" si="20">IF($D$323-D272&lt;0,0,$D$323-D272)</f>
        <v>0</v>
      </c>
      <c r="F272" s="202">
        <f t="shared" si="18"/>
        <v>0</v>
      </c>
      <c r="G272" s="183">
        <f>'A) Base RI'!AM274</f>
        <v>66</v>
      </c>
      <c r="H272" s="191">
        <f t="shared" si="19"/>
        <v>0.97226811812212377</v>
      </c>
      <c r="I272" s="206">
        <f t="shared" si="17"/>
        <v>0</v>
      </c>
    </row>
    <row r="273" spans="1:9" x14ac:dyDescent="0.25">
      <c r="A273" s="82">
        <f>'A) Base RI'!A275</f>
        <v>5858</v>
      </c>
      <c r="B273" s="14" t="str">
        <f>'A) Base RI'!B275</f>
        <v>Luins</v>
      </c>
      <c r="C273" s="158">
        <f>'A) Base RI'!AN275</f>
        <v>608</v>
      </c>
      <c r="D273" s="199">
        <f>'D) Ecrêtage'!O273</f>
        <v>57.315599882302628</v>
      </c>
      <c r="E273" s="64">
        <f t="shared" si="20"/>
        <v>0</v>
      </c>
      <c r="F273" s="202">
        <f t="shared" si="18"/>
        <v>0</v>
      </c>
      <c r="G273" s="183">
        <f>'A) Base RI'!AM275</f>
        <v>60</v>
      </c>
      <c r="H273" s="191">
        <f t="shared" si="19"/>
        <v>0.88388010738374889</v>
      </c>
      <c r="I273" s="206">
        <f t="shared" si="17"/>
        <v>0</v>
      </c>
    </row>
    <row r="274" spans="1:9" x14ac:dyDescent="0.25">
      <c r="A274" s="82">
        <f>'A) Base RI'!A276</f>
        <v>5859</v>
      </c>
      <c r="B274" s="14" t="str">
        <f>'A) Base RI'!B276</f>
        <v>Mont-sur-Rolle</v>
      </c>
      <c r="C274" s="158">
        <f>'A) Base RI'!AN276</f>
        <v>2602</v>
      </c>
      <c r="D274" s="199">
        <f>'D) Ecrêtage'!O274</f>
        <v>52.246117699449762</v>
      </c>
      <c r="E274" s="64">
        <f t="shared" si="20"/>
        <v>0</v>
      </c>
      <c r="F274" s="202">
        <f t="shared" si="18"/>
        <v>0</v>
      </c>
      <c r="G274" s="183">
        <f>'A) Base RI'!AM276</f>
        <v>63</v>
      </c>
      <c r="H274" s="191">
        <f t="shared" si="19"/>
        <v>0.92807411275293628</v>
      </c>
      <c r="I274" s="206">
        <f t="shared" ref="I274:I322" si="21">F274*H274</f>
        <v>0</v>
      </c>
    </row>
    <row r="275" spans="1:9" x14ac:dyDescent="0.25">
      <c r="A275" s="82">
        <f>'A) Base RI'!A277</f>
        <v>5860</v>
      </c>
      <c r="B275" s="14" t="str">
        <f>'A) Base RI'!B277</f>
        <v>Perroy</v>
      </c>
      <c r="C275" s="158">
        <f>'A) Base RI'!AN277</f>
        <v>1395</v>
      </c>
      <c r="D275" s="199">
        <f>'D) Ecrêtage'!O275</f>
        <v>50.891655913978497</v>
      </c>
      <c r="E275" s="64">
        <f t="shared" si="20"/>
        <v>0</v>
      </c>
      <c r="F275" s="202">
        <f t="shared" si="18"/>
        <v>0</v>
      </c>
      <c r="G275" s="183">
        <f>'A) Base RI'!AM277</f>
        <v>58</v>
      </c>
      <c r="H275" s="191">
        <f t="shared" si="19"/>
        <v>0.85441743713762386</v>
      </c>
      <c r="I275" s="206">
        <f t="shared" si="21"/>
        <v>0</v>
      </c>
    </row>
    <row r="276" spans="1:9" x14ac:dyDescent="0.25">
      <c r="A276" s="82">
        <f>'A) Base RI'!A278</f>
        <v>5861</v>
      </c>
      <c r="B276" s="14" t="str">
        <f>'A) Base RI'!B278</f>
        <v>Rolle</v>
      </c>
      <c r="C276" s="158">
        <f>'A) Base RI'!AN278</f>
        <v>5900</v>
      </c>
      <c r="D276" s="199">
        <f>'D) Ecrêtage'!O276</f>
        <v>58.551474589037873</v>
      </c>
      <c r="E276" s="64">
        <f t="shared" si="20"/>
        <v>0</v>
      </c>
      <c r="F276" s="202">
        <f t="shared" si="18"/>
        <v>0</v>
      </c>
      <c r="G276" s="183">
        <f>'A) Base RI'!AM278</f>
        <v>59.5</v>
      </c>
      <c r="H276" s="191">
        <f t="shared" si="19"/>
        <v>0.87651443982221766</v>
      </c>
      <c r="I276" s="206">
        <f t="shared" si="21"/>
        <v>0</v>
      </c>
    </row>
    <row r="277" spans="1:9" x14ac:dyDescent="0.25">
      <c r="A277" s="82">
        <f>'A) Base RI'!A279</f>
        <v>5862</v>
      </c>
      <c r="B277" s="14" t="str">
        <f>'A) Base RI'!B279</f>
        <v>Tartegnin</v>
      </c>
      <c r="C277" s="158">
        <f>'A) Base RI'!AN279</f>
        <v>228</v>
      </c>
      <c r="D277" s="199">
        <f>'D) Ecrêtage'!O277</f>
        <v>33.926745683653579</v>
      </c>
      <c r="E277" s="64">
        <f t="shared" si="20"/>
        <v>9.9290854812071885</v>
      </c>
      <c r="F277" s="202">
        <f t="shared" si="18"/>
        <v>51343.698186741625</v>
      </c>
      <c r="G277" s="183">
        <f>'A) Base RI'!AM279</f>
        <v>84</v>
      </c>
      <c r="H277" s="191">
        <f t="shared" si="19"/>
        <v>1.2374321503372483</v>
      </c>
      <c r="I277" s="206">
        <f t="shared" si="21"/>
        <v>63534.342853486363</v>
      </c>
    </row>
    <row r="278" spans="1:9" x14ac:dyDescent="0.25">
      <c r="A278" s="82">
        <f>'A) Base RI'!A280</f>
        <v>5863</v>
      </c>
      <c r="B278" s="14" t="str">
        <f>'A) Base RI'!B280</f>
        <v>Vinzel</v>
      </c>
      <c r="C278" s="158">
        <f>'A) Base RI'!AN280</f>
        <v>352</v>
      </c>
      <c r="D278" s="199">
        <f>'D) Ecrêtage'!O278</f>
        <v>58.259662905541475</v>
      </c>
      <c r="E278" s="64">
        <f t="shared" si="20"/>
        <v>0</v>
      </c>
      <c r="F278" s="202">
        <f t="shared" si="18"/>
        <v>0</v>
      </c>
      <c r="G278" s="183">
        <f>'A) Base RI'!AM280</f>
        <v>73</v>
      </c>
      <c r="H278" s="191">
        <f t="shared" si="19"/>
        <v>1.075387463983561</v>
      </c>
      <c r="I278" s="206">
        <f t="shared" si="21"/>
        <v>0</v>
      </c>
    </row>
    <row r="279" spans="1:9" x14ac:dyDescent="0.25">
      <c r="A279" s="82">
        <f>'A) Base RI'!A281</f>
        <v>5871</v>
      </c>
      <c r="B279" s="14" t="str">
        <f>'A) Base RI'!B281</f>
        <v>L'Abbaye</v>
      </c>
      <c r="C279" s="158">
        <f>'A) Base RI'!AN281</f>
        <v>1433</v>
      </c>
      <c r="D279" s="199">
        <f>'D) Ecrêtage'!O279</f>
        <v>42.505325696109793</v>
      </c>
      <c r="E279" s="64">
        <f t="shared" si="20"/>
        <v>1.3505054687509741</v>
      </c>
      <c r="F279" s="202">
        <f t="shared" si="18"/>
        <v>40223.902978993545</v>
      </c>
      <c r="G279" s="183">
        <f>'A) Base RI'!AM281</f>
        <v>76.98</v>
      </c>
      <c r="H279" s="191">
        <f t="shared" si="19"/>
        <v>1.1340181777733498</v>
      </c>
      <c r="I279" s="206">
        <f t="shared" si="21"/>
        <v>45614.637159170277</v>
      </c>
    </row>
    <row r="280" spans="1:9" x14ac:dyDescent="0.25">
      <c r="A280" s="82">
        <f>'A) Base RI'!A282</f>
        <v>5872</v>
      </c>
      <c r="B280" s="14" t="str">
        <f>'A) Base RI'!B282</f>
        <v>Le Chenit</v>
      </c>
      <c r="C280" s="158">
        <f>'A) Base RI'!AN282</f>
        <v>4496</v>
      </c>
      <c r="D280" s="199">
        <f>'D) Ecrêtage'!O280</f>
        <v>71.669175898127847</v>
      </c>
      <c r="E280" s="64">
        <f t="shared" si="20"/>
        <v>0</v>
      </c>
      <c r="F280" s="202">
        <f t="shared" si="18"/>
        <v>0</v>
      </c>
      <c r="G280" s="183">
        <f>'A) Base RI'!AM282</f>
        <v>69.81</v>
      </c>
      <c r="H280" s="191">
        <f t="shared" si="19"/>
        <v>1.0283945049409917</v>
      </c>
      <c r="I280" s="206">
        <f t="shared" si="21"/>
        <v>0</v>
      </c>
    </row>
    <row r="281" spans="1:9" x14ac:dyDescent="0.25">
      <c r="A281" s="82">
        <f>'A) Base RI'!A283</f>
        <v>5873</v>
      </c>
      <c r="B281" s="14" t="str">
        <f>'A) Base RI'!B283</f>
        <v>Le Lieu</v>
      </c>
      <c r="C281" s="158">
        <f>'A) Base RI'!AN283</f>
        <v>856</v>
      </c>
      <c r="D281" s="199">
        <f>'D) Ecrêtage'!O281</f>
        <v>45.992999820273184</v>
      </c>
      <c r="E281" s="64">
        <f t="shared" si="20"/>
        <v>0</v>
      </c>
      <c r="F281" s="202">
        <f t="shared" si="18"/>
        <v>0</v>
      </c>
      <c r="G281" s="183">
        <f>'A) Base RI'!AM283</f>
        <v>65</v>
      </c>
      <c r="H281" s="191">
        <f t="shared" si="19"/>
        <v>0.95753678299906131</v>
      </c>
      <c r="I281" s="206">
        <f t="shared" si="21"/>
        <v>0</v>
      </c>
    </row>
    <row r="282" spans="1:9" x14ac:dyDescent="0.25">
      <c r="A282" s="82">
        <f>'A) Base RI'!A284</f>
        <v>5881</v>
      </c>
      <c r="B282" s="14" t="str">
        <f>'A) Base RI'!B284</f>
        <v>Blonay</v>
      </c>
      <c r="C282" s="158">
        <f>'A) Base RI'!AN284</f>
        <v>6110</v>
      </c>
      <c r="D282" s="199">
        <f>'D) Ecrêtage'!O282</f>
        <v>54.318746681214762</v>
      </c>
      <c r="E282" s="64">
        <f t="shared" si="20"/>
        <v>0</v>
      </c>
      <c r="F282" s="202">
        <f t="shared" si="18"/>
        <v>0</v>
      </c>
      <c r="G282" s="183">
        <f>'A) Base RI'!AM284</f>
        <v>72</v>
      </c>
      <c r="H282" s="191">
        <f t="shared" si="19"/>
        <v>1.0606561288604985</v>
      </c>
      <c r="I282" s="206">
        <f t="shared" si="21"/>
        <v>0</v>
      </c>
    </row>
    <row r="283" spans="1:9" x14ac:dyDescent="0.25">
      <c r="A283" s="82">
        <f>'A) Base RI'!A285</f>
        <v>5882</v>
      </c>
      <c r="B283" s="14" t="str">
        <f>'A) Base RI'!B285</f>
        <v>Chardonne</v>
      </c>
      <c r="C283" s="158">
        <f>'A) Base RI'!AN285</f>
        <v>2835</v>
      </c>
      <c r="D283" s="199">
        <f>'D) Ecrêtage'!O283</f>
        <v>56.273566867301582</v>
      </c>
      <c r="E283" s="64">
        <f t="shared" si="20"/>
        <v>0</v>
      </c>
      <c r="F283" s="202">
        <f t="shared" si="18"/>
        <v>0</v>
      </c>
      <c r="G283" s="183">
        <f>'A) Base RI'!AM285</f>
        <v>66</v>
      </c>
      <c r="H283" s="191">
        <f t="shared" si="19"/>
        <v>0.97226811812212377</v>
      </c>
      <c r="I283" s="206">
        <f t="shared" si="21"/>
        <v>0</v>
      </c>
    </row>
    <row r="284" spans="1:9" x14ac:dyDescent="0.25">
      <c r="A284" s="82">
        <f>'A) Base RI'!A286</f>
        <v>5883</v>
      </c>
      <c r="B284" s="14" t="str">
        <f>'A) Base RI'!B286</f>
        <v>Corseaux</v>
      </c>
      <c r="C284" s="158">
        <f>'A) Base RI'!AN286</f>
        <v>2172</v>
      </c>
      <c r="D284" s="199">
        <f>'D) Ecrêtage'!O284</f>
        <v>66.361946989541309</v>
      </c>
      <c r="E284" s="64">
        <f t="shared" si="20"/>
        <v>0</v>
      </c>
      <c r="F284" s="202">
        <f t="shared" si="18"/>
        <v>0</v>
      </c>
      <c r="G284" s="183">
        <f>'A) Base RI'!AM286</f>
        <v>64</v>
      </c>
      <c r="H284" s="191">
        <f t="shared" si="19"/>
        <v>0.94280544787599874</v>
      </c>
      <c r="I284" s="206">
        <f t="shared" si="21"/>
        <v>0</v>
      </c>
    </row>
    <row r="285" spans="1:9" x14ac:dyDescent="0.25">
      <c r="A285" s="82">
        <f>'A) Base RI'!A287</f>
        <v>5884</v>
      </c>
      <c r="B285" s="14" t="str">
        <f>'A) Base RI'!B287</f>
        <v>Corsier-sur-Vevey</v>
      </c>
      <c r="C285" s="158">
        <f>'A) Base RI'!AN287</f>
        <v>3393</v>
      </c>
      <c r="D285" s="199">
        <f>'D) Ecrêtage'!O285</f>
        <v>35.781103088057108</v>
      </c>
      <c r="E285" s="64">
        <f t="shared" si="20"/>
        <v>8.0747280768036589</v>
      </c>
      <c r="F285" s="202">
        <f t="shared" si="18"/>
        <v>488224.38313707965</v>
      </c>
      <c r="G285" s="183">
        <f>'A) Base RI'!AM287</f>
        <v>66</v>
      </c>
      <c r="H285" s="191">
        <f t="shared" si="19"/>
        <v>0.97226811812212377</v>
      </c>
      <c r="I285" s="206">
        <f t="shared" si="21"/>
        <v>474685.00221402314</v>
      </c>
    </row>
    <row r="286" spans="1:9" x14ac:dyDescent="0.25">
      <c r="A286" s="82">
        <f>'A) Base RI'!A288</f>
        <v>5885</v>
      </c>
      <c r="B286" s="14" t="str">
        <f>'A) Base RI'!B288</f>
        <v>Jongny</v>
      </c>
      <c r="C286" s="158">
        <f>'A) Base RI'!AN288</f>
        <v>1475</v>
      </c>
      <c r="D286" s="199">
        <f>'D) Ecrêtage'!O286</f>
        <v>51.660771735036434</v>
      </c>
      <c r="E286" s="64">
        <f t="shared" si="20"/>
        <v>0</v>
      </c>
      <c r="F286" s="202">
        <f t="shared" si="18"/>
        <v>0</v>
      </c>
      <c r="G286" s="183">
        <f>'A) Base RI'!AM288</f>
        <v>69</v>
      </c>
      <c r="H286" s="191">
        <f t="shared" si="19"/>
        <v>1.0164621234913112</v>
      </c>
      <c r="I286" s="206">
        <f t="shared" si="21"/>
        <v>0</v>
      </c>
    </row>
    <row r="287" spans="1:9" x14ac:dyDescent="0.25">
      <c r="A287" s="82">
        <f>'A) Base RI'!A289</f>
        <v>5886</v>
      </c>
      <c r="B287" s="14" t="str">
        <f>'A) Base RI'!B289</f>
        <v>Montreux</v>
      </c>
      <c r="C287" s="158">
        <f>'A) Base RI'!AN289</f>
        <v>26072</v>
      </c>
      <c r="D287" s="199">
        <f>'D) Ecrêtage'!O287</f>
        <v>42.952400405946548</v>
      </c>
      <c r="E287" s="64">
        <f t="shared" si="20"/>
        <v>0.90343075891421876</v>
      </c>
      <c r="F287" s="202">
        <f t="shared" si="18"/>
        <v>419736.67702105315</v>
      </c>
      <c r="G287" s="183">
        <f>'A) Base RI'!AM289</f>
        <v>66</v>
      </c>
      <c r="H287" s="191">
        <f t="shared" si="19"/>
        <v>0.97226811812212377</v>
      </c>
      <c r="I287" s="206">
        <f t="shared" si="21"/>
        <v>408096.58907409303</v>
      </c>
    </row>
    <row r="288" spans="1:9" x14ac:dyDescent="0.25">
      <c r="A288" s="82">
        <f>'A) Base RI'!A290</f>
        <v>5888</v>
      </c>
      <c r="B288" s="14" t="str">
        <f>'A) Base RI'!B290</f>
        <v>St-Légier-La Chiésaz</v>
      </c>
      <c r="C288" s="158">
        <f>'A) Base RI'!AN290</f>
        <v>5084</v>
      </c>
      <c r="D288" s="199">
        <f>'D) Ecrêtage'!O288</f>
        <v>64.753593445808505</v>
      </c>
      <c r="E288" s="64">
        <f t="shared" si="20"/>
        <v>0</v>
      </c>
      <c r="F288" s="202">
        <f t="shared" si="18"/>
        <v>0</v>
      </c>
      <c r="G288" s="183">
        <f>'A) Base RI'!AM290</f>
        <v>66</v>
      </c>
      <c r="H288" s="191">
        <f t="shared" si="19"/>
        <v>0.97226811812212377</v>
      </c>
      <c r="I288" s="206">
        <f t="shared" si="21"/>
        <v>0</v>
      </c>
    </row>
    <row r="289" spans="1:9" x14ac:dyDescent="0.25">
      <c r="A289" s="82">
        <f>'A) Base RI'!A291</f>
        <v>5889</v>
      </c>
      <c r="B289" s="14" t="str">
        <f>'A) Base RI'!B291</f>
        <v>La Tour-de-Peilz</v>
      </c>
      <c r="C289" s="158">
        <f>'A) Base RI'!AN291</f>
        <v>11207</v>
      </c>
      <c r="D289" s="199">
        <f>'D) Ecrêtage'!O289</f>
        <v>52.915948017050376</v>
      </c>
      <c r="E289" s="64">
        <f t="shared" si="20"/>
        <v>0</v>
      </c>
      <c r="F289" s="202">
        <f t="shared" si="18"/>
        <v>0</v>
      </c>
      <c r="G289" s="183">
        <f>'A) Base RI'!AM291</f>
        <v>64</v>
      </c>
      <c r="H289" s="191">
        <f t="shared" si="19"/>
        <v>0.94280544787599874</v>
      </c>
      <c r="I289" s="206">
        <f t="shared" si="21"/>
        <v>0</v>
      </c>
    </row>
    <row r="290" spans="1:9" x14ac:dyDescent="0.25">
      <c r="A290" s="82">
        <f>'A) Base RI'!A292</f>
        <v>5890</v>
      </c>
      <c r="B290" s="14" t="str">
        <f>'A) Base RI'!B292</f>
        <v>Vevey</v>
      </c>
      <c r="C290" s="158">
        <f>'A) Base RI'!AN292</f>
        <v>18838</v>
      </c>
      <c r="D290" s="199">
        <f>'D) Ecrêtage'!O290</f>
        <v>48.840120001784022</v>
      </c>
      <c r="E290" s="64">
        <f t="shared" si="20"/>
        <v>0</v>
      </c>
      <c r="F290" s="202">
        <f t="shared" si="18"/>
        <v>0</v>
      </c>
      <c r="G290" s="183">
        <f>'A) Base RI'!AM292</f>
        <v>73</v>
      </c>
      <c r="H290" s="191">
        <f t="shared" si="19"/>
        <v>1.075387463983561</v>
      </c>
      <c r="I290" s="206">
        <f t="shared" si="21"/>
        <v>0</v>
      </c>
    </row>
    <row r="291" spans="1:9" x14ac:dyDescent="0.25">
      <c r="A291" s="82">
        <f>'A) Base RI'!A293</f>
        <v>5891</v>
      </c>
      <c r="B291" s="14" t="str">
        <f>'A) Base RI'!B293</f>
        <v>Veytaux</v>
      </c>
      <c r="C291" s="158">
        <f>'A) Base RI'!AN293</f>
        <v>845</v>
      </c>
      <c r="D291" s="199">
        <f>'D) Ecrêtage'!O291</f>
        <v>44.541471857759468</v>
      </c>
      <c r="E291" s="64">
        <f t="shared" si="20"/>
        <v>0</v>
      </c>
      <c r="F291" s="202">
        <f t="shared" si="18"/>
        <v>0</v>
      </c>
      <c r="G291" s="183">
        <f>'A) Base RI'!AM293</f>
        <v>69</v>
      </c>
      <c r="H291" s="191">
        <f t="shared" si="19"/>
        <v>1.0164621234913112</v>
      </c>
      <c r="I291" s="206">
        <f t="shared" si="21"/>
        <v>0</v>
      </c>
    </row>
    <row r="292" spans="1:9" x14ac:dyDescent="0.25">
      <c r="A292" s="82">
        <f>'A) Base RI'!A294</f>
        <v>5902</v>
      </c>
      <c r="B292" s="14" t="str">
        <f>'A) Base RI'!B294</f>
        <v>Belmont-sur-Yverdon</v>
      </c>
      <c r="C292" s="158">
        <f>'A) Base RI'!AN294</f>
        <v>357</v>
      </c>
      <c r="D292" s="199">
        <f>'D) Ecrêtage'!O292</f>
        <v>24.675309966091699</v>
      </c>
      <c r="E292" s="64">
        <f t="shared" si="20"/>
        <v>19.180521198769068</v>
      </c>
      <c r="F292" s="202">
        <f t="shared" si="18"/>
        <v>140509.59331455064</v>
      </c>
      <c r="G292" s="183">
        <f>'A) Base RI'!AM294</f>
        <v>76</v>
      </c>
      <c r="H292" s="191">
        <f t="shared" si="19"/>
        <v>1.1195814693527486</v>
      </c>
      <c r="I292" s="206">
        <f t="shared" si="21"/>
        <v>157311.93694126175</v>
      </c>
    </row>
    <row r="293" spans="1:9" x14ac:dyDescent="0.25">
      <c r="A293" s="82">
        <f>'A) Base RI'!A295</f>
        <v>5903</v>
      </c>
      <c r="B293" s="14" t="str">
        <f>'A) Base RI'!B295</f>
        <v>Bioley-Magnoux</v>
      </c>
      <c r="C293" s="158">
        <f>'A) Base RI'!AN295</f>
        <v>196</v>
      </c>
      <c r="D293" s="199">
        <f>'D) Ecrêtage'!O293</f>
        <v>31.065540836025523</v>
      </c>
      <c r="E293" s="64">
        <f t="shared" si="20"/>
        <v>12.790290328835244</v>
      </c>
      <c r="F293" s="202">
        <f t="shared" si="18"/>
        <v>50087.800150945128</v>
      </c>
      <c r="G293" s="183">
        <f>'A) Base RI'!AM295</f>
        <v>74</v>
      </c>
      <c r="H293" s="191">
        <f t="shared" si="19"/>
        <v>1.0901187991066237</v>
      </c>
      <c r="I293" s="206">
        <f t="shared" si="21"/>
        <v>54601.652550440864</v>
      </c>
    </row>
    <row r="294" spans="1:9" x14ac:dyDescent="0.25">
      <c r="A294" s="82">
        <f>'A) Base RI'!A296</f>
        <v>5904</v>
      </c>
      <c r="B294" s="14" t="str">
        <f>'A) Base RI'!B296</f>
        <v>Chamblon</v>
      </c>
      <c r="C294" s="158">
        <f>'A) Base RI'!AN296</f>
        <v>590</v>
      </c>
      <c r="D294" s="199">
        <f>'D) Ecrêtage'!O294</f>
        <v>36.647484591679508</v>
      </c>
      <c r="E294" s="64">
        <f t="shared" si="20"/>
        <v>7.2083465731812595</v>
      </c>
      <c r="F294" s="202">
        <f t="shared" si="18"/>
        <v>75787.114201113131</v>
      </c>
      <c r="G294" s="183">
        <f>'A) Base RI'!AM296</f>
        <v>66</v>
      </c>
      <c r="H294" s="191">
        <f t="shared" si="19"/>
        <v>0.97226811812212377</v>
      </c>
      <c r="I294" s="206">
        <f t="shared" si="21"/>
        <v>73685.394902222746</v>
      </c>
    </row>
    <row r="295" spans="1:9" x14ac:dyDescent="0.25">
      <c r="A295" s="82">
        <f>'A) Base RI'!A297</f>
        <v>5905</v>
      </c>
      <c r="B295" s="14" t="str">
        <f>'A) Base RI'!B297</f>
        <v>Champvent</v>
      </c>
      <c r="C295" s="158">
        <f>'A) Base RI'!AN297</f>
        <v>600</v>
      </c>
      <c r="D295" s="199">
        <f>'D) Ecrêtage'!O295</f>
        <v>33.85952723004695</v>
      </c>
      <c r="E295" s="64">
        <f t="shared" si="20"/>
        <v>9.9963039348138167</v>
      </c>
      <c r="F295" s="202">
        <f t="shared" si="18"/>
        <v>114977.48785822852</v>
      </c>
      <c r="G295" s="183">
        <f>'A) Base RI'!AM297</f>
        <v>71</v>
      </c>
      <c r="H295" s="191">
        <f t="shared" si="19"/>
        <v>1.0459247937374361</v>
      </c>
      <c r="I295" s="206">
        <f t="shared" si="21"/>
        <v>120257.80527256623</v>
      </c>
    </row>
    <row r="296" spans="1:9" x14ac:dyDescent="0.25">
      <c r="A296" s="82">
        <f>'A) Base RI'!A298</f>
        <v>5907</v>
      </c>
      <c r="B296" s="14" t="str">
        <f>'A) Base RI'!B298</f>
        <v>Chavannes-le-Chêne</v>
      </c>
      <c r="C296" s="158">
        <f>'A) Base RI'!AN298</f>
        <v>274</v>
      </c>
      <c r="D296" s="199">
        <f>'D) Ecrêtage'!O296</f>
        <v>24.710006550626989</v>
      </c>
      <c r="E296" s="64">
        <f t="shared" si="20"/>
        <v>19.145824614233778</v>
      </c>
      <c r="F296" s="202">
        <f t="shared" si="18"/>
        <v>110479.83218695917</v>
      </c>
      <c r="G296" s="183">
        <f>'A) Base RI'!AM298</f>
        <v>78</v>
      </c>
      <c r="H296" s="191">
        <f t="shared" si="19"/>
        <v>1.1490441395988735</v>
      </c>
      <c r="I296" s="206">
        <f t="shared" si="21"/>
        <v>126946.20371829244</v>
      </c>
    </row>
    <row r="297" spans="1:9" x14ac:dyDescent="0.25">
      <c r="A297" s="82">
        <f>'A) Base RI'!A299</f>
        <v>5908</v>
      </c>
      <c r="B297" s="14" t="str">
        <f>'A) Base RI'!B299</f>
        <v>Chêne-Pâquier</v>
      </c>
      <c r="C297" s="158">
        <f>'A) Base RI'!AN299</f>
        <v>132</v>
      </c>
      <c r="D297" s="199">
        <f>'D) Ecrêtage'!O297</f>
        <v>25.201094169543538</v>
      </c>
      <c r="E297" s="64">
        <f t="shared" si="20"/>
        <v>18.654736995317229</v>
      </c>
      <c r="F297" s="202">
        <f t="shared" si="18"/>
        <v>52523.53129453538</v>
      </c>
      <c r="G297" s="183">
        <f>'A) Base RI'!AM299</f>
        <v>79</v>
      </c>
      <c r="H297" s="191">
        <f t="shared" si="19"/>
        <v>1.163775474721936</v>
      </c>
      <c r="I297" s="206">
        <f t="shared" si="21"/>
        <v>61125.597566370372</v>
      </c>
    </row>
    <row r="298" spans="1:9" x14ac:dyDescent="0.25">
      <c r="A298" s="82">
        <f>'A) Base RI'!A300</f>
        <v>5909</v>
      </c>
      <c r="B298" s="14" t="str">
        <f>'A) Base RI'!B300</f>
        <v>Cheseaux-Noréaz</v>
      </c>
      <c r="C298" s="158">
        <f>'A) Base RI'!AN300</f>
        <v>663</v>
      </c>
      <c r="D298" s="199">
        <f>'D) Ecrêtage'!O298</f>
        <v>46.261419447586725</v>
      </c>
      <c r="E298" s="64">
        <f t="shared" si="20"/>
        <v>0</v>
      </c>
      <c r="F298" s="202">
        <f t="shared" si="18"/>
        <v>0</v>
      </c>
      <c r="G298" s="183">
        <f>'A) Base RI'!AM300</f>
        <v>64</v>
      </c>
      <c r="H298" s="191">
        <f t="shared" si="19"/>
        <v>0.94280544787599874</v>
      </c>
      <c r="I298" s="206">
        <f t="shared" si="21"/>
        <v>0</v>
      </c>
    </row>
    <row r="299" spans="1:9" x14ac:dyDescent="0.25">
      <c r="A299" s="82">
        <f>'A) Base RI'!A301</f>
        <v>5910</v>
      </c>
      <c r="B299" s="14" t="str">
        <f>'A) Base RI'!B301</f>
        <v>Cronay</v>
      </c>
      <c r="C299" s="158">
        <f>'A) Base RI'!AN301</f>
        <v>352</v>
      </c>
      <c r="D299" s="199">
        <f>'D) Ecrêtage'!O299</f>
        <v>26.399721170033668</v>
      </c>
      <c r="E299" s="64">
        <f t="shared" si="20"/>
        <v>17.456109994827099</v>
      </c>
      <c r="F299" s="202">
        <f t="shared" si="18"/>
        <v>134381.32420657779</v>
      </c>
      <c r="G299" s="183">
        <f>'A) Base RI'!AM301</f>
        <v>81</v>
      </c>
      <c r="H299" s="191">
        <f t="shared" si="19"/>
        <v>1.1932381449680609</v>
      </c>
      <c r="I299" s="206">
        <f t="shared" si="21"/>
        <v>160348.92201460846</v>
      </c>
    </row>
    <row r="300" spans="1:9" x14ac:dyDescent="0.25">
      <c r="A300" s="82">
        <f>'A) Base RI'!A302</f>
        <v>5911</v>
      </c>
      <c r="B300" s="14" t="str">
        <f>'A) Base RI'!B302</f>
        <v>Cuarny</v>
      </c>
      <c r="C300" s="158">
        <f>'A) Base RI'!AN302</f>
        <v>204</v>
      </c>
      <c r="D300" s="199">
        <f>'D) Ecrêtage'!O300</f>
        <v>33.408634107964168</v>
      </c>
      <c r="E300" s="64">
        <f t="shared" si="20"/>
        <v>10.447197056896599</v>
      </c>
      <c r="F300" s="202">
        <f t="shared" si="18"/>
        <v>46609.960725403034</v>
      </c>
      <c r="G300" s="183">
        <f>'A) Base RI'!AM302</f>
        <v>81</v>
      </c>
      <c r="H300" s="191">
        <f t="shared" si="19"/>
        <v>1.1932381449680609</v>
      </c>
      <c r="I300" s="206">
        <f t="shared" si="21"/>
        <v>55616.783073014092</v>
      </c>
    </row>
    <row r="301" spans="1:9" x14ac:dyDescent="0.25">
      <c r="A301" s="82">
        <f>'A) Base RI'!A303</f>
        <v>5912</v>
      </c>
      <c r="B301" s="14" t="str">
        <f>'A) Base RI'!B303</f>
        <v>Démoret</v>
      </c>
      <c r="C301" s="158">
        <f>'A) Base RI'!AN303</f>
        <v>126</v>
      </c>
      <c r="D301" s="199">
        <f>'D) Ecrêtage'!O301</f>
        <v>24.993910444836366</v>
      </c>
      <c r="E301" s="64">
        <f t="shared" si="20"/>
        <v>18.861920720024401</v>
      </c>
      <c r="F301" s="202">
        <f t="shared" si="18"/>
        <v>51976.285974513645</v>
      </c>
      <c r="G301" s="183">
        <f>'A) Base RI'!AM303</f>
        <v>81</v>
      </c>
      <c r="H301" s="191">
        <f t="shared" si="19"/>
        <v>1.1932381449680609</v>
      </c>
      <c r="I301" s="206">
        <f t="shared" si="21"/>
        <v>62020.087058558107</v>
      </c>
    </row>
    <row r="302" spans="1:9" x14ac:dyDescent="0.25">
      <c r="A302" s="82">
        <f>'A) Base RI'!A304</f>
        <v>5913</v>
      </c>
      <c r="B302" s="14" t="str">
        <f>'A) Base RI'!B304</f>
        <v>Donneloye</v>
      </c>
      <c r="C302" s="158">
        <f>'A) Base RI'!AN304</f>
        <v>728</v>
      </c>
      <c r="D302" s="199">
        <f>'D) Ecrêtage'!O302</f>
        <v>31.796435345476436</v>
      </c>
      <c r="E302" s="64">
        <f t="shared" si="20"/>
        <v>12.059395819384331</v>
      </c>
      <c r="F302" s="202">
        <f t="shared" si="18"/>
        <v>173038.82348484744</v>
      </c>
      <c r="G302" s="183">
        <f>'A) Base RI'!AM304</f>
        <v>73</v>
      </c>
      <c r="H302" s="191">
        <f t="shared" si="19"/>
        <v>1.075387463983561</v>
      </c>
      <c r="I302" s="206">
        <f t="shared" si="21"/>
        <v>186083.78155806914</v>
      </c>
    </row>
    <row r="303" spans="1:9" x14ac:dyDescent="0.25">
      <c r="A303" s="82">
        <f>'A) Base RI'!A305</f>
        <v>5914</v>
      </c>
      <c r="B303" s="14" t="str">
        <f>'A) Base RI'!B305</f>
        <v>Ependes</v>
      </c>
      <c r="C303" s="158">
        <f>'A) Base RI'!AN305</f>
        <v>344</v>
      </c>
      <c r="D303" s="199">
        <f>'D) Ecrêtage'!O303</f>
        <v>25.343296124031006</v>
      </c>
      <c r="E303" s="64">
        <f t="shared" si="20"/>
        <v>18.512535040829761</v>
      </c>
      <c r="F303" s="202">
        <f t="shared" si="18"/>
        <v>128958.31909442011</v>
      </c>
      <c r="G303" s="183">
        <f>'A) Base RI'!AM305</f>
        <v>75</v>
      </c>
      <c r="H303" s="191">
        <f t="shared" si="19"/>
        <v>1.1048501342296861</v>
      </c>
      <c r="I303" s="206">
        <f t="shared" si="21"/>
        <v>142479.61616150476</v>
      </c>
    </row>
    <row r="304" spans="1:9" x14ac:dyDescent="0.25">
      <c r="A304" s="82">
        <f>'A) Base RI'!A306</f>
        <v>5915</v>
      </c>
      <c r="B304" s="14" t="str">
        <f>'A) Base RI'!B306</f>
        <v>Essert-Pittet</v>
      </c>
      <c r="C304" s="158">
        <f>'A) Base RI'!AN306</f>
        <v>151</v>
      </c>
      <c r="D304" s="199">
        <f>'D) Ecrêtage'!O304</f>
        <v>22.974183508635246</v>
      </c>
      <c r="E304" s="64">
        <f t="shared" si="20"/>
        <v>20.881647656225521</v>
      </c>
      <c r="F304" s="202">
        <f t="shared" si="18"/>
        <v>63850.858120823592</v>
      </c>
      <c r="G304" s="183">
        <f>'A) Base RI'!AM306</f>
        <v>75</v>
      </c>
      <c r="H304" s="191">
        <f t="shared" si="19"/>
        <v>1.1048501342296861</v>
      </c>
      <c r="I304" s="206">
        <f t="shared" si="21"/>
        <v>70545.629165472594</v>
      </c>
    </row>
    <row r="305" spans="1:9" x14ac:dyDescent="0.25">
      <c r="A305" s="82">
        <f>'A) Base RI'!A307</f>
        <v>5919</v>
      </c>
      <c r="B305" s="14" t="str">
        <f>'A) Base RI'!B307</f>
        <v>Mathod</v>
      </c>
      <c r="C305" s="158">
        <f>'A) Base RI'!AN307</f>
        <v>552</v>
      </c>
      <c r="D305" s="199">
        <f>'D) Ecrêtage'!O305</f>
        <v>26.614918845475913</v>
      </c>
      <c r="E305" s="64">
        <f t="shared" si="20"/>
        <v>17.240912319384854</v>
      </c>
      <c r="F305" s="202">
        <f t="shared" si="18"/>
        <v>190149.33233400283</v>
      </c>
      <c r="G305" s="183">
        <f>'A) Base RI'!AM307</f>
        <v>74</v>
      </c>
      <c r="H305" s="191">
        <f t="shared" si="19"/>
        <v>1.0901187991066237</v>
      </c>
      <c r="I305" s="206">
        <f t="shared" si="21"/>
        <v>207285.36181486945</v>
      </c>
    </row>
    <row r="306" spans="1:9" x14ac:dyDescent="0.25">
      <c r="A306" s="82">
        <f>'A) Base RI'!A308</f>
        <v>5921</v>
      </c>
      <c r="B306" s="14" t="str">
        <f>'A) Base RI'!B308</f>
        <v>Molondin</v>
      </c>
      <c r="C306" s="158">
        <f>'A) Base RI'!AN308</f>
        <v>228</v>
      </c>
      <c r="D306" s="199">
        <f>'D) Ecrêtage'!O306</f>
        <v>20.447959714100065</v>
      </c>
      <c r="E306" s="64">
        <f t="shared" si="20"/>
        <v>23.407871450760702</v>
      </c>
      <c r="F306" s="202">
        <f t="shared" si="18"/>
        <v>116720.07388721514</v>
      </c>
      <c r="G306" s="183">
        <f>'A) Base RI'!AM308</f>
        <v>81</v>
      </c>
      <c r="H306" s="191">
        <f t="shared" si="19"/>
        <v>1.1932381449680609</v>
      </c>
      <c r="I306" s="206">
        <f t="shared" si="21"/>
        <v>139274.8444457156</v>
      </c>
    </row>
    <row r="307" spans="1:9" x14ac:dyDescent="0.25">
      <c r="A307" s="82">
        <f>'A) Base RI'!A309</f>
        <v>5922</v>
      </c>
      <c r="B307" s="14" t="str">
        <f>'A) Base RI'!B309</f>
        <v>Montagny-près-Yverdon</v>
      </c>
      <c r="C307" s="158">
        <f>'A) Base RI'!AN309</f>
        <v>725</v>
      </c>
      <c r="D307" s="199">
        <f>'D) Ecrêtage'!O307</f>
        <v>60.255263533931206</v>
      </c>
      <c r="E307" s="64">
        <f t="shared" si="20"/>
        <v>0</v>
      </c>
      <c r="F307" s="202">
        <f t="shared" si="18"/>
        <v>0</v>
      </c>
      <c r="G307" s="183">
        <f>'A) Base RI'!AM309</f>
        <v>61</v>
      </c>
      <c r="H307" s="191">
        <f t="shared" si="19"/>
        <v>0.89861144250681135</v>
      </c>
      <c r="I307" s="206">
        <f t="shared" si="21"/>
        <v>0</v>
      </c>
    </row>
    <row r="308" spans="1:9" x14ac:dyDescent="0.25">
      <c r="A308" s="82">
        <f>'A) Base RI'!A310</f>
        <v>5923</v>
      </c>
      <c r="B308" s="14" t="str">
        <f>'A) Base RI'!B310</f>
        <v>Oppens</v>
      </c>
      <c r="C308" s="158">
        <f>'A) Base RI'!AN310</f>
        <v>176</v>
      </c>
      <c r="D308" s="199">
        <f>'D) Ecrêtage'!O308</f>
        <v>25.402617143658805</v>
      </c>
      <c r="E308" s="64">
        <f t="shared" si="20"/>
        <v>18.453214021201962</v>
      </c>
      <c r="F308" s="202">
        <f t="shared" si="18"/>
        <v>71028.635153288895</v>
      </c>
      <c r="G308" s="183">
        <f>'A) Base RI'!AM310</f>
        <v>81</v>
      </c>
      <c r="H308" s="191">
        <f t="shared" si="19"/>
        <v>1.1932381449680609</v>
      </c>
      <c r="I308" s="206">
        <f t="shared" si="21"/>
        <v>84754.076849923644</v>
      </c>
    </row>
    <row r="309" spans="1:9" x14ac:dyDescent="0.25">
      <c r="A309" s="82">
        <f>'A) Base RI'!A311</f>
        <v>5924</v>
      </c>
      <c r="B309" s="14" t="str">
        <f>'A) Base RI'!B311</f>
        <v>Orges</v>
      </c>
      <c r="C309" s="158">
        <f>'A) Base RI'!AN311</f>
        <v>274</v>
      </c>
      <c r="D309" s="199">
        <f>'D) Ecrêtage'!O309</f>
        <v>28.417631682777664</v>
      </c>
      <c r="E309" s="64">
        <f t="shared" si="20"/>
        <v>15.438199482083103</v>
      </c>
      <c r="F309" s="202">
        <f t="shared" si="18"/>
        <v>84516.731828653588</v>
      </c>
      <c r="G309" s="183">
        <f>'A) Base RI'!AM311</f>
        <v>74</v>
      </c>
      <c r="H309" s="191">
        <f t="shared" si="19"/>
        <v>1.0901187991066237</v>
      </c>
      <c r="I309" s="206">
        <f t="shared" si="21"/>
        <v>92133.278205468407</v>
      </c>
    </row>
    <row r="310" spans="1:9" x14ac:dyDescent="0.25">
      <c r="A310" s="82">
        <f>'A) Base RI'!A312</f>
        <v>5925</v>
      </c>
      <c r="B310" s="14" t="str">
        <f>'A) Base RI'!B312</f>
        <v>Orzens</v>
      </c>
      <c r="C310" s="158">
        <f>'A) Base RI'!AN312</f>
        <v>197</v>
      </c>
      <c r="D310" s="199">
        <f>'D) Ecrêtage'!O310</f>
        <v>25.736027115594677</v>
      </c>
      <c r="E310" s="64">
        <f t="shared" si="20"/>
        <v>18.11980404926609</v>
      </c>
      <c r="F310" s="202">
        <f t="shared" si="18"/>
        <v>76139.597813056607</v>
      </c>
      <c r="G310" s="183">
        <f>'A) Base RI'!AM312</f>
        <v>79</v>
      </c>
      <c r="H310" s="191">
        <f t="shared" si="19"/>
        <v>1.163775474721936</v>
      </c>
      <c r="I310" s="206">
        <f t="shared" si="21"/>
        <v>88609.396590027231</v>
      </c>
    </row>
    <row r="311" spans="1:9" x14ac:dyDescent="0.25">
      <c r="A311" s="82">
        <f>'A) Base RI'!A313</f>
        <v>5926</v>
      </c>
      <c r="B311" s="14" t="str">
        <f>'A) Base RI'!B313</f>
        <v>Pomy</v>
      </c>
      <c r="C311" s="158">
        <f>'A) Base RI'!AN313</f>
        <v>735</v>
      </c>
      <c r="D311" s="199">
        <f>'D) Ecrêtage'!O311</f>
        <v>30.091037846124365</v>
      </c>
      <c r="E311" s="64">
        <f t="shared" si="20"/>
        <v>13.764793318736402</v>
      </c>
      <c r="F311" s="202">
        <f t="shared" si="18"/>
        <v>193945.24962132997</v>
      </c>
      <c r="G311" s="183">
        <f>'A) Base RI'!AM313</f>
        <v>71</v>
      </c>
      <c r="H311" s="191">
        <f t="shared" si="19"/>
        <v>1.0459247937374361</v>
      </c>
      <c r="I311" s="206">
        <f t="shared" si="21"/>
        <v>202852.1452065451</v>
      </c>
    </row>
    <row r="312" spans="1:9" x14ac:dyDescent="0.25">
      <c r="A312" s="82">
        <f>'A) Base RI'!A314</f>
        <v>5928</v>
      </c>
      <c r="B312" s="14" t="str">
        <f>'A) Base RI'!B314</f>
        <v>Rovray</v>
      </c>
      <c r="C312" s="158">
        <f>'A) Base RI'!AN314</f>
        <v>165</v>
      </c>
      <c r="D312" s="199">
        <f>'D) Ecrêtage'!O312</f>
        <v>24.898404040404042</v>
      </c>
      <c r="E312" s="64">
        <f t="shared" si="20"/>
        <v>18.957427124456725</v>
      </c>
      <c r="F312" s="202">
        <f t="shared" si="18"/>
        <v>63341.503379591042</v>
      </c>
      <c r="G312" s="183">
        <f>'A) Base RI'!AM314</f>
        <v>75</v>
      </c>
      <c r="H312" s="191">
        <f t="shared" si="19"/>
        <v>1.1048501342296861</v>
      </c>
      <c r="I312" s="206">
        <f t="shared" si="21"/>
        <v>69982.868511251276</v>
      </c>
    </row>
    <row r="313" spans="1:9" x14ac:dyDescent="0.25">
      <c r="A313" s="82">
        <f>'A) Base RI'!A315</f>
        <v>5929</v>
      </c>
      <c r="B313" s="14" t="str">
        <f>'A) Base RI'!B315</f>
        <v>Suchy</v>
      </c>
      <c r="C313" s="158">
        <f>'A) Base RI'!AN315</f>
        <v>525</v>
      </c>
      <c r="D313" s="199">
        <f>'D) Ecrêtage'!O313</f>
        <v>30.802014659197013</v>
      </c>
      <c r="E313" s="64">
        <f t="shared" si="20"/>
        <v>13.053816505663754</v>
      </c>
      <c r="F313" s="202">
        <f t="shared" si="18"/>
        <v>125825.73729809292</v>
      </c>
      <c r="G313" s="183">
        <f>'A) Base RI'!AM315</f>
        <v>68</v>
      </c>
      <c r="H313" s="191">
        <f t="shared" si="19"/>
        <v>1.0017307883682487</v>
      </c>
      <c r="I313" s="206">
        <f t="shared" si="21"/>
        <v>126043.51502063478</v>
      </c>
    </row>
    <row r="314" spans="1:9" x14ac:dyDescent="0.25">
      <c r="A314" s="82">
        <f>'A) Base RI'!A316</f>
        <v>5930</v>
      </c>
      <c r="B314" s="14" t="str">
        <f>'A) Base RI'!B316</f>
        <v>Suscévaz</v>
      </c>
      <c r="C314" s="158">
        <f>'A) Base RI'!AN316</f>
        <v>199</v>
      </c>
      <c r="D314" s="199">
        <f>'D) Ecrêtage'!O314</f>
        <v>24.992348865539817</v>
      </c>
      <c r="E314" s="64">
        <f t="shared" si="20"/>
        <v>18.86348229932095</v>
      </c>
      <c r="F314" s="202">
        <f t="shared" si="18"/>
        <v>66893.303660205973</v>
      </c>
      <c r="G314" s="183">
        <f>'A) Base RI'!AM316</f>
        <v>66</v>
      </c>
      <c r="H314" s="191">
        <f t="shared" si="19"/>
        <v>0.97226811812212377</v>
      </c>
      <c r="I314" s="206">
        <f t="shared" si="21"/>
        <v>65038.226464680236</v>
      </c>
    </row>
    <row r="315" spans="1:9" x14ac:dyDescent="0.25">
      <c r="A315" s="82">
        <f>'A) Base RI'!A317</f>
        <v>5931</v>
      </c>
      <c r="B315" s="14" t="str">
        <f>'A) Base RI'!B317</f>
        <v>Treycovagnes</v>
      </c>
      <c r="C315" s="158">
        <f>'A) Base RI'!AN317</f>
        <v>471</v>
      </c>
      <c r="D315" s="199">
        <f>'D) Ecrêtage'!O315</f>
        <v>24.362471116993412</v>
      </c>
      <c r="E315" s="64">
        <f t="shared" si="20"/>
        <v>19.493360047867355</v>
      </c>
      <c r="F315" s="202">
        <f t="shared" si="18"/>
        <v>190880.73599112144</v>
      </c>
      <c r="G315" s="183">
        <f>'A) Base RI'!AM317</f>
        <v>77</v>
      </c>
      <c r="H315" s="191">
        <f t="shared" si="19"/>
        <v>1.1343128044758111</v>
      </c>
      <c r="I315" s="206">
        <f t="shared" si="21"/>
        <v>216518.46296249586</v>
      </c>
    </row>
    <row r="316" spans="1:9" x14ac:dyDescent="0.25">
      <c r="A316" s="82">
        <f>'A) Base RI'!A318</f>
        <v>5932</v>
      </c>
      <c r="B316" s="14" t="str">
        <f>'A) Base RI'!B318</f>
        <v>Ursins</v>
      </c>
      <c r="C316" s="158">
        <f>'A) Base RI'!AN318</f>
        <v>208</v>
      </c>
      <c r="D316" s="199">
        <f>'D) Ecrêtage'!O316</f>
        <v>25.275864151873765</v>
      </c>
      <c r="E316" s="64">
        <f t="shared" si="20"/>
        <v>18.579967012987002</v>
      </c>
      <c r="F316" s="202">
        <f t="shared" si="18"/>
        <v>81389.173901049304</v>
      </c>
      <c r="G316" s="183">
        <f>'A) Base RI'!AM318</f>
        <v>78</v>
      </c>
      <c r="H316" s="191">
        <f t="shared" si="19"/>
        <v>1.1490441395988735</v>
      </c>
      <c r="I316" s="206">
        <f t="shared" si="21"/>
        <v>93519.75329779429</v>
      </c>
    </row>
    <row r="317" spans="1:9" x14ac:dyDescent="0.25">
      <c r="A317" s="82">
        <f>'A) Base RI'!A319</f>
        <v>5933</v>
      </c>
      <c r="B317" s="14" t="str">
        <f>'A) Base RI'!B319</f>
        <v>Valeyres-sous-Montagny</v>
      </c>
      <c r="C317" s="158">
        <f>'A) Base RI'!AN319</f>
        <v>642</v>
      </c>
      <c r="D317" s="199">
        <f>'D) Ecrêtage'!O317</f>
        <v>30.704507615091728</v>
      </c>
      <c r="E317" s="64">
        <f t="shared" si="20"/>
        <v>13.151323549769039</v>
      </c>
      <c r="F317" s="202">
        <f t="shared" si="18"/>
        <v>164134.8305364215</v>
      </c>
      <c r="G317" s="183">
        <f>'A) Base RI'!AM319</f>
        <v>72</v>
      </c>
      <c r="H317" s="191">
        <f t="shared" si="19"/>
        <v>1.0606561288604985</v>
      </c>
      <c r="I317" s="206">
        <f t="shared" si="21"/>
        <v>174090.61396793477</v>
      </c>
    </row>
    <row r="318" spans="1:9" x14ac:dyDescent="0.25">
      <c r="A318" s="82">
        <f>'A) Base RI'!A320</f>
        <v>5934</v>
      </c>
      <c r="B318" s="14" t="str">
        <f>'A) Base RI'!B320</f>
        <v>Valeyres-sous-Ursins</v>
      </c>
      <c r="C318" s="158">
        <f>'A) Base RI'!AN320</f>
        <v>241</v>
      </c>
      <c r="D318" s="199">
        <f>'D) Ecrêtage'!O318</f>
        <v>24.668157782742846</v>
      </c>
      <c r="E318" s="64">
        <f t="shared" si="20"/>
        <v>19.187673382117922</v>
      </c>
      <c r="F318" s="202">
        <f t="shared" si="18"/>
        <v>97386.268744004221</v>
      </c>
      <c r="G318" s="183">
        <f>'A) Base RI'!AM320</f>
        <v>78</v>
      </c>
      <c r="H318" s="191">
        <f t="shared" si="19"/>
        <v>1.1490441395988735</v>
      </c>
      <c r="I318" s="206">
        <f t="shared" si="21"/>
        <v>111901.121377699</v>
      </c>
    </row>
    <row r="319" spans="1:9" x14ac:dyDescent="0.25">
      <c r="A319" s="82">
        <f>'A) Base RI'!A321</f>
        <v>5935</v>
      </c>
      <c r="B319" s="14" t="str">
        <f>'A) Base RI'!B321</f>
        <v>Villars-Epeney</v>
      </c>
      <c r="C319" s="158">
        <f>'A) Base RI'!AN321</f>
        <v>89</v>
      </c>
      <c r="D319" s="199">
        <f>'D) Ecrêtage'!O319</f>
        <v>44.731876404494393</v>
      </c>
      <c r="E319" s="64">
        <f t="shared" si="20"/>
        <v>0</v>
      </c>
      <c r="F319" s="202">
        <f t="shared" si="18"/>
        <v>0</v>
      </c>
      <c r="G319" s="183">
        <f>'A) Base RI'!AM321</f>
        <v>60</v>
      </c>
      <c r="H319" s="191">
        <f t="shared" si="19"/>
        <v>0.88388010738374889</v>
      </c>
      <c r="I319" s="206">
        <f t="shared" si="21"/>
        <v>0</v>
      </c>
    </row>
    <row r="320" spans="1:9" x14ac:dyDescent="0.25">
      <c r="A320" s="82">
        <f>'A) Base RI'!A322</f>
        <v>5937</v>
      </c>
      <c r="B320" s="14" t="str">
        <f>'A) Base RI'!B322</f>
        <v>Vugelles-La Mothe</v>
      </c>
      <c r="C320" s="158">
        <f>'A) Base RI'!AN322</f>
        <v>137</v>
      </c>
      <c r="D320" s="199">
        <f>'D) Ecrêtage'!O320</f>
        <v>15.172036943244452</v>
      </c>
      <c r="E320" s="64">
        <f t="shared" si="20"/>
        <v>28.683794221616317</v>
      </c>
      <c r="F320" s="202">
        <f t="shared" si="18"/>
        <v>74270.948378031128</v>
      </c>
      <c r="G320" s="183">
        <f>'A) Base RI'!AM322</f>
        <v>70</v>
      </c>
      <c r="H320" s="191">
        <f t="shared" si="19"/>
        <v>1.0311934586143736</v>
      </c>
      <c r="I320" s="206">
        <f t="shared" si="21"/>
        <v>76587.716132511516</v>
      </c>
    </row>
    <row r="321" spans="1:9" x14ac:dyDescent="0.25">
      <c r="A321" s="82">
        <f>'A) Base RI'!A323</f>
        <v>5938</v>
      </c>
      <c r="B321" s="14" t="str">
        <f>'A) Base RI'!B323</f>
        <v>Yverdon-les-Bains</v>
      </c>
      <c r="C321" s="158">
        <f>'A) Base RI'!AN323</f>
        <v>28972</v>
      </c>
      <c r="D321" s="199">
        <f>'D) Ecrêtage'!O321</f>
        <v>26.125333687066796</v>
      </c>
      <c r="E321" s="64">
        <f t="shared" si="20"/>
        <v>17.730497477793971</v>
      </c>
      <c r="F321" s="202">
        <f t="shared" si="18"/>
        <v>10610225.080799894</v>
      </c>
      <c r="G321" s="183">
        <f>'A) Base RI'!AM323</f>
        <v>76.5</v>
      </c>
      <c r="H321" s="191">
        <f t="shared" si="19"/>
        <v>1.1269471369142798</v>
      </c>
      <c r="I321" s="206">
        <f t="shared" si="21"/>
        <v>11957162.776823524</v>
      </c>
    </row>
    <row r="322" spans="1:9" x14ac:dyDescent="0.25">
      <c r="A322" s="84">
        <f>'A) Base RI'!A324</f>
        <v>5939</v>
      </c>
      <c r="B322" s="153" t="str">
        <f>'A) Base RI'!B324</f>
        <v>Yvonand</v>
      </c>
      <c r="C322" s="159">
        <f>'A) Base RI'!AN324</f>
        <v>3095</v>
      </c>
      <c r="D322" s="200">
        <f>'D) Ecrêtage'!O322</f>
        <v>26.282029433244077</v>
      </c>
      <c r="E322" s="194">
        <f t="shared" si="20"/>
        <v>17.57380173161669</v>
      </c>
      <c r="F322" s="202">
        <f t="shared" si="18"/>
        <v>1072044.9614428608</v>
      </c>
      <c r="G322" s="184">
        <f>'A) Base RI'!AM324</f>
        <v>73</v>
      </c>
      <c r="H322" s="195">
        <f t="shared" si="19"/>
        <v>1.075387463983561</v>
      </c>
      <c r="I322" s="207">
        <f t="shared" si="21"/>
        <v>1152863.7123623926</v>
      </c>
    </row>
    <row r="323" spans="1:9" x14ac:dyDescent="0.25">
      <c r="A323" s="114"/>
      <c r="B323" s="99">
        <f>COUNTA(B5:B322)</f>
        <v>318</v>
      </c>
      <c r="C323" s="159">
        <f>SUM(C5:C322)</f>
        <v>755369</v>
      </c>
      <c r="D323" s="196">
        <f>'D) Ecrêtage'!O323</f>
        <v>43.855831164860767</v>
      </c>
      <c r="E323" s="197"/>
      <c r="F323" s="21">
        <f>SUM(F5:F322)</f>
        <v>90212293.921297178</v>
      </c>
      <c r="G323" s="218">
        <f>'B) D RI'!S325</f>
        <v>67.882509741731482</v>
      </c>
      <c r="H323" s="195">
        <f t="shared" ref="H323" si="22">G323/G$323</f>
        <v>1</v>
      </c>
      <c r="I323" s="67">
        <f>SUM(I5:I322)</f>
        <v>97654743.509126708</v>
      </c>
    </row>
  </sheetData>
  <sheetProtection sheet="1" objects="1" scenarios="1"/>
  <mergeCells count="8">
    <mergeCell ref="A3:A4"/>
    <mergeCell ref="I3:I4"/>
    <mergeCell ref="H3:H4"/>
    <mergeCell ref="G3:G4"/>
    <mergeCell ref="F3:F4"/>
    <mergeCell ref="B3:B4"/>
    <mergeCell ref="C3:C4"/>
    <mergeCell ref="D3:D4"/>
  </mergeCells>
  <phoneticPr fontId="6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13</vt:i4>
      </vt:variant>
    </vt:vector>
  </HeadingPairs>
  <TitlesOfParts>
    <vt:vector size="29" baseType="lpstr">
      <vt:lpstr>Paramètres</vt:lpstr>
      <vt:lpstr>Recherche</vt:lpstr>
      <vt:lpstr>A) Base RI</vt:lpstr>
      <vt:lpstr>B) D RI</vt:lpstr>
      <vt:lpstr>C) Prél. conj.</vt:lpstr>
      <vt:lpstr>D) Ecrêtage</vt:lpstr>
      <vt:lpstr>E) Fact soc</vt:lpstr>
      <vt:lpstr>F) Population</vt:lpstr>
      <vt:lpstr>G) Solidarité</vt:lpstr>
      <vt:lpstr>H) Péréquation directe</vt:lpstr>
      <vt:lpstr>I) Dépenses thématiques</vt:lpstr>
      <vt:lpstr>J) Plafonnement effort</vt:lpstr>
      <vt:lpstr>K) Plafonnement aide</vt:lpstr>
      <vt:lpstr>L) Plafonnement taux</vt:lpstr>
      <vt:lpstr>M) Police</vt:lpstr>
      <vt:lpstr>Synthèse</vt:lpstr>
      <vt:lpstr>'C) Prél. conj.'!Impression_des_titres</vt:lpstr>
      <vt:lpstr>'E) Fact soc'!Impression_des_titres</vt:lpstr>
      <vt:lpstr>'I) Dépenses thématiques'!Impression_des_titres</vt:lpstr>
      <vt:lpstr>'J) Plafonnement effort'!Impression_des_titres</vt:lpstr>
      <vt:lpstr>'L) Plafonnement taux'!Impression_des_titres</vt:lpstr>
      <vt:lpstr>'M) Police'!Impression_des_titres</vt:lpstr>
      <vt:lpstr>Synthèse!Impression_des_titres</vt:lpstr>
      <vt:lpstr>'A) Base RI'!Zone_d_impression</vt:lpstr>
      <vt:lpstr>'H) Péréquation directe'!Zone_d_impression</vt:lpstr>
      <vt:lpstr>'L) Plafonnement taux'!Zone_d_impression</vt:lpstr>
      <vt:lpstr>'M) Police'!Zone_d_impression</vt:lpstr>
      <vt:lpstr>Recherche!Zone_d_impression</vt:lpstr>
      <vt:lpstr>Synthèse!Zone_d_impression</vt:lpstr>
    </vt:vector>
  </TitlesOfParts>
  <Company>Etat de Vaud / ASFiCo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Weber</dc:creator>
  <cp:lastModifiedBy>CLERC,Charles Henri</cp:lastModifiedBy>
  <cp:lastPrinted>2015-09-23T06:38:34Z</cp:lastPrinted>
  <dcterms:created xsi:type="dcterms:W3CDTF">2005-06-06T00:37:42Z</dcterms:created>
  <dcterms:modified xsi:type="dcterms:W3CDTF">2015-09-28T13:18:15Z</dcterms:modified>
</cp:coreProperties>
</file>